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manl/PycharmProjects/Invest_Proc/financial_models/Opportunities/"/>
    </mc:Choice>
  </mc:AlternateContent>
  <xr:revisionPtr revIDLastSave="0" documentId="8_{EE87F2D5-D42B-704F-95F8-ED014CDA49B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" i="7" l="1"/>
  <c r="E6" i="1"/>
  <c r="E7" i="7"/>
  <c r="E9" i="7" s="1"/>
  <c r="G9" i="7" s="1"/>
  <c r="E6" i="7"/>
  <c r="E5" i="7"/>
  <c r="E4" i="7"/>
  <c r="C15" i="7"/>
  <c r="D11" i="4"/>
  <c r="F40" i="1"/>
  <c r="E26" i="1"/>
  <c r="C12" i="1"/>
  <c r="E7" i="3"/>
  <c r="C36" i="1"/>
  <c r="C35" i="1"/>
  <c r="C11" i="4"/>
  <c r="E6" i="4"/>
  <c r="C9" i="7"/>
  <c r="D5" i="7" s="1"/>
  <c r="D7" i="7" l="1"/>
  <c r="D6" i="7"/>
  <c r="D65" i="3"/>
  <c r="C26" i="4"/>
  <c r="G31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D8" i="7"/>
  <c r="G34" i="4"/>
  <c r="E16" i="1"/>
  <c r="G10" i="7" l="1"/>
  <c r="D4" i="7"/>
  <c r="D20" i="2"/>
  <c r="E20" i="2"/>
  <c r="F20" i="2"/>
  <c r="G20" i="2"/>
  <c r="H20" i="2"/>
  <c r="I20" i="2"/>
  <c r="J20" i="2"/>
  <c r="K20" i="2"/>
  <c r="L20" i="2"/>
  <c r="M20" i="2"/>
  <c r="C20" i="2"/>
  <c r="G16" i="3" l="1"/>
  <c r="I15" i="7" l="1"/>
  <c r="I17" i="7" s="1"/>
  <c r="I22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20" i="7" l="1"/>
  <c r="I4" i="3" l="1"/>
  <c r="D4" i="3"/>
  <c r="D6" i="1"/>
  <c r="C29" i="4" l="1"/>
  <c r="C3" i="4" l="1"/>
  <c r="E3" i="7"/>
  <c r="C15" i="4"/>
  <c r="B3" i="4"/>
  <c r="C17" i="4" s="1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C58" i="3" l="1"/>
  <c r="D3" i="4"/>
  <c r="G3" i="7"/>
  <c r="E3" i="4" s="1"/>
  <c r="C16" i="7"/>
  <c r="C18" i="7"/>
  <c r="E18" i="7" s="1"/>
  <c r="B3" i="7"/>
  <c r="C17" i="7"/>
  <c r="C22" i="7" s="1"/>
  <c r="C25" i="7" s="1"/>
  <c r="E10" i="7"/>
  <c r="G18" i="7" l="1"/>
  <c r="G19" i="7" s="1"/>
  <c r="E19" i="7"/>
  <c r="G16" i="7"/>
  <c r="E15" i="7"/>
  <c r="C4" i="4"/>
  <c r="C7" i="4" s="1"/>
  <c r="C8" i="4" s="1"/>
  <c r="C9" i="4" s="1"/>
  <c r="C10" i="4" s="1"/>
  <c r="C24" i="7"/>
  <c r="I32" i="3"/>
  <c r="C20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I8" i="3" s="1"/>
  <c r="E17" i="7" l="1"/>
  <c r="E22" i="7" s="1"/>
  <c r="E23" i="7" s="1"/>
  <c r="E25" i="7" s="1"/>
  <c r="E24" i="7" s="1"/>
  <c r="G15" i="7"/>
  <c r="D52" i="3"/>
  <c r="C20" i="4" s="1"/>
  <c r="D20" i="4" s="1"/>
  <c r="I53" i="3"/>
  <c r="C44" i="3"/>
  <c r="C25" i="3"/>
  <c r="I7" i="3" s="1"/>
  <c r="E21" i="7" l="1"/>
  <c r="G17" i="7"/>
  <c r="G22" i="7" s="1"/>
  <c r="I21" i="7" s="1"/>
  <c r="I3" i="7" s="1"/>
  <c r="F3" i="4" s="1"/>
  <c r="G4" i="4" s="1"/>
  <c r="B24" i="4" s="1"/>
  <c r="G2" i="4" s="1"/>
  <c r="D4" i="4"/>
  <c r="E20" i="7"/>
  <c r="G20" i="7" s="1"/>
  <c r="C45" i="3"/>
  <c r="E12" i="3"/>
  <c r="G21" i="7" l="1"/>
  <c r="G23" i="7"/>
  <c r="I23" i="7" s="1"/>
  <c r="I25" i="7" s="1"/>
  <c r="I24" i="7" s="1"/>
  <c r="D7" i="4"/>
  <c r="D5" i="4"/>
  <c r="D53" i="5"/>
  <c r="D8" i="4" l="1"/>
  <c r="D9" i="4" s="1"/>
  <c r="D10" i="4" s="1"/>
  <c r="E7" i="4"/>
  <c r="F4" i="4"/>
  <c r="F8" i="4" s="1"/>
  <c r="F9" i="4" s="1"/>
  <c r="G25" i="7"/>
  <c r="E4" i="4" s="1"/>
  <c r="E35" i="3"/>
  <c r="G24" i="7" l="1"/>
  <c r="E8" i="4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E58" i="3"/>
  <c r="D58" i="3" s="1"/>
  <c r="D36" i="5"/>
  <c r="C33" i="2"/>
  <c r="E33" i="2"/>
  <c r="E34" i="2" s="1"/>
  <c r="D33" i="2"/>
  <c r="D34" i="2" s="1"/>
  <c r="D6" i="5"/>
  <c r="D55" i="5"/>
  <c r="E32" i="1"/>
  <c r="E33" i="1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7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J44" i="3"/>
  <c r="E6" i="5"/>
  <c r="D50" i="3" l="1"/>
  <c r="D6" i="3"/>
  <c r="D7" i="3" s="1"/>
  <c r="J26" i="3"/>
  <c r="D18" i="5" s="1"/>
  <c r="E18" i="5" s="1"/>
  <c r="C21" i="4"/>
  <c r="D60" i="3"/>
  <c r="D21" i="4" l="1"/>
  <c r="G21" i="4" s="1"/>
  <c r="G18" i="4"/>
  <c r="G19" i="4" s="1"/>
  <c r="D49" i="3"/>
  <c r="H16" i="1" l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s="1"/>
  <c r="E26" i="4" l="1"/>
  <c r="G26" i="4" s="1"/>
  <c r="E30" i="4" s="1"/>
  <c r="C34" i="4"/>
  <c r="E25" i="4"/>
  <c r="G25" i="4" s="1"/>
  <c r="E27" i="4"/>
  <c r="G27" i="4" s="1"/>
  <c r="G15" i="4" l="1"/>
  <c r="F34" i="4" l="1"/>
  <c r="E34" i="4" l="1"/>
  <c r="C11" i="1" l="1"/>
  <c r="D12" i="5" l="1"/>
  <c r="E64" i="5" l="1"/>
  <c r="D5" i="5"/>
  <c r="D64" i="5" l="1"/>
  <c r="E7" i="5" s="1"/>
  <c r="D7" i="5" s="1"/>
  <c r="D8" i="5" s="1"/>
  <c r="E8" i="5" s="1"/>
  <c r="F39" i="1" s="1"/>
  <c r="F41" i="1"/>
  <c r="E5" i="5"/>
  <c r="C30" i="4" l="1"/>
  <c r="D14" i="1" s="1"/>
  <c r="F46" i="1" s="1"/>
  <c r="C33" i="4" l="1"/>
  <c r="H14" i="1" s="1"/>
  <c r="J25" i="1" s="1"/>
  <c r="D30" i="4"/>
  <c r="F14" i="1"/>
  <c r="I35" i="1" s="1"/>
  <c r="I36" i="1" l="1"/>
  <c r="F45" i="1"/>
  <c r="F33" i="4"/>
  <c r="E33" i="4"/>
  <c r="B17" i="1"/>
  <c r="J17" i="1" s="1"/>
  <c r="D16" i="1"/>
  <c r="D18" i="1"/>
  <c r="F42" i="1" l="1"/>
  <c r="E42" i="1" s="1"/>
  <c r="F48" i="1" s="1"/>
  <c r="F49" i="1"/>
  <c r="E49" i="1"/>
  <c r="D17" i="1"/>
  <c r="F17" i="1"/>
  <c r="E50" i="1" l="1"/>
  <c r="F50" i="1" s="1"/>
</calcChain>
</file>

<file path=xl/sharedStrings.xml><?xml version="1.0" encoding="utf-8"?>
<sst xmlns="http://schemas.openxmlformats.org/spreadsheetml/2006/main" count="418" uniqueCount="354">
  <si>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</si>
  <si>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</si>
  <si>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</si>
  <si>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</si>
  <si>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</si>
  <si>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</si>
  <si>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</si>
  <si>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</si>
  <si>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</si>
  <si>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</si>
  <si>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</si>
  <si>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</si>
  <si>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</si>
  <si>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</si>
  <si>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</si>
  <si>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</si>
  <si>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</si>
  <si>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</si>
  <si>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</si>
  <si>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</si>
  <si>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</si>
  <si>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</si>
  <si>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</si>
  <si>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</si>
  <si>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</si>
  <si>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</si>
  <si>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</si>
  <si>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</si>
  <si>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</si>
  <si>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</si>
  <si>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</si>
  <si>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</si>
  <si>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</si>
  <si>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</si>
  <si>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</si>
  <si>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</si>
  <si>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</si>
  <si>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</si>
  <si>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</si>
  <si>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</si>
  <si>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</si>
  <si>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</si>
  <si>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</si>
  <si>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</si>
  <si>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</si>
  <si>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</si>
  <si>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</si>
  <si>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</si>
  <si>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</si>
  <si>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</si>
  <si>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</si>
  <si>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</si>
  <si>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</si>
  <si>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</si>
  <si>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</si>
  <si>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</si>
  <si>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</si>
  <si>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</si>
  <si>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</si>
  <si>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</si>
  <si>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</si>
  <si>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</si>
  <si>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</si>
  <si>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</si>
  <si>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</si>
  <si>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</si>
  <si>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</si>
  <si>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</si>
  <si>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</si>
  <si>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</si>
  <si>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</si>
  <si>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</si>
  <si>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</si>
  <si>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</si>
  <si>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</si>
  <si>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</si>
  <si>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</si>
  <si>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</si>
  <si>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</si>
  <si>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</si>
  <si>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</si>
  <si>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</si>
  <si>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</si>
  <si>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</si>
  <si>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</si>
  <si>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</si>
  <si>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</si>
  <si>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</si>
  <si>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</si>
  <si>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</si>
  <si>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</si>
  <si>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</si>
  <si>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</si>
  <si>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</si>
  <si>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</si>
  <si>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</si>
  <si>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</si>
  <si>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</si>
  <si>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</si>
  <si>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</si>
  <si>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</si>
  <si>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</si>
  <si>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</si>
  <si>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</si>
  <si>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</si>
  <si>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</si>
  <si>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</si>
  <si>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</si>
  <si>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</si>
  <si>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</si>
  <si>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</si>
  <si>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</si>
  <si>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</si>
  <si>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</si>
  <si>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</si>
  <si>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</si>
  <si>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</si>
  <si>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</si>
  <si>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</si>
  <si>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</si>
  <si>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</si>
  <si>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</si>
  <si>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</si>
  <si>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</si>
  <si>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</si>
  <si>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</si>
  <si>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</si>
  <si>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</si>
  <si>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</si>
  <si>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</si>
  <si>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</si>
  <si>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</si>
  <si>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</si>
  <si>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</si>
  <si>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</si>
  <si>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</si>
  <si>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</si>
  <si>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</si>
  <si>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</si>
  <si>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</si>
  <si>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</si>
  <si>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</si>
  <si>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</si>
  <si>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</si>
  <si>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</si>
  <si>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</si>
  <si>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</si>
  <si>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</si>
  <si>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</si>
  <si>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</si>
  <si>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</si>
  <si>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</si>
  <si>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</si>
  <si>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</si>
  <si>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</si>
  <si>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</si>
  <si>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</si>
  <si>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</si>
  <si>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</si>
  <si>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</si>
  <si>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</si>
  <si>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</si>
  <si>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</si>
  <si>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</si>
  <si>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</si>
  <si>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</si>
  <si>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</si>
  <si>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</si>
  <si>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</si>
  <si>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</si>
  <si>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</si>
  <si>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</si>
  <si>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</si>
  <si>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</si>
  <si>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</si>
  <si>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</si>
  <si>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</si>
  <si>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</si>
  <si>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</si>
  <si>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</si>
  <si>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</si>
  <si>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</si>
  <si>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</si>
  <si>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</si>
  <si>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</si>
  <si>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</si>
  <si>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</si>
  <si>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</si>
  <si>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</si>
  <si>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</si>
  <si>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</si>
  <si>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</si>
  <si>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</si>
  <si>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</si>
  <si>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</si>
  <si>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</si>
  <si>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</si>
  <si>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</si>
  <si>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</si>
  <si>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</si>
  <si>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</si>
  <si>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</si>
  <si>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</si>
  <si>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</si>
  <si>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</si>
  <si>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</si>
  <si>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</si>
  <si>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</si>
  <si>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</si>
  <si>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</si>
  <si>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</si>
  <si>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</si>
  <si>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</si>
  <si>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</si>
  <si>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</si>
  <si>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</si>
  <si>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</si>
  <si>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</si>
  <si>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</si>
  <si>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</si>
  <si>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</si>
  <si>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</si>
  <si>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</si>
  <si>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</si>
  <si>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</si>
  <si>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</si>
  <si>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</si>
  <si>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</si>
  <si>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</si>
  <si>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</si>
  <si>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</si>
  <si>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</si>
  <si>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</si>
  <si>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</si>
  <si>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</si>
  <si>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</si>
  <si>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</si>
  <si>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</si>
  <si>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</si>
  <si>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</si>
  <si>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</si>
  <si>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</si>
  <si>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</si>
  <si>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</si>
  <si>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</si>
  <si>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</si>
  <si>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</si>
  <si>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</si>
  <si>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</si>
  <si>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</si>
  <si>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</si>
  <si>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</si>
  <si>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</si>
  <si>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</si>
  <si>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</si>
  <si>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</si>
  <si>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</si>
  <si>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</si>
  <si>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</si>
  <si>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</si>
  <si>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</si>
  <si>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</si>
  <si>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</si>
  <si>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</si>
  <si>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</si>
  <si>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</si>
  <si>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</si>
  <si>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</si>
  <si>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</si>
  <si>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</si>
  <si>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</si>
  <si>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</si>
  <si>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</si>
  <si>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</si>
  <si>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</si>
  <si>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</si>
  <si>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</si>
  <si>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</si>
  <si>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</si>
  <si>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</si>
  <si>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</si>
  <si>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</si>
  <si>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</si>
  <si>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</si>
  <si>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</si>
  <si>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</si>
  <si>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</si>
  <si>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</si>
  <si>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</si>
  <si>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</si>
  <si>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</si>
  <si>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</si>
  <si>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</si>
  <si>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</si>
  <si>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</si>
  <si>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</si>
  <si>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</si>
  <si>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</si>
  <si>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</si>
  <si>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</si>
  <si>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</si>
  <si>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</si>
  <si>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</si>
  <si>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</si>
  <si>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</si>
  <si>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</si>
  <si>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</si>
  <si>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</si>
  <si>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</si>
  <si>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</si>
  <si>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</si>
  <si>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</si>
  <si>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</si>
  <si>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>0071.HK</t>
  </si>
  <si>
    <t>MIRAMAR HOTEL</t>
  </si>
  <si>
    <t>收租業務</t>
  </si>
  <si>
    <t>酒店及服務式公寓業務</t>
  </si>
  <si>
    <t>餐飲業務</t>
  </si>
  <si>
    <t>旅遊業務</t>
  </si>
  <si>
    <t>其他</t>
  </si>
  <si>
    <t>食材及飲料成本</t>
  </si>
  <si>
    <t>員工薪酬</t>
  </si>
  <si>
    <t>公用開支、維修保養及租金</t>
  </si>
  <si>
    <t>旅行團及機票成本</t>
  </si>
  <si>
    <t xml:space="preserve">Ideal Excess Return after MOS = </t>
  </si>
  <si>
    <t>Ideal price =</t>
  </si>
  <si>
    <t>Next Buy Price =</t>
  </si>
  <si>
    <t>Next Sell Price =</t>
  </si>
  <si>
    <t>Next Buy Shares =</t>
  </si>
  <si>
    <t xml:space="preserve">Asset Plays </t>
  </si>
  <si>
    <t>Book Current Ratio</t>
  </si>
  <si>
    <t>Book Quick Ratio</t>
  </si>
  <si>
    <t>Book Cash Ratio</t>
  </si>
  <si>
    <t>ST Cash-debt Ratio</t>
  </si>
  <si>
    <t>ST Quick Ratio</t>
  </si>
  <si>
    <t>LT Cash-debt Ratio</t>
  </si>
  <si>
    <t>LT Quick Ratio</t>
  </si>
  <si>
    <t>Debt to CE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</si>
  <si>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</si>
  <si>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</si>
  <si>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</si>
  <si>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</si>
  <si>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</si>
  <si>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</si>
  <si>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60% chance of chinese recession</t>
  </si>
  <si>
    <t>A = Upside in event of a win</t>
  </si>
  <si>
    <t>B = Downside in event of a loss</t>
  </si>
  <si>
    <t>W = The estimated probability of win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</si>
  <si>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</si>
  <si>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</si>
  <si>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</si>
  <si>
    <t>4. Is the upside very attractive?</t>
  </si>
  <si>
    <t>5. The probability of a recession affecting the company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</si>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</sst>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yyyy\-mm\-dd"/>
    <numFmt numFmtId="167" formatCode="#,##0&quot;mm&quot;"/>
    <numFmt numFmtId="168" formatCode="#,##0.00&quot;x&quot;"/>
    <numFmt numFmtId="169" formatCode="0.00\x"/>
    <numFmt numFmtId="170" formatCode="&quot;Base Allocation &quot;0%"/>
    <numFmt numFmtId="171" formatCode="&quot;Increased Allocation &quot;0%"/>
    <numFmt numFmtId="172" formatCode="&quot;Last Allocation &quot;0%"/>
    <numFmt numFmtId="173" formatCode="[$$]#,##0&quot;m&quot;"/>
    <numFmt numFmtId="174" formatCode="&quot;Past &quot;0&quot; yrs Avg. NI&quot;"/>
    <numFmt numFmtId="175" formatCode="0.00&quot;x&quot;"/>
    <numFmt numFmtId="176" formatCode="&quot;Past &quot;0&quot; yrs Avg. NOPAT&quot;"/>
    <numFmt numFmtId="177" formatCode="&quot;Total &quot;0%"/>
    <numFmt numFmtId="178" formatCode="#,##0;[Red]\(#,##0\);\-"/>
    <numFmt numFmtId="179" formatCode="&quot;Current Price = &quot;0.00"/>
    <numFmt numFmtId="180" formatCode="yyyy\-mm\-dd;@"/>
    <numFmt numFmtId="181" formatCode="_(* #,##0_);_(* \(#,##0\);_(* &quot;-&quot;??_);_(@_)"/>
    <numFmt numFmtId="182" formatCode="&quot;Discount rate = &quot;0.00%"/>
    <numFmt numFmtId="183" formatCode="#,##0.00;[Red]#,##0.00"/>
    <numFmt numFmtId="184" formatCode="&quot;in&quot;\ 0\ &quot;Months&quot;"/>
    <numFmt numFmtId="185" formatCode="&quot;Breakeven Price = &quot;0.00"/>
    <numFmt numFmtId="186" formatCode="&quot;Next Buy Price = &quot;0.00"/>
    <numFmt numFmtId="187" formatCode="0.000000000000000000%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164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6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9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9" fontId="1" fillId="0" borderId="41" xfId="0" applyNumberFormat="1" applyFont="1" applyBorder="1" applyAlignment="1">
      <alignment horizontal="center"/>
    </xf>
    <xf numFmtId="168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9" fontId="1" fillId="0" borderId="44" xfId="0" applyNumberFormat="1" applyFont="1" applyBorder="1" applyAlignment="1">
      <alignment horizontal="center"/>
    </xf>
    <xf numFmtId="179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8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80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81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9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4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8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3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8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4" fontId="2" fillId="8" borderId="47" xfId="0" applyNumberFormat="1" applyFont="1" applyFill="1" applyBorder="1" applyAlignment="1">
      <alignment horizontal="center"/>
    </xf>
    <xf numFmtId="166" fontId="7" fillId="0" borderId="89" xfId="0" applyNumberFormat="1" applyFont="1" applyBorder="1" applyAlignment="1">
      <alignment horizontal="center"/>
    </xf>
    <xf numFmtId="180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80" fontId="15" fillId="7" borderId="2" xfId="0" applyNumberFormat="1" applyFont="1" applyFill="1" applyBorder="1" applyAlignment="1">
      <alignment horizontal="center"/>
    </xf>
    <xf numFmtId="180" fontId="18" fillId="4" borderId="5" xfId="0" applyNumberFormat="1" applyFont="1" applyFill="1" applyBorder="1" applyAlignment="1">
      <alignment horizontal="center"/>
    </xf>
    <xf numFmtId="180" fontId="18" fillId="4" borderId="23" xfId="0" applyNumberFormat="1" applyFont="1" applyFill="1" applyBorder="1" applyAlignment="1">
      <alignment horizontal="center"/>
    </xf>
    <xf numFmtId="182" fontId="7" fillId="16" borderId="59" xfId="0" applyNumberFormat="1" applyFont="1" applyFill="1" applyBorder="1" applyAlignment="1">
      <alignment horizontal="center"/>
    </xf>
    <xf numFmtId="178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5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80" fontId="15" fillId="7" borderId="94" xfId="0" applyNumberFormat="1" applyFont="1" applyFill="1" applyBorder="1" applyAlignment="1">
      <alignment horizontal="center"/>
    </xf>
    <xf numFmtId="175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5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5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80" fontId="18" fillId="0" borderId="9" xfId="0" applyNumberFormat="1" applyFont="1" applyBorder="1" applyAlignment="1">
      <alignment horizontal="center"/>
    </xf>
    <xf numFmtId="186" fontId="27" fillId="0" borderId="11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0" fontId="2" fillId="0" borderId="58" xfId="0" applyFont="1" applyBorder="1"/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87" fontId="18" fillId="0" borderId="0" xfId="0" applyNumberFormat="1" applyFont="1"/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173" fontId="1" fillId="0" borderId="20" xfId="0" applyNumberFormat="1" applyFont="1" applyBorder="1" applyAlignment="1">
      <alignment horizontal="center"/>
    </xf>
    <xf numFmtId="165" fontId="3" fillId="0" borderId="13" xfId="0" applyNumberFormat="1" applyFont="1" applyBorder="1" applyAlignment="1">
      <alignment horizontal="center"/>
    </xf>
    <xf numFmtId="165" fontId="4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165" fontId="4" fillId="9" borderId="21" xfId="0" applyNumberFormat="1" applyFont="1" applyFill="1" applyBorder="1" applyAlignment="1">
      <alignment horizontal="center"/>
    </xf>
    <xf numFmtId="165" fontId="4" fillId="9" borderId="22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20" xfId="0" applyFont="1" applyBorder="1"/>
    <xf numFmtId="0" fontId="1" fillId="12" borderId="2" xfId="0" applyFont="1" applyFill="1" applyBorder="1"/>
    <xf numFmtId="0" fontId="7" fillId="12" borderId="2" xfId="0" applyFont="1" applyFill="1" applyBorder="1"/>
    <xf numFmtId="173" fontId="1" fillId="0" borderId="27" xfId="0" applyNumberFormat="1" applyFont="1" applyBorder="1" applyAlignment="1">
      <alignment horizontal="center"/>
    </xf>
    <xf numFmtId="173" fontId="1" fillId="0" borderId="28" xfId="0" applyNumberFormat="1" applyFont="1" applyBorder="1" applyAlignment="1">
      <alignment horizontal="center"/>
    </xf>
    <xf numFmtId="164" fontId="3" fillId="0" borderId="45" xfId="0" applyNumberFormat="1" applyFont="1" applyBorder="1" applyAlignment="1">
      <alignment horizontal="center"/>
    </xf>
    <xf numFmtId="164" fontId="3" fillId="0" borderId="46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0" fontId="1" fillId="12" borderId="9" xfId="0" applyFont="1" applyFill="1" applyBorder="1"/>
    <xf numFmtId="0" fontId="7" fillId="12" borderId="9" xfId="0" applyFont="1" applyFill="1" applyBorder="1"/>
    <xf numFmtId="164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164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0" fontId="5" fillId="0" borderId="13" xfId="0" applyFont="1" applyBorder="1"/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3" fontId="1" fillId="0" borderId="13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6" fontId="2" fillId="9" borderId="16" xfId="0" applyNumberFormat="1" applyFont="1" applyFill="1" applyBorder="1" applyAlignment="1">
      <alignment horizontal="center"/>
    </xf>
    <xf numFmtId="180" fontId="2" fillId="9" borderId="17" xfId="0" applyNumberFormat="1" applyFont="1" applyFill="1" applyBorder="1" applyAlignment="1">
      <alignment horizontal="center"/>
    </xf>
    <xf numFmtId="180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7" fontId="5" fillId="0" borderId="47" xfId="0" applyNumberFormat="1" applyFont="1" applyBorder="1" applyAlignment="1">
      <alignment horizontal="center"/>
    </xf>
    <xf numFmtId="167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71" fontId="1" fillId="0" borderId="13" xfId="0" applyNumberFormat="1" applyFont="1" applyBorder="1" applyAlignment="1">
      <alignment horizontal="center"/>
    </xf>
    <xf numFmtId="170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7" fontId="1" fillId="0" borderId="13" xfId="0" applyNumberFormat="1" applyFont="1" applyBorder="1" applyAlignment="1">
      <alignment horizontal="center"/>
    </xf>
    <xf numFmtId="172" fontId="1" fillId="0" borderId="21" xfId="0" applyNumberFormat="1" applyFont="1" applyBorder="1" applyAlignment="1">
      <alignment horizontal="center"/>
    </xf>
    <xf numFmtId="172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zoomScaleNormal="100" workbookViewId="0">
      <selection activeCell="D6" sqref="D6"/>
    </sheetView>
  </sheetViews>
  <sheetFormatPr baseColWidth="10" defaultColWidth="12.5" defaultRowHeight="15" customHeight="1" x14ac:dyDescent="0.15"/>
  <cols>
    <col min="1" max="1" width="2.5" style="3" customWidth="1"/>
    <col min="2" max="2" width="28.33203125" style="3" customWidth="1"/>
    <col min="3" max="10" width="14.83203125" style="3" customWidth="1"/>
    <col min="11" max="11" width="14.5" style="3" bestFit="1" customWidth="1"/>
    <col min="12" max="16384" width="12.5" style="3"/>
  </cols>
  <sheetData>
    <row r="1" spans="1:12" ht="15" customHeight="1" x14ac:dyDescent="0.15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2">
      <c r="A2" s="10"/>
      <c r="B2" s="11" t="s">
        <v>0</v>
      </c>
      <c r="C2" s="307" t="str">
        <f>C3&amp;" : "&amp;C4</f>
        <v>0071.HK : MIRAMAR HOTEL</v>
      </c>
      <c r="D2" s="12"/>
      <c r="E2" s="12"/>
      <c r="F2" s="12"/>
      <c r="G2" s="12"/>
      <c r="H2" s="12"/>
      <c r="I2" s="12"/>
      <c r="J2" s="12"/>
    </row>
    <row r="3" spans="1:12" ht="15.75" customHeight="1" x14ac:dyDescent="0.15">
      <c r="B3" s="16" t="s">
        <v>1</v>
      </c>
      <c r="C3" s="398" t="s">
        <v>313</v>
      </c>
      <c r="D3" s="399"/>
      <c r="E3" s="15"/>
      <c r="G3" s="7" t="s">
        <v>2</v>
      </c>
      <c r="I3" s="410" t="s">
        <v>3</v>
      </c>
      <c r="J3" s="411"/>
    </row>
    <row r="4" spans="1:12" ht="15.75" customHeight="1" x14ac:dyDescent="0.15">
      <c r="B4" s="5" t="s">
        <v>4</v>
      </c>
      <c r="C4" s="400" t="s">
        <v>314</v>
      </c>
      <c r="D4" s="401"/>
      <c r="E4" s="6"/>
      <c r="G4" s="5" t="s">
        <v>5</v>
      </c>
      <c r="I4" s="32">
        <v>11.62</v>
      </c>
      <c r="J4" s="33" t="s">
        <v>6</v>
      </c>
      <c r="K4" s="152"/>
    </row>
    <row r="5" spans="1:12" ht="15.75" customHeight="1" x14ac:dyDescent="0.15">
      <c r="B5" s="5" t="s">
        <v>7</v>
      </c>
      <c r="C5" s="402">
        <v>44959</v>
      </c>
      <c r="D5" s="401"/>
      <c r="E5" s="122" t="str">
        <f ca="1">IF(C5+30&gt;=TODAY(),"Patience Premium","")</f>
        <v/>
      </c>
      <c r="G5" s="5" t="s">
        <v>8</v>
      </c>
      <c r="I5" s="393">
        <v>690959695</v>
      </c>
      <c r="J5" s="394"/>
      <c r="K5" s="151"/>
      <c r="L5" s="85"/>
    </row>
    <row r="6" spans="1:12" ht="15.75" customHeight="1" x14ac:dyDescent="0.15">
      <c r="B6" s="12" t="s">
        <v>252</v>
      </c>
      <c r="C6" s="269">
        <v>8</v>
      </c>
      <c r="D6" s="270">
        <f>EOMONTH(EDATE(Asset_Model!D9,C6),0)</f>
        <v>45169</v>
      </c>
      <c r="E6" s="352">
        <f>IF(Asset_Model!E9="FY",Asset_Model!D9,Data!C3)</f>
        <v>44926</v>
      </c>
      <c r="G6" s="134" t="s">
        <v>9</v>
      </c>
      <c r="H6" s="133"/>
      <c r="I6" s="412">
        <f>I4*I5/1000000</f>
        <v>8028.9516558999994</v>
      </c>
      <c r="J6" s="413"/>
      <c r="K6" s="151"/>
    </row>
    <row r="7" spans="1:12" ht="15.75" customHeight="1" x14ac:dyDescent="0.15">
      <c r="B7" s="139" t="s">
        <v>10</v>
      </c>
      <c r="C7" s="145">
        <f>(Data!C39*Exchange_Rate)/I4</f>
        <v>0</v>
      </c>
      <c r="D7" s="145">
        <f>(Data!C40*Exchange_Rate)/I4</f>
        <v>0</v>
      </c>
      <c r="E7" s="153"/>
      <c r="F7" s="6"/>
    </row>
    <row r="8" spans="1:12" ht="15.75" customHeight="1" x14ac:dyDescent="0.15">
      <c r="C8" s="96"/>
      <c r="E8" s="6"/>
      <c r="G8" s="21" t="s">
        <v>11</v>
      </c>
      <c r="H8" s="132"/>
      <c r="I8" s="6"/>
      <c r="J8" s="6"/>
    </row>
    <row r="9" spans="1:12" ht="15.75" customHeight="1" x14ac:dyDescent="0.15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24.333253492565717</v>
      </c>
      <c r="J9" s="48">
        <f>IF(I9="NNI","NNI",1/I9)</f>
        <v>4.1096025252254878E-2</v>
      </c>
    </row>
    <row r="10" spans="1:12" ht="15.75" customHeight="1" x14ac:dyDescent="0.15">
      <c r="B10" s="3" t="s">
        <v>269</v>
      </c>
      <c r="C10" s="299" t="s">
        <v>270</v>
      </c>
      <c r="D10" s="299">
        <v>2.8999999999999998E-2</v>
      </c>
      <c r="E10" s="5"/>
      <c r="G10" s="5" t="s">
        <v>14</v>
      </c>
      <c r="I10" s="138">
        <f>I4/(Data!C28*I12*Data!C4/Common_Shares)</f>
        <v>0.40060259174822543</v>
      </c>
      <c r="J10" s="130">
        <f>IF(Asset_Model!D60/'FCFF Model'!C4&lt;0,"Negative EV",Asset_Model!D60/'FCFF Model'!C4)</f>
        <v>6.6079345863413881</v>
      </c>
    </row>
    <row r="11" spans="1:12" ht="15.75" customHeight="1" thickBot="1" x14ac:dyDescent="0.2">
      <c r="B11" s="312" t="s">
        <v>273</v>
      </c>
      <c r="C11" s="424">
        <f ca="1">C12-D10</f>
        <v>5.1000000000000004E-2</v>
      </c>
      <c r="D11" s="425"/>
      <c r="E11" s="13"/>
      <c r="G11" s="5" t="s">
        <v>15</v>
      </c>
      <c r="H11" s="6"/>
      <c r="I11" s="422" t="s">
        <v>6</v>
      </c>
      <c r="J11" s="423"/>
    </row>
    <row r="12" spans="1:12" ht="15.75" customHeight="1" thickTop="1" x14ac:dyDescent="0.15">
      <c r="B12" s="313" t="s">
        <v>146</v>
      </c>
      <c r="C12" s="426">
        <f ca="1">IF(C10="US",6%,8%)*IF($C$5+30&gt;=TODAY(),1.2,1)</f>
        <v>0.08</v>
      </c>
      <c r="D12" s="427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 x14ac:dyDescent="0.15"/>
    <row r="14" spans="1:12" ht="15.75" customHeight="1" x14ac:dyDescent="0.15">
      <c r="A14" s="10"/>
      <c r="B14" s="20" t="s">
        <v>17</v>
      </c>
      <c r="C14" s="127" t="s">
        <v>213</v>
      </c>
      <c r="D14" s="184">
        <f ca="1">MIN('FCFF Model'!C30,'FCFF Model'!E30)</f>
        <v>10.560676235026312</v>
      </c>
      <c r="E14" s="127" t="s">
        <v>230</v>
      </c>
      <c r="F14" s="184">
        <f ca="1">MAX('FCFF Model'!C30,'FCFF Model'!E30)</f>
        <v>13.106941291608036</v>
      </c>
      <c r="G14" s="185" t="s">
        <v>24</v>
      </c>
      <c r="H14" s="193">
        <f ca="1">IF('FCFF Model'!C33&lt;0, "Error", 'FCFF Model'!C33)</f>
        <v>12.191758201373373</v>
      </c>
      <c r="I14" s="133"/>
      <c r="J14" s="133"/>
    </row>
    <row r="15" spans="1:12" ht="15.75" customHeight="1" x14ac:dyDescent="0.15">
      <c r="A15" s="6"/>
      <c r="B15" s="96"/>
      <c r="C15" s="238" t="s">
        <v>246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15">
      <c r="B16" s="131">
        <f>I4</f>
        <v>11.62</v>
      </c>
      <c r="C16" s="433">
        <v>0.1</v>
      </c>
      <c r="D16" s="159">
        <f ca="1">H14/B16-1-C16</f>
        <v>-5.0795335510036704E-2</v>
      </c>
      <c r="E16" s="430">
        <f>'FCFF Model'!D11*Exchange_Rate</f>
        <v>0.5</v>
      </c>
      <c r="F16" s="161">
        <f>E16/B16</f>
        <v>4.3029259896729781E-2</v>
      </c>
      <c r="G16" s="417" t="s">
        <v>25</v>
      </c>
      <c r="H16" s="414">
        <f>('FCFF Model'!G19)*Exchange_Rate</f>
        <v>7.5118325099990093</v>
      </c>
      <c r="I16" s="417" t="s">
        <v>26</v>
      </c>
      <c r="J16" s="206">
        <f>B16-$H$16</f>
        <v>4.1081674900009899</v>
      </c>
    </row>
    <row r="17" spans="1:10" ht="15.75" customHeight="1" x14ac:dyDescent="0.15">
      <c r="B17" s="289">
        <f ca="1">H14/(1+C16)</f>
        <v>11.083416546703065</v>
      </c>
      <c r="C17" s="434"/>
      <c r="D17" s="288">
        <f ca="1">H14/B17-1-C16</f>
        <v>0</v>
      </c>
      <c r="E17" s="431"/>
      <c r="F17" s="162">
        <f ca="1">E16/B17</f>
        <v>4.51124432518719E-2</v>
      </c>
      <c r="G17" s="418"/>
      <c r="H17" s="415"/>
      <c r="I17" s="418"/>
      <c r="J17" s="205">
        <f ca="1">B17-$H$16</f>
        <v>3.5715840367040554</v>
      </c>
    </row>
    <row r="18" spans="1:10" ht="15.75" customHeight="1" x14ac:dyDescent="0.15">
      <c r="B18" s="353">
        <v>11.08</v>
      </c>
      <c r="C18" s="435"/>
      <c r="D18" s="160">
        <f ca="1">H14/B18-1-C16</f>
        <v>3.3918784958250625E-4</v>
      </c>
      <c r="E18" s="432"/>
      <c r="F18" s="163">
        <f>E16/B18</f>
        <v>4.5126353790613721E-2</v>
      </c>
      <c r="G18" s="419"/>
      <c r="H18" s="416"/>
      <c r="I18" s="419"/>
      <c r="J18" s="207">
        <f>B18-$H$16</f>
        <v>3.5681674900009908</v>
      </c>
    </row>
    <row r="19" spans="1:10" ht="15.75" customHeight="1" x14ac:dyDescent="0.15">
      <c r="E19" s="6"/>
      <c r="H19" s="6"/>
    </row>
    <row r="20" spans="1:10" ht="15.75" customHeight="1" x14ac:dyDescent="0.15">
      <c r="A20" s="4"/>
      <c r="B20" s="20" t="s">
        <v>27</v>
      </c>
      <c r="C20" s="5" t="s">
        <v>250</v>
      </c>
      <c r="D20" s="290" t="s">
        <v>329</v>
      </c>
      <c r="E20" s="266" t="s">
        <v>260</v>
      </c>
      <c r="G20" s="6"/>
      <c r="H20" s="6"/>
      <c r="I20" s="6"/>
      <c r="J20" s="6"/>
    </row>
    <row r="21" spans="1:10" ht="15.75" customHeight="1" x14ac:dyDescent="0.15">
      <c r="A21" s="6"/>
      <c r="B21" s="24" t="s">
        <v>28</v>
      </c>
      <c r="C21" s="405"/>
      <c r="D21" s="406"/>
      <c r="E21" s="406"/>
      <c r="F21" s="406"/>
      <c r="G21" s="406"/>
      <c r="H21" s="406"/>
      <c r="I21" s="406"/>
      <c r="J21" s="407"/>
    </row>
    <row r="22" spans="1:10" ht="52.5" customHeight="1" x14ac:dyDescent="0.15">
      <c r="A22" s="6"/>
      <c r="B22" s="24" t="s">
        <v>29</v>
      </c>
      <c r="C22" s="421"/>
      <c r="D22" s="369"/>
      <c r="E22" s="369"/>
      <c r="F22" s="369"/>
      <c r="G22" s="421"/>
      <c r="H22" s="421"/>
      <c r="I22" s="369"/>
      <c r="J22" s="369"/>
    </row>
    <row r="23" spans="1:10" ht="52.5" customHeight="1" x14ac:dyDescent="0.15">
      <c r="A23" s="6"/>
      <c r="B23" s="25" t="s">
        <v>30</v>
      </c>
      <c r="C23" s="408"/>
      <c r="D23" s="409"/>
      <c r="E23" s="409"/>
      <c r="F23" s="409"/>
      <c r="G23" s="408"/>
      <c r="H23" s="408"/>
      <c r="I23" s="409"/>
      <c r="J23" s="409"/>
    </row>
    <row r="24" spans="1:10" ht="15.75" customHeight="1" x14ac:dyDescent="0.15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15">
      <c r="A25" s="4"/>
      <c r="B25" s="20" t="s">
        <v>31</v>
      </c>
      <c r="C25" s="22" t="s">
        <v>32</v>
      </c>
      <c r="D25" s="34">
        <v>600000</v>
      </c>
      <c r="E25" s="12"/>
      <c r="F25" s="8" t="s">
        <v>324</v>
      </c>
      <c r="G25" s="12"/>
      <c r="H25" s="354">
        <v>0.15</v>
      </c>
      <c r="I25" s="30" t="s">
        <v>325</v>
      </c>
      <c r="J25" s="355">
        <f ca="1">H14/(H25+C16+1)</f>
        <v>9.7534065610986982</v>
      </c>
    </row>
    <row r="26" spans="1:10" ht="15.75" customHeight="1" x14ac:dyDescent="0.15">
      <c r="B26" s="23" t="s">
        <v>33</v>
      </c>
      <c r="C26" s="403">
        <v>44988</v>
      </c>
      <c r="D26" s="404"/>
      <c r="E26" s="439" t="str">
        <f>IF(C26="","","Action_Planning")</f>
        <v>Action_Planning</v>
      </c>
      <c r="F26" s="440"/>
      <c r="G26" s="440"/>
      <c r="H26" s="441"/>
      <c r="I26" s="420" t="s">
        <v>34</v>
      </c>
      <c r="J26" s="420"/>
    </row>
    <row r="27" spans="1:10" ht="15.75" customHeight="1" x14ac:dyDescent="0.15">
      <c r="B27" s="23" t="s">
        <v>35</v>
      </c>
      <c r="C27" s="429">
        <f>C31/D25</f>
        <v>5.9499999999999997E-2</v>
      </c>
      <c r="D27" s="392"/>
      <c r="E27" s="428">
        <f>E31/D25</f>
        <v>5.5399999999999998E-2</v>
      </c>
      <c r="F27" s="392"/>
      <c r="G27" s="437">
        <f>G31/D25</f>
        <v>0</v>
      </c>
      <c r="H27" s="438"/>
      <c r="I27" s="436">
        <f>C27+E27+G27</f>
        <v>0.1149</v>
      </c>
      <c r="J27" s="436"/>
    </row>
    <row r="28" spans="1:10" ht="15.75" customHeight="1" x14ac:dyDescent="0.15">
      <c r="B28" s="23" t="s">
        <v>36</v>
      </c>
      <c r="C28" s="364">
        <v>3000</v>
      </c>
      <c r="D28" s="369"/>
      <c r="E28" s="364">
        <v>3000</v>
      </c>
      <c r="F28" s="369"/>
      <c r="G28" s="393"/>
      <c r="H28" s="394"/>
      <c r="I28" s="397">
        <f>C28+E28+G28</f>
        <v>6000</v>
      </c>
      <c r="J28" s="397"/>
    </row>
    <row r="29" spans="1:10" ht="15.75" customHeight="1" x14ac:dyDescent="0.15">
      <c r="B29" s="23" t="s">
        <v>37</v>
      </c>
      <c r="C29" s="368">
        <v>11.9</v>
      </c>
      <c r="D29" s="369"/>
      <c r="E29" s="368">
        <v>11.08</v>
      </c>
      <c r="F29" s="369"/>
      <c r="G29" s="370"/>
      <c r="H29" s="371"/>
      <c r="I29" s="395"/>
      <c r="J29" s="395"/>
    </row>
    <row r="30" spans="1:10" ht="15.75" customHeight="1" x14ac:dyDescent="0.15">
      <c r="B30" s="23" t="s">
        <v>38</v>
      </c>
      <c r="C30" s="366">
        <f>C29*$I$5/1000000</f>
        <v>8222.4203705</v>
      </c>
      <c r="D30" s="376"/>
      <c r="E30" s="366">
        <f>E29*$I$5/1000000</f>
        <v>7655.8334206</v>
      </c>
      <c r="F30" s="376"/>
      <c r="G30" s="379">
        <f>G29*$I$5/1000000</f>
        <v>0</v>
      </c>
      <c r="H30" s="380"/>
      <c r="I30" s="396"/>
      <c r="J30" s="396"/>
    </row>
    <row r="31" spans="1:10" ht="15.75" customHeight="1" x14ac:dyDescent="0.15">
      <c r="B31" s="2" t="s">
        <v>39</v>
      </c>
      <c r="C31" s="388">
        <f>C28*C29</f>
        <v>35700</v>
      </c>
      <c r="D31" s="389"/>
      <c r="E31" s="390">
        <f>E28*E29</f>
        <v>33240</v>
      </c>
      <c r="F31" s="391"/>
      <c r="G31" s="381">
        <f>G28*G29</f>
        <v>0</v>
      </c>
      <c r="H31" s="382"/>
      <c r="I31" s="390">
        <f>C31+E31+G31</f>
        <v>68940</v>
      </c>
      <c r="J31" s="390"/>
    </row>
    <row r="32" spans="1:10" ht="15.75" customHeight="1" x14ac:dyDescent="0.15">
      <c r="B32" s="1" t="s">
        <v>40</v>
      </c>
      <c r="C32" s="386"/>
      <c r="D32" s="387"/>
      <c r="E32" s="367">
        <f>IF(C31=0,"-",(C31+E31)/(C28+E28))</f>
        <v>11.49</v>
      </c>
      <c r="F32" s="392"/>
      <c r="G32" s="117"/>
      <c r="H32" s="117"/>
      <c r="I32" s="367">
        <f>IF(I31=0,"",I31/I28)</f>
        <v>11.49</v>
      </c>
      <c r="J32" s="367"/>
    </row>
    <row r="33" spans="2:10" ht="15.75" customHeight="1" x14ac:dyDescent="0.15">
      <c r="B33" s="1" t="s">
        <v>41</v>
      </c>
      <c r="C33" s="377"/>
      <c r="D33" s="378"/>
      <c r="E33" s="366">
        <f>IF(E32="-","-",E32*$I$5/1000000)</f>
        <v>7939.12689555</v>
      </c>
      <c r="F33" s="376"/>
      <c r="G33" s="118"/>
      <c r="H33" s="118"/>
      <c r="I33" s="366">
        <f>IF(I32="","",I32*$I$5/1000000)</f>
        <v>7939.12689555</v>
      </c>
      <c r="J33" s="366"/>
    </row>
    <row r="34" spans="2:10" ht="15.75" customHeight="1" x14ac:dyDescent="0.15"/>
    <row r="35" spans="2:10" ht="15.75" customHeight="1" x14ac:dyDescent="0.15">
      <c r="B35" s="146" t="s">
        <v>326</v>
      </c>
      <c r="C35" s="372">
        <f>E29</f>
        <v>11.08</v>
      </c>
      <c r="D35" s="373"/>
      <c r="G35" s="374" t="s">
        <v>327</v>
      </c>
      <c r="H35" s="375"/>
      <c r="I35" s="372">
        <f ca="1">F14</f>
        <v>13.106941291608036</v>
      </c>
      <c r="J35" s="373"/>
    </row>
    <row r="36" spans="2:10" ht="15.75" customHeight="1" x14ac:dyDescent="0.15">
      <c r="B36" s="146" t="s">
        <v>328</v>
      </c>
      <c r="C36" s="364">
        <f>E28</f>
        <v>3000</v>
      </c>
      <c r="D36" s="365"/>
      <c r="G36" s="383" t="s">
        <v>338</v>
      </c>
      <c r="H36" s="383"/>
      <c r="I36" s="384">
        <f ca="1">IF(C26="",0,I35/C29-1)</f>
        <v>0.10142363795025511</v>
      </c>
      <c r="J36" s="385"/>
    </row>
    <row r="37" spans="2:10" ht="15.75" customHeight="1" x14ac:dyDescent="0.15"/>
    <row r="38" spans="2:10" ht="15.75" customHeight="1" x14ac:dyDescent="0.15">
      <c r="B38" s="21" t="s">
        <v>339</v>
      </c>
      <c r="G38" s="346" t="s">
        <v>137</v>
      </c>
      <c r="H38" s="133"/>
      <c r="I38" s="133"/>
      <c r="J38" s="133"/>
    </row>
    <row r="39" spans="2:10" ht="15.75" customHeight="1" x14ac:dyDescent="0.15">
      <c r="B39" s="3" t="s">
        <v>340</v>
      </c>
      <c r="F39" s="214">
        <f>'Qualitative Analysis'!E8</f>
        <v>0.6</v>
      </c>
      <c r="G39" s="356"/>
      <c r="H39" s="116"/>
      <c r="I39" s="116"/>
      <c r="J39" s="116"/>
    </row>
    <row r="40" spans="2:10" ht="15.75" customHeight="1" x14ac:dyDescent="0.15">
      <c r="B40" s="3" t="s">
        <v>341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0" ht="15.75" customHeight="1" x14ac:dyDescent="0.15">
      <c r="B41" s="3" t="s">
        <v>342</v>
      </c>
      <c r="E41" s="357"/>
      <c r="F41" s="358">
        <f>'Qualitative Analysis'!E64</f>
        <v>0.64057823129251701</v>
      </c>
      <c r="G41" s="356" t="s">
        <v>343</v>
      </c>
      <c r="H41" s="116"/>
      <c r="I41" s="116"/>
      <c r="J41" s="116"/>
    </row>
    <row r="42" spans="2:10" ht="15.75" customHeight="1" x14ac:dyDescent="0.15">
      <c r="B42" s="3" t="s">
        <v>351</v>
      </c>
      <c r="E42" s="357">
        <f ca="1">IF(F42="Strongly disagree",0,IF(F42="disagree",1,IF(F42="So-so",2,IF(F42="agree",3,4))))/4</f>
        <v>0.5</v>
      </c>
      <c r="F42" s="102" t="str">
        <f ca="1">IF(F45&lt;D10,"Strongly Disagree",IF(F45&lt;10%,"Disagree",IF(F45&gt;=30%,"Strongly Agree",IF(F45&gt;=20%,"Agree","So-so"))))</f>
        <v>So-so</v>
      </c>
      <c r="G42" s="74" t="s">
        <v>344</v>
      </c>
      <c r="H42" s="74"/>
      <c r="I42" s="74"/>
      <c r="J42" s="74"/>
    </row>
    <row r="43" spans="2:10" ht="15.75" customHeight="1" x14ac:dyDescent="0.15">
      <c r="B43" s="3" t="s">
        <v>352</v>
      </c>
      <c r="F43" s="359">
        <v>0.6</v>
      </c>
      <c r="G43" s="116"/>
      <c r="H43" s="116"/>
      <c r="I43" s="116"/>
      <c r="J43" s="116"/>
    </row>
    <row r="44" spans="2:10" ht="15.75" customHeight="1" x14ac:dyDescent="0.15"/>
    <row r="45" spans="2:10" ht="15.75" customHeight="1" x14ac:dyDescent="0.15">
      <c r="B45" s="3" t="s">
        <v>345</v>
      </c>
      <c r="F45" s="358">
        <f ca="1">I35/C29-1</f>
        <v>0.10142363795025511</v>
      </c>
    </row>
    <row r="46" spans="2:10" ht="15.75" customHeight="1" x14ac:dyDescent="0.15">
      <c r="B46" s="3" t="s">
        <v>346</v>
      </c>
      <c r="F46" s="358">
        <f ca="1">D14/C29-1</f>
        <v>-0.1125482155440074</v>
      </c>
    </row>
    <row r="47" spans="2:10" ht="15.75" customHeight="1" x14ac:dyDescent="0.15"/>
    <row r="48" spans="2:10" ht="15.75" customHeight="1" x14ac:dyDescent="0.15">
      <c r="B48" s="3" t="s">
        <v>347</v>
      </c>
      <c r="F48" s="214">
        <f ca="1">IF(F45&lt;=0,0,AVERAGE(F39:F41,1-F43,E42))</f>
        <v>0.58811564625850332</v>
      </c>
      <c r="G48" s="74"/>
    </row>
    <row r="49" spans="2:8" ht="15.75" customHeight="1" x14ac:dyDescent="0.15">
      <c r="B49" s="3" t="s">
        <v>348</v>
      </c>
      <c r="E49" s="360">
        <f ca="1">F45/ABS(F46)</f>
        <v>0.90115722812679799</v>
      </c>
      <c r="F49" s="361">
        <f ca="1">IF(F46&gt;=0,100,F45/ABS(F46))</f>
        <v>0.90115722812679799</v>
      </c>
      <c r="G49" s="74"/>
    </row>
    <row r="50" spans="2:8" ht="15.75" customHeight="1" x14ac:dyDescent="0.15">
      <c r="B50" s="3" t="s">
        <v>349</v>
      </c>
      <c r="E50" s="107">
        <f ca="1">MAX(F48-ABS((1-F48)/F49),0)/2</f>
        <v>6.5527029120272029E-2</v>
      </c>
      <c r="F50" s="362">
        <f ca="1">MIN(E50,H50)</f>
        <v>6.5527029120272029E-2</v>
      </c>
      <c r="G50" s="363" t="s">
        <v>350</v>
      </c>
      <c r="H50" s="78">
        <v>0.3</v>
      </c>
    </row>
    <row r="51" spans="2:8" ht="15.75" customHeight="1" x14ac:dyDescent="0.15"/>
    <row r="52" spans="2:8" ht="15.75" customHeight="1" x14ac:dyDescent="0.15"/>
    <row r="53" spans="2:8" ht="15.75" customHeight="1" x14ac:dyDescent="0.15"/>
    <row r="54" spans="2:8" ht="15.75" customHeight="1" x14ac:dyDescent="0.15"/>
    <row r="55" spans="2:8" ht="15.75" customHeight="1" x14ac:dyDescent="0.15"/>
    <row r="56" spans="2:8" ht="15.75" customHeight="1" x14ac:dyDescent="0.15"/>
    <row r="57" spans="2:8" ht="15.75" customHeight="1" x14ac:dyDescent="0.15"/>
    <row r="58" spans="2:8" ht="15.75" customHeight="1" x14ac:dyDescent="0.15"/>
    <row r="59" spans="2:8" ht="15.75" customHeight="1" x14ac:dyDescent="0.15"/>
    <row r="60" spans="2:8" ht="15.75" customHeight="1" x14ac:dyDescent="0.15"/>
    <row r="61" spans="2:8" ht="15.75" customHeight="1" x14ac:dyDescent="0.15"/>
    <row r="62" spans="2:8" ht="15.75" customHeight="1" x14ac:dyDescent="0.15"/>
    <row r="63" spans="2:8" ht="15.75" customHeight="1" x14ac:dyDescent="0.15"/>
    <row r="64" spans="2:8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</sheetData>
  <mergeCells count="54"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8:H28"/>
    <mergeCell ref="I29:J29"/>
    <mergeCell ref="I30:J30"/>
    <mergeCell ref="I31:J31"/>
    <mergeCell ref="I28:J28"/>
    <mergeCell ref="C28:D28"/>
    <mergeCell ref="E29:F29"/>
    <mergeCell ref="E30:F30"/>
    <mergeCell ref="E28:F28"/>
    <mergeCell ref="C32:D32"/>
    <mergeCell ref="C31:D31"/>
    <mergeCell ref="E31:F31"/>
    <mergeCell ref="E32:F32"/>
    <mergeCell ref="C36:D36"/>
    <mergeCell ref="I33:J33"/>
    <mergeCell ref="I32:J32"/>
    <mergeCell ref="C29:D29"/>
    <mergeCell ref="G29:H29"/>
    <mergeCell ref="C35:D35"/>
    <mergeCell ref="G35:H35"/>
    <mergeCell ref="I35:J35"/>
    <mergeCell ref="C30:D30"/>
    <mergeCell ref="C33:D33"/>
    <mergeCell ref="E33:F33"/>
    <mergeCell ref="G30:H30"/>
    <mergeCell ref="G31:H31"/>
    <mergeCell ref="G36:H36"/>
    <mergeCell ref="I36:J36"/>
  </mergeCells>
  <conditionalFormatting sqref="C35:D36">
    <cfRule type="containsBlanks" priority="6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19">
      <formula>LEN(TRIM(C26))=0</formula>
    </cfRule>
  </conditionalFormatting>
  <conditionalFormatting sqref="D16 D18">
    <cfRule type="cellIs" dxfId="17" priority="15" operator="lessThan">
      <formula>0</formula>
    </cfRule>
  </conditionalFormatting>
  <conditionalFormatting sqref="E26:H26">
    <cfRule type="containsBlanks" dxfId="16" priority="3">
      <formula>LEN(TRIM(E26))=0</formula>
    </cfRule>
  </conditionalFormatting>
  <conditionalFormatting sqref="F49">
    <cfRule type="cellIs" dxfId="15" priority="1" operator="lessThan">
      <formula>1</formula>
    </cfRule>
  </conditionalFormatting>
  <conditionalFormatting sqref="H14">
    <cfRule type="cellIs" dxfId="14" priority="7" operator="greaterThan">
      <formula>$B$16</formula>
    </cfRule>
  </conditionalFormatting>
  <conditionalFormatting sqref="H16">
    <cfRule type="cellIs" dxfId="13" priority="10" operator="greaterThan">
      <formula>$B$16</formula>
    </cfRule>
  </conditionalFormatting>
  <conditionalFormatting sqref="I16">
    <cfRule type="cellIs" dxfId="12" priority="25" operator="lessThan">
      <formula>0</formula>
    </cfRule>
  </conditionalFormatting>
  <conditionalFormatting sqref="I35:J36">
    <cfRule type="containsBlanks" priority="2">
      <formula>LEN(TRIM(I35))=0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5A9D20E8-2A2D-4172-B672-4F2D599C3A28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4" zoomScaleNormal="100" workbookViewId="0">
      <selection activeCell="C35" sqref="C35:D35"/>
    </sheetView>
  </sheetViews>
  <sheetFormatPr baseColWidth="10" defaultColWidth="12.5" defaultRowHeight="15" customHeight="1" x14ac:dyDescent="0.15"/>
  <cols>
    <col min="1" max="1" width="1.5" style="3" customWidth="1"/>
    <col min="2" max="2" width="26.5" style="3" customWidth="1"/>
    <col min="3" max="13" width="24.6640625" style="3" customWidth="1"/>
    <col min="14" max="16384" width="12.5" style="3"/>
  </cols>
  <sheetData>
    <row r="1" spans="1:14" ht="8.25" customHeight="1" x14ac:dyDescent="0.15">
      <c r="A1" s="36"/>
      <c r="B1" s="37"/>
      <c r="C1" s="38"/>
      <c r="D1" s="38"/>
      <c r="E1" s="38"/>
      <c r="F1" s="38"/>
    </row>
    <row r="2" spans="1:14" ht="15.75" customHeight="1" x14ac:dyDescent="0.2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15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329958</v>
      </c>
      <c r="G3" s="6"/>
      <c r="H3" s="5"/>
      <c r="I3" s="6"/>
      <c r="J3" s="174"/>
      <c r="K3" s="6"/>
      <c r="L3" s="6"/>
      <c r="M3" s="6"/>
    </row>
    <row r="4" spans="1:14" ht="15.75" customHeight="1" x14ac:dyDescent="0.15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653426</v>
      </c>
      <c r="G4" s="6"/>
      <c r="I4" s="6"/>
      <c r="J4" s="87"/>
      <c r="K4" s="6"/>
    </row>
    <row r="5" spans="1:14" ht="15.75" customHeight="1" x14ac:dyDescent="0.15">
      <c r="A5" s="9"/>
      <c r="C5" s="6"/>
      <c r="F5" s="6"/>
      <c r="J5" s="6"/>
    </row>
    <row r="6" spans="1:14" ht="15.75" customHeight="1" x14ac:dyDescent="0.15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 x14ac:dyDescent="0.15">
      <c r="A7" s="9"/>
      <c r="B7" s="43" t="s">
        <v>45</v>
      </c>
      <c r="C7" s="35">
        <v>1247025</v>
      </c>
      <c r="D7" s="35">
        <v>1314605</v>
      </c>
      <c r="E7" s="35">
        <v>3061704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15">
      <c r="A8" s="9"/>
      <c r="B8" s="44" t="s">
        <v>46</v>
      </c>
      <c r="C8" s="14">
        <f t="shared" ref="C8:L8" si="1">IF(D7="","",C7/D7-1)</f>
        <v>-5.1407076650400674E-2</v>
      </c>
      <c r="D8" s="14">
        <f t="shared" si="1"/>
        <v>-0.5706296232424819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15">
      <c r="A9" s="9"/>
      <c r="B9" s="44" t="s">
        <v>47</v>
      </c>
      <c r="C9" s="35">
        <v>557767</v>
      </c>
      <c r="D9" s="35">
        <v>688814</v>
      </c>
      <c r="E9" s="35">
        <v>1897780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15">
      <c r="A10" s="9"/>
      <c r="B10" s="44" t="s">
        <v>48</v>
      </c>
      <c r="C10" s="14">
        <f t="shared" ref="C10:M10" si="2">IF(C7="","",(C7-C9)/C7)</f>
        <v>0.55272187806980611</v>
      </c>
      <c r="D10" s="14">
        <f t="shared" si="2"/>
        <v>0.4760296819196641</v>
      </c>
      <c r="E10" s="14">
        <f t="shared" si="2"/>
        <v>0.38015562575611489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15">
      <c r="A11" s="9"/>
      <c r="B11" s="44" t="s">
        <v>49</v>
      </c>
      <c r="C11" s="35">
        <v>35832</v>
      </c>
      <c r="D11" s="35">
        <v>59216</v>
      </c>
      <c r="E11" s="35">
        <v>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15">
      <c r="A12" s="9"/>
      <c r="B12" s="44" t="s">
        <v>50</v>
      </c>
      <c r="C12" s="14">
        <f t="shared" ref="C12:M12" si="3">IF(C7="","",C10-C13)</f>
        <v>2.8733986888795249E-2</v>
      </c>
      <c r="D12" s="14">
        <f t="shared" si="3"/>
        <v>4.5044709247264392E-2</v>
      </c>
      <c r="E12" s="14">
        <f t="shared" si="3"/>
        <v>0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15">
      <c r="A13" s="9"/>
      <c r="B13" s="44" t="s">
        <v>51</v>
      </c>
      <c r="C13" s="14">
        <f t="shared" ref="C13:M13" si="4">IF(C14="","",C14/C7)</f>
        <v>0.52398789118101086</v>
      </c>
      <c r="D13" s="14">
        <f t="shared" si="4"/>
        <v>0.43098497267239971</v>
      </c>
      <c r="E13" s="14">
        <f t="shared" si="4"/>
        <v>0.38015562575611489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15">
      <c r="A14" s="9"/>
      <c r="B14" s="44" t="s">
        <v>52</v>
      </c>
      <c r="C14" s="27">
        <f t="shared" ref="C14:M14" si="5">IF(C7="","",C7-C9-C11)</f>
        <v>653426</v>
      </c>
      <c r="D14" s="27">
        <f t="shared" si="5"/>
        <v>566575</v>
      </c>
      <c r="E14" s="27">
        <f t="shared" si="5"/>
        <v>1163924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15">
      <c r="A15" s="9"/>
      <c r="B15" s="44" t="s">
        <v>53</v>
      </c>
      <c r="C15" s="14">
        <f>IF(D14="","",IF(ABS(C14+D14)=ABS(C14)+ABS(D14),IF(C14&lt;0,-1,1)*(C14-D14)/D14,"Turn"))</f>
        <v>0.15329126770506993</v>
      </c>
      <c r="D15" s="14">
        <f t="shared" ref="D15:M15" si="6">IF(E14="","",IF(ABS(D14+E14)=ABS(D14)+ABS(E14),IF(D14&lt;0,-1,1)*(D14-E14)/E14,"Turn"))</f>
        <v>-0.51321993532223753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15">
      <c r="A16" s="9"/>
      <c r="B16" s="44" t="s">
        <v>54</v>
      </c>
      <c r="C16" s="143">
        <f>IF(C14="","",C14*(1-Operation!$D$23))</f>
        <v>653426</v>
      </c>
      <c r="D16" s="143">
        <f>IF(D14="","",D14*(1-Operation!$D$23))</f>
        <v>566575</v>
      </c>
      <c r="E16" s="143">
        <f>IF(E14="","",E14*(1-Operation!$D$23))</f>
        <v>1163924</v>
      </c>
      <c r="F16" s="143" t="str">
        <f>IF(F14="","",F14*(1-Operation!$D$23))</f>
        <v/>
      </c>
      <c r="G16" s="143" t="str">
        <f>IF(G14="","",G14*(1-Operation!$D$23))</f>
        <v/>
      </c>
      <c r="H16" s="143" t="str">
        <f>IF(H14="","",H14*(1-Operation!$D$23))</f>
        <v/>
      </c>
      <c r="I16" s="143" t="str">
        <f>IF(I14="","",I14*(1-Operation!$D$23))</f>
        <v/>
      </c>
      <c r="J16" s="143" t="str">
        <f>IF(J14="","",J14*(1-Operation!$D$23))</f>
        <v/>
      </c>
      <c r="K16" s="143" t="str">
        <f>IF(K14="","",K14*(1-Operation!$D$23))</f>
        <v/>
      </c>
      <c r="L16" s="143" t="str">
        <f>IF(L14="","",L14*(1-Operation!$D$23))</f>
        <v/>
      </c>
      <c r="M16" s="243" t="str">
        <f>IF(M14="","",M14*(1-Operation!$D$23))</f>
        <v/>
      </c>
      <c r="N16" s="6"/>
    </row>
    <row r="17" spans="1:14" ht="15.75" customHeight="1" x14ac:dyDescent="0.15">
      <c r="A17" s="9"/>
      <c r="B17" s="142" t="s">
        <v>55</v>
      </c>
      <c r="C17" s="129">
        <f t="shared" ref="C17:M17" si="7">IF(C7="","",C16/C7)</f>
        <v>0.52398789118101086</v>
      </c>
      <c r="D17" s="129">
        <f t="shared" si="7"/>
        <v>0.43098497267239971</v>
      </c>
      <c r="E17" s="129">
        <f t="shared" si="7"/>
        <v>0.38015562575611489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15">
      <c r="A18" s="9"/>
      <c r="B18" s="44" t="s">
        <v>253</v>
      </c>
      <c r="C18" s="144">
        <v>2235</v>
      </c>
      <c r="D18" s="144">
        <v>3320</v>
      </c>
      <c r="E18" s="144">
        <v>3931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15">
      <c r="A19" s="9"/>
      <c r="B19" s="44" t="s">
        <v>56</v>
      </c>
      <c r="C19" s="35">
        <v>329958</v>
      </c>
      <c r="D19" s="35">
        <v>301899</v>
      </c>
      <c r="E19" s="35">
        <v>1288227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15">
      <c r="A20" s="9"/>
      <c r="B20" s="44" t="s">
        <v>268</v>
      </c>
      <c r="C20" s="14">
        <f>IF(D19="","",IF(ABS(C19+D19)=ABS(C19)+ABS(D19),IF(C19&lt;0,-1,1)*(C19-D19)/D19,"Turn"))</f>
        <v>9.2941679170848529E-2</v>
      </c>
      <c r="D20" s="14">
        <f t="shared" ref="D20:M20" si="8">IF(E19="","",IF(ABS(D19+E19)=ABS(D19)+ABS(E19),IF(D19&lt;0,-1,1)*(D19-E19)/E19,"Turn"))</f>
        <v>-0.76564766923841843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15">
      <c r="A21" s="9"/>
      <c r="B21" s="44" t="s">
        <v>57</v>
      </c>
      <c r="C21" s="176">
        <v>5604062</v>
      </c>
      <c r="D21" s="35">
        <v>5413700</v>
      </c>
      <c r="E21" s="35">
        <v>5654990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15">
      <c r="A22" s="9"/>
      <c r="B22" s="44" t="s">
        <v>58</v>
      </c>
      <c r="C22" s="176">
        <v>526890</v>
      </c>
      <c r="D22" s="35">
        <v>515132</v>
      </c>
      <c r="E22" s="35">
        <v>892243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15">
      <c r="A23" s="9"/>
      <c r="B23" s="44" t="s">
        <v>59</v>
      </c>
      <c r="C23" s="176">
        <v>39109</v>
      </c>
      <c r="D23" s="35">
        <v>45781</v>
      </c>
      <c r="E23" s="35">
        <v>64264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15">
      <c r="A24" s="9"/>
      <c r="B24" s="141" t="s">
        <v>60</v>
      </c>
      <c r="C24" s="272">
        <v>39109</v>
      </c>
      <c r="D24" s="140">
        <v>42788</v>
      </c>
      <c r="E24" s="140">
        <v>61537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15">
      <c r="A25" s="9"/>
      <c r="B25" s="44" t="s">
        <v>61</v>
      </c>
      <c r="C25" s="176">
        <v>47305</v>
      </c>
      <c r="D25" s="35">
        <v>44376</v>
      </c>
      <c r="E25" s="35">
        <v>88172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15">
      <c r="A26" s="9"/>
      <c r="B26" s="141" t="s">
        <v>62</v>
      </c>
      <c r="C26" s="175">
        <v>47305</v>
      </c>
      <c r="D26" s="140">
        <v>44376</v>
      </c>
      <c r="E26" s="140">
        <v>88172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15">
      <c r="A27" s="9"/>
      <c r="B27" s="44" t="s">
        <v>63</v>
      </c>
      <c r="C27" s="27">
        <f t="shared" ref="C27:M27" si="9">IF(C7="","",C23+C25)</f>
        <v>86414</v>
      </c>
      <c r="D27" s="27">
        <f t="shared" si="9"/>
        <v>90157</v>
      </c>
      <c r="E27" s="27">
        <f t="shared" si="9"/>
        <v>152436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15">
      <c r="A28" s="9"/>
      <c r="B28" s="44" t="s">
        <v>64</v>
      </c>
      <c r="C28" s="176">
        <v>20042186</v>
      </c>
      <c r="D28" s="35">
        <v>19998157</v>
      </c>
      <c r="E28" s="35">
        <v>20045506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15">
      <c r="A29" s="9"/>
      <c r="B29" s="141" t="s">
        <v>207</v>
      </c>
      <c r="C29" s="175">
        <v>19881690</v>
      </c>
      <c r="D29" s="140">
        <v>19850643</v>
      </c>
      <c r="E29" s="140">
        <v>19881530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15">
      <c r="A30" s="9"/>
      <c r="B30" s="44" t="s">
        <v>65</v>
      </c>
      <c r="C30" s="176">
        <v>201443</v>
      </c>
      <c r="D30" s="35">
        <v>244827</v>
      </c>
      <c r="E30" s="35">
        <v>359739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15">
      <c r="A31" s="9"/>
      <c r="B31" s="44" t="s">
        <v>231</v>
      </c>
      <c r="C31" s="176">
        <v>2954360</v>
      </c>
      <c r="D31" s="35">
        <v>4276107</v>
      </c>
      <c r="E31" s="35">
        <v>4917465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15">
      <c r="A32" s="9"/>
      <c r="B32" s="44" t="s">
        <v>66</v>
      </c>
      <c r="C32" s="14">
        <f t="shared" ref="C32:M32" si="10">IF(D7="","",(C30-D30)/C30)</f>
        <v>-0.21536613334789495</v>
      </c>
      <c r="D32" s="14">
        <f t="shared" si="10"/>
        <v>-0.46935999705914788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15">
      <c r="A33" s="9"/>
      <c r="B33" s="44" t="s">
        <v>67</v>
      </c>
      <c r="C33" s="248">
        <f>IF(D7="","",(C7-D7)*Asset_Model!$D$65)</f>
        <v>-5075.2579999999998</v>
      </c>
      <c r="D33" s="248">
        <f>IF(E7="","",(D7-E7)*Asset_Model!$D$65)</f>
        <v>-131207.1349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15">
      <c r="A34" s="9"/>
      <c r="B34" s="44" t="s">
        <v>79</v>
      </c>
      <c r="C34" s="143">
        <f>IF(D7="","",C30-D30+C33+IF($C$49="Yes",C51,0))</f>
        <v>-48459.258000000002</v>
      </c>
      <c r="D34" s="143">
        <f>IF(E7="","",D30-E30+D33+IF($C$49="Yes",D51,0))</f>
        <v>-246119.1349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 x14ac:dyDescent="0.15">
      <c r="A35" s="9"/>
      <c r="B35" s="247" t="s">
        <v>68</v>
      </c>
      <c r="C35" s="239">
        <f t="shared" ref="C35:M35" si="19">IF(C34="","",C34/C16)</f>
        <v>-7.4161814803818643E-2</v>
      </c>
      <c r="D35" s="239">
        <f t="shared" si="19"/>
        <v>-0.43439815540749238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15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15">
      <c r="A37" s="9"/>
      <c r="B37" s="168" t="s">
        <v>254</v>
      </c>
      <c r="C37" s="165">
        <v>0</v>
      </c>
      <c r="D37" s="165">
        <v>0</v>
      </c>
      <c r="E37" s="165">
        <v>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15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15">
      <c r="A39" s="9"/>
      <c r="B39" s="142" t="s">
        <v>203</v>
      </c>
      <c r="C39" s="170">
        <f t="shared" ref="C39:M39" si="20">IF(C37="","",C37*$C$4/Common_Shares)</f>
        <v>0</v>
      </c>
      <c r="D39" s="170">
        <f t="shared" si="20"/>
        <v>0</v>
      </c>
      <c r="E39" s="170">
        <f t="shared" si="20"/>
        <v>0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15">
      <c r="A40" s="9"/>
      <c r="B40" s="169" t="s">
        <v>204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15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15">
      <c r="A42" s="9"/>
      <c r="B42" s="43" t="s">
        <v>72</v>
      </c>
      <c r="C42" s="48">
        <f>IF(C29="","",C25/C28)</f>
        <v>2.360271479368568E-3</v>
      </c>
      <c r="D42" s="48">
        <f t="shared" ref="D42:M42" si="22">IF(D29="","",D25/D29)</f>
        <v>2.235494336379935E-3</v>
      </c>
      <c r="E42" s="48">
        <f t="shared" si="22"/>
        <v>4.4348699521616292E-3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15">
      <c r="A43" s="9"/>
      <c r="B43" s="44" t="s">
        <v>249</v>
      </c>
      <c r="C43" s="14">
        <f t="shared" ref="C43:M43" si="23">IF(C29="","",C27/C29)</f>
        <v>4.3464111954265462E-3</v>
      </c>
      <c r="D43" s="14">
        <f t="shared" si="23"/>
        <v>4.5417672364567738E-3</v>
      </c>
      <c r="E43" s="14">
        <f t="shared" si="23"/>
        <v>7.6672167584687896E-3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15">
      <c r="A44" s="9"/>
      <c r="B44" s="44" t="s">
        <v>73</v>
      </c>
      <c r="C44" s="50">
        <f t="shared" ref="C44:M44" si="24">IF(C14="","",IF(C27&lt;=0,"-",C14/C27))</f>
        <v>7.5615756706089288</v>
      </c>
      <c r="D44" s="50">
        <f t="shared" si="24"/>
        <v>6.2843151391461562</v>
      </c>
      <c r="E44" s="50">
        <f t="shared" si="24"/>
        <v>7.635492928179695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15">
      <c r="A45" s="9"/>
      <c r="B45" s="44" t="s">
        <v>74</v>
      </c>
      <c r="C45" s="14">
        <f t="shared" ref="C45:M45" si="25">IF(C16="","",IF(C18&lt;=0,"-",C18/C16))</f>
        <v>3.4204332242671704E-3</v>
      </c>
      <c r="D45" s="14">
        <f t="shared" si="25"/>
        <v>5.8597714336142614E-3</v>
      </c>
      <c r="E45" s="14">
        <f t="shared" si="25"/>
        <v>3.377368281777848E-3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15">
      <c r="A46" s="9"/>
      <c r="B46" s="46" t="s">
        <v>75</v>
      </c>
      <c r="C46" s="51">
        <f t="shared" ref="C46:M46" si="26">IF(C21="","",C21/C22)</f>
        <v>10.63611379984437</v>
      </c>
      <c r="D46" s="51">
        <f t="shared" si="26"/>
        <v>10.509345177546725</v>
      </c>
      <c r="E46" s="51">
        <f t="shared" si="26"/>
        <v>6.3379482943547893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15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15">
      <c r="A48" s="9"/>
      <c r="B48" s="21" t="s">
        <v>76</v>
      </c>
      <c r="C48" s="52"/>
      <c r="D48" s="52"/>
      <c r="E48" s="52"/>
      <c r="F48" s="52"/>
    </row>
    <row r="49" spans="1:13" ht="15" customHeight="1" x14ac:dyDescent="0.15">
      <c r="A49" s="9"/>
      <c r="B49" s="5" t="s">
        <v>77</v>
      </c>
      <c r="C49" s="341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15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15">
      <c r="A51" s="9"/>
      <c r="B51" s="339" t="s">
        <v>294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15">
      <c r="A52" s="9"/>
      <c r="B52" s="340" t="s">
        <v>295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 x14ac:dyDescent="0.15">
      <c r="A53" s="9"/>
      <c r="B53" s="53"/>
      <c r="C53" s="56"/>
      <c r="D53" s="56"/>
    </row>
    <row r="54" spans="1:13" ht="15.75" customHeight="1" x14ac:dyDescent="0.15">
      <c r="A54" s="9"/>
      <c r="B54" s="53"/>
      <c r="C54" s="56"/>
      <c r="D54" s="56"/>
    </row>
    <row r="55" spans="1:13" ht="15.75" customHeight="1" x14ac:dyDescent="0.15">
      <c r="A55" s="9"/>
      <c r="B55" s="53"/>
      <c r="C55" s="56"/>
      <c r="D55" s="56"/>
    </row>
    <row r="56" spans="1:13" ht="15.75" customHeight="1" x14ac:dyDescent="0.15">
      <c r="A56" s="9"/>
      <c r="B56" s="53"/>
      <c r="C56" s="57"/>
      <c r="D56" s="57"/>
    </row>
    <row r="57" spans="1:13" ht="15.75" customHeight="1" x14ac:dyDescent="0.15">
      <c r="A57" s="9"/>
      <c r="B57" s="53"/>
      <c r="C57" s="56"/>
      <c r="D57" s="56"/>
    </row>
    <row r="58" spans="1:13" ht="15.75" customHeight="1" x14ac:dyDescent="0.15">
      <c r="A58" s="9"/>
      <c r="B58" s="53"/>
      <c r="C58" s="57"/>
      <c r="D58" s="57"/>
    </row>
    <row r="59" spans="1:13" ht="15.75" customHeight="1" x14ac:dyDescent="0.15">
      <c r="A59" s="9"/>
    </row>
    <row r="60" spans="1:13" ht="15.75" customHeight="1" x14ac:dyDescent="0.15">
      <c r="A60" s="9"/>
    </row>
    <row r="61" spans="1:13" ht="15.75" customHeight="1" x14ac:dyDescent="0.15">
      <c r="A61" s="9"/>
    </row>
    <row r="62" spans="1:13" ht="15.75" customHeight="1" x14ac:dyDescent="0.15">
      <c r="A62" s="9"/>
    </row>
    <row r="63" spans="1:13" ht="15.75" customHeight="1" x14ac:dyDescent="0.15">
      <c r="A63" s="9"/>
    </row>
    <row r="64" spans="1:13" ht="15.75" customHeight="1" x14ac:dyDescent="0.15">
      <c r="A64" s="9"/>
    </row>
    <row r="65" spans="1:1" ht="15.75" customHeight="1" x14ac:dyDescent="0.15">
      <c r="A65" s="9"/>
    </row>
    <row r="66" spans="1:1" ht="15.75" customHeight="1" x14ac:dyDescent="0.15">
      <c r="A66" s="9"/>
    </row>
    <row r="67" spans="1:1" ht="15.75" customHeight="1" x14ac:dyDescent="0.15">
      <c r="A67" s="9"/>
    </row>
    <row r="68" spans="1:1" ht="15.75" customHeight="1" x14ac:dyDescent="0.15">
      <c r="A68" s="9"/>
    </row>
    <row r="69" spans="1:1" ht="15.75" customHeight="1" x14ac:dyDescent="0.15">
      <c r="A69" s="9"/>
    </row>
    <row r="70" spans="1:1" ht="15.75" customHeight="1" x14ac:dyDescent="0.15">
      <c r="A70" s="9"/>
    </row>
    <row r="71" spans="1:1" ht="15.75" customHeight="1" x14ac:dyDescent="0.15">
      <c r="A71" s="9"/>
    </row>
    <row r="72" spans="1:1" ht="15.75" customHeight="1" x14ac:dyDescent="0.15">
      <c r="A72" s="9"/>
    </row>
    <row r="73" spans="1:1" ht="15.75" customHeight="1" x14ac:dyDescent="0.15">
      <c r="A73" s="9"/>
    </row>
    <row r="74" spans="1:1" ht="15.75" customHeight="1" x14ac:dyDescent="0.15">
      <c r="A74" s="9"/>
    </row>
    <row r="75" spans="1:1" ht="15.75" customHeight="1" x14ac:dyDescent="0.15">
      <c r="A75" s="9"/>
    </row>
    <row r="76" spans="1:1" ht="15.75" customHeight="1" x14ac:dyDescent="0.15">
      <c r="A76" s="9"/>
    </row>
    <row r="77" spans="1:1" ht="15.75" customHeight="1" x14ac:dyDescent="0.15">
      <c r="A77" s="9"/>
    </row>
    <row r="78" spans="1:1" ht="15.75" customHeight="1" x14ac:dyDescent="0.15">
      <c r="A78" s="9"/>
    </row>
    <row r="79" spans="1:1" ht="15.75" customHeight="1" x14ac:dyDescent="0.15">
      <c r="A79" s="9"/>
    </row>
    <row r="80" spans="1:1" ht="15.75" customHeight="1" x14ac:dyDescent="0.15">
      <c r="A80" s="9"/>
    </row>
    <row r="81" spans="1:1" ht="15.75" customHeight="1" x14ac:dyDescent="0.15">
      <c r="A81" s="9"/>
    </row>
    <row r="82" spans="1:1" ht="15.75" customHeight="1" x14ac:dyDescent="0.15">
      <c r="A82" s="9"/>
    </row>
    <row r="83" spans="1:1" ht="15.75" customHeight="1" x14ac:dyDescent="0.15">
      <c r="A83" s="9"/>
    </row>
    <row r="84" spans="1:1" ht="15.75" customHeight="1" x14ac:dyDescent="0.15">
      <c r="A84" s="9"/>
    </row>
    <row r="85" spans="1:1" ht="15.75" customHeight="1" x14ac:dyDescent="0.15">
      <c r="A85" s="9"/>
    </row>
    <row r="86" spans="1:1" ht="15.75" customHeight="1" x14ac:dyDescent="0.15">
      <c r="A86" s="9"/>
    </row>
    <row r="87" spans="1:1" ht="15.75" customHeight="1" x14ac:dyDescent="0.15">
      <c r="A87" s="9"/>
    </row>
    <row r="88" spans="1:1" ht="15.75" customHeight="1" x14ac:dyDescent="0.15">
      <c r="A88" s="9"/>
    </row>
    <row r="89" spans="1:1" ht="15.75" customHeight="1" x14ac:dyDescent="0.15">
      <c r="A89" s="9"/>
    </row>
    <row r="90" spans="1:1" ht="15.75" customHeight="1" x14ac:dyDescent="0.15">
      <c r="A90" s="9"/>
    </row>
    <row r="91" spans="1:1" ht="15.75" customHeight="1" x14ac:dyDescent="0.15">
      <c r="A91" s="9"/>
    </row>
    <row r="92" spans="1:1" ht="15.75" customHeight="1" x14ac:dyDescent="0.15">
      <c r="A92" s="9"/>
    </row>
    <row r="93" spans="1:1" ht="15.75" customHeight="1" x14ac:dyDescent="0.15">
      <c r="A93" s="9"/>
    </row>
    <row r="94" spans="1:1" ht="15.75" customHeight="1" x14ac:dyDescent="0.15">
      <c r="A94" s="9"/>
    </row>
    <row r="95" spans="1:1" ht="15.75" customHeight="1" x14ac:dyDescent="0.15">
      <c r="A95" s="9"/>
    </row>
    <row r="96" spans="1:1" ht="15.75" customHeight="1" x14ac:dyDescent="0.15">
      <c r="A96" s="9"/>
    </row>
    <row r="97" spans="1:1" ht="15.75" customHeight="1" x14ac:dyDescent="0.15">
      <c r="A97" s="9"/>
    </row>
    <row r="98" spans="1:1" ht="15.75" customHeight="1" x14ac:dyDescent="0.15">
      <c r="A98" s="9"/>
    </row>
    <row r="99" spans="1:1" ht="15.75" customHeight="1" x14ac:dyDescent="0.15">
      <c r="A99" s="9"/>
    </row>
    <row r="100" spans="1:1" ht="15.75" customHeight="1" x14ac:dyDescent="0.15">
      <c r="A100" s="9"/>
    </row>
    <row r="101" spans="1:1" ht="15.75" customHeight="1" x14ac:dyDescent="0.15">
      <c r="A101" s="9"/>
    </row>
    <row r="102" spans="1:1" ht="15.75" customHeight="1" x14ac:dyDescent="0.15">
      <c r="A102" s="9"/>
    </row>
    <row r="103" spans="1:1" ht="15.75" customHeight="1" x14ac:dyDescent="0.15">
      <c r="A103" s="9"/>
    </row>
    <row r="104" spans="1:1" ht="15.75" customHeight="1" x14ac:dyDescent="0.15">
      <c r="A104" s="9"/>
    </row>
    <row r="105" spans="1:1" ht="15.75" customHeight="1" x14ac:dyDescent="0.15">
      <c r="A105" s="9"/>
    </row>
    <row r="106" spans="1:1" ht="15.75" customHeight="1" x14ac:dyDescent="0.15">
      <c r="A106" s="9"/>
    </row>
    <row r="107" spans="1:1" ht="15.75" customHeight="1" x14ac:dyDescent="0.15">
      <c r="A107" s="9"/>
    </row>
    <row r="108" spans="1:1" ht="15.75" customHeight="1" x14ac:dyDescent="0.15">
      <c r="A108" s="9"/>
    </row>
    <row r="109" spans="1:1" ht="15.75" customHeight="1" x14ac:dyDescent="0.15">
      <c r="A109" s="9"/>
    </row>
    <row r="110" spans="1:1" ht="15.75" customHeight="1" x14ac:dyDescent="0.15">
      <c r="A110" s="9"/>
    </row>
    <row r="111" spans="1:1" ht="15.75" customHeight="1" x14ac:dyDescent="0.15">
      <c r="A111" s="9"/>
    </row>
    <row r="112" spans="1:1" ht="15.75" customHeight="1" x14ac:dyDescent="0.15">
      <c r="A112" s="9"/>
    </row>
    <row r="113" spans="1:1" ht="15.75" customHeight="1" x14ac:dyDescent="0.15">
      <c r="A113" s="9"/>
    </row>
    <row r="114" spans="1:1" ht="15.75" customHeight="1" x14ac:dyDescent="0.15">
      <c r="A114" s="9"/>
    </row>
    <row r="115" spans="1:1" ht="15.75" customHeight="1" x14ac:dyDescent="0.15">
      <c r="A115" s="9"/>
    </row>
    <row r="116" spans="1:1" ht="15.75" customHeight="1" x14ac:dyDescent="0.15">
      <c r="A116" s="9"/>
    </row>
    <row r="117" spans="1:1" ht="15.75" customHeight="1" x14ac:dyDescent="0.15">
      <c r="A117" s="9"/>
    </row>
    <row r="118" spans="1:1" ht="15.75" customHeight="1" x14ac:dyDescent="0.15">
      <c r="A118" s="9"/>
    </row>
    <row r="119" spans="1:1" ht="15.75" customHeight="1" x14ac:dyDescent="0.15">
      <c r="A119" s="9"/>
    </row>
    <row r="120" spans="1:1" ht="15.75" customHeight="1" x14ac:dyDescent="0.15">
      <c r="A120" s="9"/>
    </row>
    <row r="121" spans="1:1" ht="15.75" customHeight="1" x14ac:dyDescent="0.15">
      <c r="A121" s="9"/>
    </row>
    <row r="122" spans="1:1" ht="15.75" customHeight="1" x14ac:dyDescent="0.15">
      <c r="A122" s="9"/>
    </row>
    <row r="123" spans="1:1" ht="15.75" customHeight="1" x14ac:dyDescent="0.15">
      <c r="A123" s="9"/>
    </row>
    <row r="124" spans="1:1" ht="15.75" customHeight="1" x14ac:dyDescent="0.15">
      <c r="A124" s="9"/>
    </row>
    <row r="125" spans="1:1" ht="15.75" customHeight="1" x14ac:dyDescent="0.15">
      <c r="A125" s="9"/>
    </row>
    <row r="126" spans="1:1" ht="15.75" customHeight="1" x14ac:dyDescent="0.15">
      <c r="A126" s="9"/>
    </row>
    <row r="127" spans="1:1" ht="15.75" customHeight="1" x14ac:dyDescent="0.15">
      <c r="A127" s="9"/>
    </row>
    <row r="128" spans="1:1" ht="15.75" customHeight="1" x14ac:dyDescent="0.15">
      <c r="A128" s="9"/>
    </row>
    <row r="129" spans="1:1" ht="15.75" customHeight="1" x14ac:dyDescent="0.15">
      <c r="A129" s="9"/>
    </row>
    <row r="130" spans="1:1" ht="15.75" customHeight="1" x14ac:dyDescent="0.15">
      <c r="A130" s="9"/>
    </row>
    <row r="131" spans="1:1" ht="15.75" customHeight="1" x14ac:dyDescent="0.15">
      <c r="A131" s="9"/>
    </row>
    <row r="132" spans="1:1" ht="15.75" customHeight="1" x14ac:dyDescent="0.15">
      <c r="A132" s="9"/>
    </row>
    <row r="133" spans="1:1" ht="15.75" customHeight="1" x14ac:dyDescent="0.15">
      <c r="A133" s="9"/>
    </row>
    <row r="134" spans="1:1" ht="15.75" customHeight="1" x14ac:dyDescent="0.15">
      <c r="A134" s="9"/>
    </row>
    <row r="135" spans="1:1" ht="15.75" customHeight="1" x14ac:dyDescent="0.15">
      <c r="A135" s="9"/>
    </row>
    <row r="136" spans="1:1" ht="15.75" customHeight="1" x14ac:dyDescent="0.15">
      <c r="A136" s="9"/>
    </row>
    <row r="137" spans="1:1" ht="15.75" customHeight="1" x14ac:dyDescent="0.15">
      <c r="A137" s="9"/>
    </row>
    <row r="138" spans="1:1" ht="15.75" customHeight="1" x14ac:dyDescent="0.15">
      <c r="A138" s="9"/>
    </row>
    <row r="139" spans="1:1" ht="15.75" customHeight="1" x14ac:dyDescent="0.15">
      <c r="A139" s="9"/>
    </row>
    <row r="140" spans="1:1" ht="15.75" customHeight="1" x14ac:dyDescent="0.15">
      <c r="A140" s="9"/>
    </row>
    <row r="141" spans="1:1" ht="15.75" customHeight="1" x14ac:dyDescent="0.15">
      <c r="A141" s="9"/>
    </row>
    <row r="142" spans="1:1" ht="15.75" customHeight="1" x14ac:dyDescent="0.15">
      <c r="A142" s="9"/>
    </row>
    <row r="143" spans="1:1" ht="15.75" customHeight="1" x14ac:dyDescent="0.15">
      <c r="A143" s="9"/>
    </row>
    <row r="144" spans="1:1" ht="15.75" customHeight="1" x14ac:dyDescent="0.15">
      <c r="A144" s="9"/>
    </row>
    <row r="145" spans="1:1" ht="15.75" customHeight="1" x14ac:dyDescent="0.15">
      <c r="A145" s="9"/>
    </row>
    <row r="146" spans="1:1" ht="15.75" customHeight="1" x14ac:dyDescent="0.15">
      <c r="A146" s="9"/>
    </row>
    <row r="147" spans="1:1" ht="15.75" customHeight="1" x14ac:dyDescent="0.15">
      <c r="A147" s="9"/>
    </row>
    <row r="148" spans="1:1" ht="15.75" customHeight="1" x14ac:dyDescent="0.15">
      <c r="A148" s="9"/>
    </row>
    <row r="149" spans="1:1" ht="15.75" customHeight="1" x14ac:dyDescent="0.15">
      <c r="A149" s="9"/>
    </row>
    <row r="150" spans="1:1" ht="15.75" customHeight="1" x14ac:dyDescent="0.15">
      <c r="A150" s="9"/>
    </row>
    <row r="151" spans="1:1" ht="15.75" customHeight="1" x14ac:dyDescent="0.15">
      <c r="A151" s="9"/>
    </row>
    <row r="152" spans="1:1" ht="15.75" customHeight="1" x14ac:dyDescent="0.15">
      <c r="A152" s="9"/>
    </row>
    <row r="153" spans="1:1" ht="15.75" customHeight="1" x14ac:dyDescent="0.15">
      <c r="A153" s="9"/>
    </row>
    <row r="154" spans="1:1" ht="15.75" customHeight="1" x14ac:dyDescent="0.15">
      <c r="A154" s="9"/>
    </row>
    <row r="155" spans="1:1" ht="15.75" customHeight="1" x14ac:dyDescent="0.15">
      <c r="A155" s="9"/>
    </row>
    <row r="156" spans="1:1" ht="15.75" customHeight="1" x14ac:dyDescent="0.15">
      <c r="A156" s="9"/>
    </row>
    <row r="157" spans="1:1" ht="15.75" customHeight="1" x14ac:dyDescent="0.15">
      <c r="A157" s="9"/>
    </row>
    <row r="158" spans="1:1" ht="15.75" customHeight="1" x14ac:dyDescent="0.15">
      <c r="A158" s="9"/>
    </row>
    <row r="159" spans="1:1" ht="15.75" customHeight="1" x14ac:dyDescent="0.15">
      <c r="A159" s="9"/>
    </row>
    <row r="160" spans="1:1" ht="15.75" customHeight="1" x14ac:dyDescent="0.15">
      <c r="A160" s="9"/>
    </row>
    <row r="161" spans="1:1" ht="15.75" customHeight="1" x14ac:dyDescent="0.15">
      <c r="A161" s="9"/>
    </row>
    <row r="162" spans="1:1" ht="15.75" customHeight="1" x14ac:dyDescent="0.15">
      <c r="A162" s="9"/>
    </row>
    <row r="163" spans="1:1" ht="15.75" customHeight="1" x14ac:dyDescent="0.15">
      <c r="A163" s="9"/>
    </row>
    <row r="164" spans="1:1" ht="15.75" customHeight="1" x14ac:dyDescent="0.15">
      <c r="A164" s="9"/>
    </row>
    <row r="165" spans="1:1" ht="15.75" customHeight="1" x14ac:dyDescent="0.15">
      <c r="A165" s="9"/>
    </row>
    <row r="166" spans="1:1" ht="15.75" customHeight="1" x14ac:dyDescent="0.15">
      <c r="A166" s="9"/>
    </row>
    <row r="167" spans="1:1" ht="15.75" customHeight="1" x14ac:dyDescent="0.15">
      <c r="A167" s="9"/>
    </row>
    <row r="168" spans="1:1" ht="15.75" customHeight="1" x14ac:dyDescent="0.15">
      <c r="A168" s="9"/>
    </row>
    <row r="169" spans="1:1" ht="15.75" customHeight="1" x14ac:dyDescent="0.15">
      <c r="A169" s="9"/>
    </row>
    <row r="170" spans="1:1" ht="15.75" customHeight="1" x14ac:dyDescent="0.15">
      <c r="A170" s="9"/>
    </row>
    <row r="171" spans="1:1" ht="15.75" customHeight="1" x14ac:dyDescent="0.15">
      <c r="A171" s="9"/>
    </row>
    <row r="172" spans="1:1" ht="15.75" customHeight="1" x14ac:dyDescent="0.15">
      <c r="A172" s="9"/>
    </row>
    <row r="173" spans="1:1" ht="15.75" customHeight="1" x14ac:dyDescent="0.15">
      <c r="A173" s="9"/>
    </row>
    <row r="174" spans="1:1" ht="15.75" customHeight="1" x14ac:dyDescent="0.15">
      <c r="A174" s="9"/>
    </row>
    <row r="175" spans="1:1" ht="15.75" customHeight="1" x14ac:dyDescent="0.15">
      <c r="A175" s="9"/>
    </row>
    <row r="176" spans="1:1" ht="15.75" customHeight="1" x14ac:dyDescent="0.15">
      <c r="A176" s="9"/>
    </row>
    <row r="177" spans="1:1" ht="15.75" customHeight="1" x14ac:dyDescent="0.15">
      <c r="A177" s="9"/>
    </row>
    <row r="178" spans="1:1" ht="15.75" customHeight="1" x14ac:dyDescent="0.15">
      <c r="A178" s="9"/>
    </row>
    <row r="179" spans="1:1" ht="15.75" customHeight="1" x14ac:dyDescent="0.15">
      <c r="A179" s="9"/>
    </row>
    <row r="180" spans="1:1" ht="15.75" customHeight="1" x14ac:dyDescent="0.15">
      <c r="A180" s="9"/>
    </row>
    <row r="181" spans="1:1" ht="15.75" customHeight="1" x14ac:dyDescent="0.15">
      <c r="A181" s="9"/>
    </row>
    <row r="182" spans="1:1" ht="15.75" customHeight="1" x14ac:dyDescent="0.15">
      <c r="A182" s="9"/>
    </row>
    <row r="183" spans="1:1" ht="15.75" customHeight="1" x14ac:dyDescent="0.15">
      <c r="A183" s="9"/>
    </row>
    <row r="184" spans="1:1" ht="15.75" customHeight="1" x14ac:dyDescent="0.15">
      <c r="A184" s="9"/>
    </row>
    <row r="185" spans="1:1" ht="15.75" customHeight="1" x14ac:dyDescent="0.15">
      <c r="A185" s="9"/>
    </row>
    <row r="186" spans="1:1" ht="15.75" customHeight="1" x14ac:dyDescent="0.15">
      <c r="A186" s="9"/>
    </row>
    <row r="187" spans="1:1" ht="15.75" customHeight="1" x14ac:dyDescent="0.15">
      <c r="A187" s="9"/>
    </row>
    <row r="188" spans="1:1" ht="15.75" customHeight="1" x14ac:dyDescent="0.15">
      <c r="A188" s="9"/>
    </row>
    <row r="189" spans="1:1" ht="15.75" customHeight="1" x14ac:dyDescent="0.15">
      <c r="A189" s="9"/>
    </row>
    <row r="190" spans="1:1" ht="15.75" customHeight="1" x14ac:dyDescent="0.15">
      <c r="A190" s="9"/>
    </row>
    <row r="191" spans="1:1" ht="15.75" customHeight="1" x14ac:dyDescent="0.15">
      <c r="A191" s="9"/>
    </row>
    <row r="192" spans="1:1" ht="15.75" customHeight="1" x14ac:dyDescent="0.15">
      <c r="A192" s="9"/>
    </row>
    <row r="193" spans="1:1" ht="15.75" customHeight="1" x14ac:dyDescent="0.15">
      <c r="A193" s="9"/>
    </row>
    <row r="194" spans="1:1" ht="15.75" customHeight="1" x14ac:dyDescent="0.15">
      <c r="A194" s="9"/>
    </row>
    <row r="195" spans="1:1" ht="15.75" customHeight="1" x14ac:dyDescent="0.15">
      <c r="A195" s="9"/>
    </row>
    <row r="196" spans="1:1" ht="15.75" customHeight="1" x14ac:dyDescent="0.15">
      <c r="A196" s="9"/>
    </row>
    <row r="197" spans="1:1" ht="15.75" customHeight="1" x14ac:dyDescent="0.15">
      <c r="A197" s="9"/>
    </row>
    <row r="198" spans="1:1" ht="15.75" customHeight="1" x14ac:dyDescent="0.15">
      <c r="A198" s="9"/>
    </row>
    <row r="199" spans="1:1" ht="15.75" customHeight="1" x14ac:dyDescent="0.15">
      <c r="A199" s="9"/>
    </row>
    <row r="200" spans="1:1" ht="15.75" customHeight="1" x14ac:dyDescent="0.15">
      <c r="A200" s="9"/>
    </row>
    <row r="201" spans="1:1" ht="15.75" customHeight="1" x14ac:dyDescent="0.15">
      <c r="A201" s="9"/>
    </row>
    <row r="202" spans="1:1" ht="15.75" customHeight="1" x14ac:dyDescent="0.15">
      <c r="A202" s="9"/>
    </row>
    <row r="203" spans="1:1" ht="15.75" customHeight="1" x14ac:dyDescent="0.15">
      <c r="A203" s="9"/>
    </row>
    <row r="204" spans="1:1" ht="15.75" customHeight="1" x14ac:dyDescent="0.15">
      <c r="A204" s="9"/>
    </row>
    <row r="205" spans="1:1" ht="15.75" customHeight="1" x14ac:dyDescent="0.15">
      <c r="A205" s="9"/>
    </row>
    <row r="206" spans="1:1" ht="15.75" customHeight="1" x14ac:dyDescent="0.15">
      <c r="A206" s="9"/>
    </row>
    <row r="207" spans="1:1" ht="15.75" customHeight="1" x14ac:dyDescent="0.15">
      <c r="A207" s="9"/>
    </row>
    <row r="208" spans="1:1" ht="15.75" customHeight="1" x14ac:dyDescent="0.15">
      <c r="A208" s="9"/>
    </row>
    <row r="209" spans="1:1" ht="15.75" customHeight="1" x14ac:dyDescent="0.15">
      <c r="A209" s="9"/>
    </row>
    <row r="210" spans="1:1" ht="15.75" customHeight="1" x14ac:dyDescent="0.15">
      <c r="A210" s="9"/>
    </row>
    <row r="211" spans="1:1" ht="15.75" customHeight="1" x14ac:dyDescent="0.15">
      <c r="A211" s="9"/>
    </row>
    <row r="212" spans="1:1" ht="15.75" customHeight="1" x14ac:dyDescent="0.15">
      <c r="A212" s="9"/>
    </row>
    <row r="213" spans="1:1" ht="15.75" customHeight="1" x14ac:dyDescent="0.15">
      <c r="A213" s="9"/>
    </row>
    <row r="214" spans="1:1" ht="15.75" customHeight="1" x14ac:dyDescent="0.15">
      <c r="A214" s="9"/>
    </row>
    <row r="215" spans="1:1" ht="15.75" customHeight="1" x14ac:dyDescent="0.15">
      <c r="A215" s="9"/>
    </row>
    <row r="216" spans="1:1" ht="15.75" customHeight="1" x14ac:dyDescent="0.15">
      <c r="A216" s="9"/>
    </row>
    <row r="217" spans="1:1" ht="15.75" customHeight="1" x14ac:dyDescent="0.15">
      <c r="A217" s="9"/>
    </row>
    <row r="218" spans="1:1" ht="15.75" customHeight="1" x14ac:dyDescent="0.15">
      <c r="A218" s="9"/>
    </row>
    <row r="219" spans="1:1" ht="15.75" customHeight="1" x14ac:dyDescent="0.15">
      <c r="A219" s="9"/>
    </row>
    <row r="220" spans="1:1" ht="15.75" customHeight="1" x14ac:dyDescent="0.15">
      <c r="A220" s="9"/>
    </row>
    <row r="221" spans="1:1" ht="15.75" customHeight="1" x14ac:dyDescent="0.15">
      <c r="A221" s="9"/>
    </row>
    <row r="222" spans="1:1" ht="15.75" customHeight="1" x14ac:dyDescent="0.15">
      <c r="A222" s="9"/>
    </row>
    <row r="223" spans="1:1" ht="15.75" customHeight="1" x14ac:dyDescent="0.15">
      <c r="A223" s="9"/>
    </row>
    <row r="224" spans="1:1" ht="15.75" customHeight="1" x14ac:dyDescent="0.15">
      <c r="A224" s="9"/>
    </row>
    <row r="225" spans="1:1" ht="15.75" customHeight="1" x14ac:dyDescent="0.15">
      <c r="A225" s="9"/>
    </row>
    <row r="226" spans="1:1" ht="15.75" customHeight="1" x14ac:dyDescent="0.15">
      <c r="A226" s="9"/>
    </row>
    <row r="227" spans="1:1" ht="15.75" customHeight="1" x14ac:dyDescent="0.15">
      <c r="A227" s="9"/>
    </row>
    <row r="228" spans="1:1" ht="15.75" customHeight="1" x14ac:dyDescent="0.15">
      <c r="A228" s="9"/>
    </row>
    <row r="229" spans="1:1" ht="15.75" customHeight="1" x14ac:dyDescent="0.15">
      <c r="A229" s="9"/>
    </row>
    <row r="230" spans="1:1" ht="15.75" customHeight="1" x14ac:dyDescent="0.15">
      <c r="A230" s="9"/>
    </row>
    <row r="231" spans="1:1" ht="15.75" customHeight="1" x14ac:dyDescent="0.15">
      <c r="A231" s="9"/>
    </row>
    <row r="232" spans="1:1" ht="15.75" customHeight="1" x14ac:dyDescent="0.15">
      <c r="A232" s="9"/>
    </row>
    <row r="233" spans="1:1" ht="15.75" customHeight="1" x14ac:dyDescent="0.15">
      <c r="A233" s="9"/>
    </row>
    <row r="234" spans="1:1" ht="15.75" customHeight="1" x14ac:dyDescent="0.15">
      <c r="A234" s="9"/>
    </row>
    <row r="235" spans="1:1" ht="15.75" customHeight="1" x14ac:dyDescent="0.15">
      <c r="A235" s="9"/>
    </row>
    <row r="236" spans="1:1" ht="15.75" customHeight="1" x14ac:dyDescent="0.15">
      <c r="A236" s="9"/>
    </row>
    <row r="237" spans="1:1" ht="15.75" customHeight="1" x14ac:dyDescent="0.15">
      <c r="A237" s="9"/>
    </row>
    <row r="238" spans="1:1" ht="15.75" customHeight="1" x14ac:dyDescent="0.15">
      <c r="A238" s="9"/>
    </row>
    <row r="239" spans="1:1" ht="15.75" customHeight="1" x14ac:dyDescent="0.15">
      <c r="A239" s="9"/>
    </row>
    <row r="240" spans="1:1" ht="15.75" customHeight="1" x14ac:dyDescent="0.15">
      <c r="A240" s="9"/>
    </row>
    <row r="241" spans="1:1" ht="15.75" customHeight="1" x14ac:dyDescent="0.15">
      <c r="A241" s="9"/>
    </row>
    <row r="242" spans="1:1" ht="15.75" customHeight="1" x14ac:dyDescent="0.15">
      <c r="A242" s="9"/>
    </row>
    <row r="243" spans="1:1" ht="15.75" customHeight="1" x14ac:dyDescent="0.15">
      <c r="A243" s="9"/>
    </row>
    <row r="244" spans="1:1" ht="15.75" customHeight="1" x14ac:dyDescent="0.15">
      <c r="A244" s="9"/>
    </row>
    <row r="245" spans="1:1" ht="15.75" customHeight="1" x14ac:dyDescent="0.15">
      <c r="A245" s="9"/>
    </row>
    <row r="246" spans="1:1" ht="15.75" customHeight="1" x14ac:dyDescent="0.15">
      <c r="A246" s="9"/>
    </row>
    <row r="247" spans="1:1" ht="15.75" customHeight="1" x14ac:dyDescent="0.15">
      <c r="A247" s="9"/>
    </row>
    <row r="248" spans="1:1" ht="15.75" customHeight="1" x14ac:dyDescent="0.15">
      <c r="A248" s="9"/>
    </row>
    <row r="249" spans="1:1" ht="15.75" customHeight="1" x14ac:dyDescent="0.15">
      <c r="A249" s="9"/>
    </row>
    <row r="250" spans="1:1" ht="15.75" customHeight="1" x14ac:dyDescent="0.15">
      <c r="A250" s="9"/>
    </row>
    <row r="251" spans="1:1" ht="15.75" customHeight="1" x14ac:dyDescent="0.15">
      <c r="A251" s="9"/>
    </row>
    <row r="252" spans="1:1" ht="15.75" customHeight="1" x14ac:dyDescent="0.15">
      <c r="A252" s="9"/>
    </row>
    <row r="253" spans="1:1" ht="15.75" customHeight="1" x14ac:dyDescent="0.15">
      <c r="A253" s="9"/>
    </row>
    <row r="254" spans="1:1" ht="15.75" customHeight="1" x14ac:dyDescent="0.15">
      <c r="A254" s="9"/>
    </row>
    <row r="255" spans="1:1" ht="15.75" customHeight="1" x14ac:dyDescent="0.15">
      <c r="A255" s="9"/>
    </row>
    <row r="256" spans="1:1" ht="15.75" customHeight="1" x14ac:dyDescent="0.15">
      <c r="A256" s="9"/>
    </row>
    <row r="257" spans="1:1" ht="15.75" customHeight="1" x14ac:dyDescent="0.15">
      <c r="A257" s="9"/>
    </row>
    <row r="258" spans="1:1" ht="15.75" customHeight="1" x14ac:dyDescent="0.15">
      <c r="A258" s="9"/>
    </row>
    <row r="259" spans="1:1" ht="15.75" customHeight="1" x14ac:dyDescent="0.15"/>
    <row r="260" spans="1:1" ht="15.75" customHeight="1" x14ac:dyDescent="0.15"/>
    <row r="261" spans="1:1" ht="15.75" customHeight="1" x14ac:dyDescent="0.15"/>
    <row r="262" spans="1:1" ht="15.75" customHeight="1" x14ac:dyDescent="0.15"/>
    <row r="263" spans="1:1" ht="15.75" customHeight="1" x14ac:dyDescent="0.15"/>
    <row r="264" spans="1:1" ht="15.75" customHeight="1" x14ac:dyDescent="0.15"/>
    <row r="265" spans="1:1" ht="15.75" customHeight="1" x14ac:dyDescent="0.15"/>
    <row r="266" spans="1:1" ht="15.75" customHeight="1" x14ac:dyDescent="0.15"/>
    <row r="267" spans="1:1" ht="15.75" customHeight="1" x14ac:dyDescent="0.15"/>
    <row r="268" spans="1:1" ht="15.75" customHeight="1" x14ac:dyDescent="0.15"/>
    <row r="269" spans="1:1" ht="15.75" customHeight="1" x14ac:dyDescent="0.15"/>
    <row r="270" spans="1:1" ht="15.75" customHeight="1" x14ac:dyDescent="0.15"/>
    <row r="271" spans="1:1" ht="15.75" customHeight="1" x14ac:dyDescent="0.15"/>
    <row r="272" spans="1:1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</sheetData>
  <conditionalFormatting sqref="B51:M52">
    <cfRule type="expression" dxfId="11" priority="1">
      <formula>$C$49="No"</formula>
    </cfRule>
  </conditionalFormatting>
  <conditionalFormatting sqref="C7:M35 D42:M46">
    <cfRule type="containsBlanks" dxfId="10" priority="3">
      <formula>LEN(TRIM(C7))=0</formula>
    </cfRule>
  </conditionalFormatting>
  <conditionalFormatting sqref="C37:M40">
    <cfRule type="containsBlanks" dxfId="9" priority="5">
      <formula>LEN(TRIM(C37))=0</formula>
    </cfRule>
  </conditionalFormatting>
  <conditionalFormatting sqref="D17:M18">
    <cfRule type="containsBlanks" dxfId="8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E9" sqref="E9"/>
    </sheetView>
  </sheetViews>
  <sheetFormatPr baseColWidth="10" defaultColWidth="12.5" defaultRowHeight="15" customHeight="1" x14ac:dyDescent="0.15"/>
  <cols>
    <col min="1" max="1" width="2.5" style="3" customWidth="1"/>
    <col min="2" max="2" width="27" style="3" customWidth="1"/>
    <col min="3" max="5" width="17.5" style="3" customWidth="1"/>
    <col min="6" max="6" width="7.5" style="3" customWidth="1"/>
    <col min="7" max="7" width="2.1640625" style="3" customWidth="1"/>
    <col min="8" max="8" width="18.5" style="3" bestFit="1" customWidth="1"/>
    <col min="9" max="9" width="13.33203125" style="3" bestFit="1" customWidth="1"/>
    <col min="10" max="10" width="4.6640625" style="3" customWidth="1"/>
    <col min="11" max="11" width="38.83203125" style="3" customWidth="1"/>
    <col min="12" max="16384" width="12.5" style="3"/>
  </cols>
  <sheetData>
    <row r="2" spans="1:11" ht="15" customHeight="1" x14ac:dyDescent="0.2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6" t="s">
        <v>137</v>
      </c>
    </row>
    <row r="3" spans="1:11" ht="15" customHeight="1" x14ac:dyDescent="0.15">
      <c r="B3" s="5" t="s">
        <v>255</v>
      </c>
      <c r="C3" s="6"/>
      <c r="D3" s="273">
        <v>20121092</v>
      </c>
      <c r="E3" s="156" t="str">
        <f>IF((C46-I46)=D3,"", "Error!")</f>
        <v/>
      </c>
      <c r="F3" s="6"/>
      <c r="G3" s="6"/>
      <c r="H3" s="274" t="s">
        <v>256</v>
      </c>
      <c r="I3" s="275">
        <v>19966164</v>
      </c>
      <c r="K3" s="74"/>
    </row>
    <row r="4" spans="1:11" ht="15" customHeight="1" x14ac:dyDescent="0.15">
      <c r="B4" s="5" t="s">
        <v>222</v>
      </c>
      <c r="C4" s="6"/>
      <c r="D4" s="276">
        <f>D3-I3</f>
        <v>154928</v>
      </c>
      <c r="E4" s="150"/>
      <c r="F4" s="6"/>
      <c r="G4" s="6"/>
      <c r="H4" s="60" t="s">
        <v>82</v>
      </c>
      <c r="I4" s="91">
        <f>(I3*Dashboard!I12*Data!C4)/Dashboard!I5</f>
        <v>28.896278819852149</v>
      </c>
      <c r="K4" s="74"/>
    </row>
    <row r="5" spans="1:11" ht="15" customHeight="1" x14ac:dyDescent="0.15">
      <c r="D5" s="6"/>
      <c r="E5" s="23" t="s">
        <v>83</v>
      </c>
      <c r="I5" s="6"/>
      <c r="K5" s="74"/>
    </row>
    <row r="6" spans="1:11" ht="15" customHeight="1" x14ac:dyDescent="0.15">
      <c r="B6" s="58" t="s">
        <v>84</v>
      </c>
      <c r="C6" s="6"/>
      <c r="D6" s="59">
        <f>E46-I46-E50+MIN('FCFF Model'!D4,0)</f>
        <v>10511377.950000001</v>
      </c>
      <c r="E6" s="14">
        <f>1-D6/D3</f>
        <v>0.47759406149527073</v>
      </c>
      <c r="F6" s="6"/>
      <c r="G6" s="6"/>
      <c r="H6" s="3" t="s">
        <v>330</v>
      </c>
      <c r="I6" s="69">
        <f>C26/I26</f>
        <v>9.2422738930497008</v>
      </c>
      <c r="J6" s="6"/>
      <c r="K6" s="74"/>
    </row>
    <row r="7" spans="1:11" ht="15" customHeight="1" x14ac:dyDescent="0.15">
      <c r="B7" s="53" t="s">
        <v>85</v>
      </c>
      <c r="D7" s="61">
        <f>MAX((D6*Exchange_Rate*Data!C4)/Dashboard!I5, 0)</f>
        <v>15.212722284763661</v>
      </c>
      <c r="E7" s="49" t="str">
        <f>Dashboard!J4</f>
        <v>HKD</v>
      </c>
      <c r="H7" s="3" t="s">
        <v>331</v>
      </c>
      <c r="I7" s="69">
        <f>C25/I26</f>
        <v>9.0486159523642016</v>
      </c>
      <c r="J7" s="6"/>
      <c r="K7" s="116"/>
    </row>
    <row r="8" spans="1:11" ht="15" customHeight="1" x14ac:dyDescent="0.15">
      <c r="D8" s="6"/>
      <c r="H8" s="3" t="s">
        <v>332</v>
      </c>
      <c r="I8" s="69">
        <f>C24/I26</f>
        <v>8.7052471011109471</v>
      </c>
      <c r="K8" s="74"/>
    </row>
    <row r="9" spans="1:11" ht="15" customHeight="1" x14ac:dyDescent="0.2">
      <c r="A9" s="4"/>
      <c r="B9" s="268" t="s">
        <v>251</v>
      </c>
      <c r="C9" s="255"/>
      <c r="D9" s="271">
        <v>44926</v>
      </c>
      <c r="E9" s="290" t="s">
        <v>353</v>
      </c>
      <c r="F9" s="133"/>
      <c r="G9" s="133"/>
      <c r="H9" s="133"/>
      <c r="I9" s="133"/>
      <c r="K9" s="74"/>
    </row>
    <row r="10" spans="1:11" ht="15" customHeight="1" x14ac:dyDescent="0.15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238</v>
      </c>
      <c r="G10" s="6"/>
      <c r="H10" s="63" t="s">
        <v>90</v>
      </c>
      <c r="I10" s="23" t="s">
        <v>87</v>
      </c>
      <c r="K10" s="74"/>
    </row>
    <row r="11" spans="1:11" ht="15" customHeight="1" x14ac:dyDescent="0.15">
      <c r="B11" s="5" t="s">
        <v>91</v>
      </c>
      <c r="C11" s="64">
        <v>5385923</v>
      </c>
      <c r="D11" s="65">
        <v>1</v>
      </c>
      <c r="E11" s="27">
        <f t="shared" ref="E11:E21" si="0">C11*D11</f>
        <v>5385923</v>
      </c>
      <c r="F11" s="6"/>
      <c r="G11" s="6"/>
      <c r="H11" s="5" t="s">
        <v>92</v>
      </c>
      <c r="I11" s="64">
        <v>0</v>
      </c>
      <c r="J11" s="6"/>
      <c r="K11" s="74"/>
    </row>
    <row r="12" spans="1:11" ht="14" x14ac:dyDescent="0.15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42005</v>
      </c>
      <c r="J12" s="6"/>
      <c r="K12" s="74"/>
    </row>
    <row r="13" spans="1:11" ht="14" x14ac:dyDescent="0.15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15">
      <c r="B14" s="5" t="s">
        <v>97</v>
      </c>
      <c r="C14" s="64">
        <v>58443</v>
      </c>
      <c r="D14" s="65">
        <v>0.7</v>
      </c>
      <c r="E14" s="27">
        <f t="shared" si="0"/>
        <v>40910.1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15">
      <c r="B15" s="5" t="s">
        <v>99</v>
      </c>
      <c r="C15" s="64">
        <v>0</v>
      </c>
      <c r="D15" s="65">
        <v>0.7</v>
      </c>
      <c r="E15" s="27">
        <f t="shared" si="0"/>
        <v>0</v>
      </c>
      <c r="G15" s="6"/>
      <c r="H15" s="5" t="s">
        <v>100</v>
      </c>
      <c r="I15" s="155">
        <f>I26-SUM(I11:I14)</f>
        <v>583407</v>
      </c>
      <c r="J15" s="6"/>
    </row>
    <row r="16" spans="1:11" ht="14" x14ac:dyDescent="0.15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239</v>
      </c>
      <c r="G16" s="94">
        <f>IF(F16="Y",0,1)</f>
        <v>0</v>
      </c>
      <c r="H16" s="5"/>
      <c r="I16" s="154"/>
      <c r="J16" s="6"/>
    </row>
    <row r="17" spans="2:10" ht="14" x14ac:dyDescent="0.15">
      <c r="B17" s="5" t="s">
        <v>101</v>
      </c>
      <c r="C17" s="64">
        <v>214747</v>
      </c>
      <c r="D17" s="65">
        <v>0.6</v>
      </c>
      <c r="E17" s="27">
        <f t="shared" si="0"/>
        <v>128848.2</v>
      </c>
      <c r="F17" s="6"/>
      <c r="G17" s="6"/>
      <c r="H17" s="5"/>
      <c r="I17" s="154"/>
      <c r="J17" s="6"/>
    </row>
    <row r="18" spans="2:10" ht="14" x14ac:dyDescent="0.15">
      <c r="B18" s="5" t="s">
        <v>102</v>
      </c>
      <c r="C18" s="64">
        <v>119655</v>
      </c>
      <c r="D18" s="65">
        <v>0.6</v>
      </c>
      <c r="E18" s="27">
        <f t="shared" si="0"/>
        <v>71793</v>
      </c>
      <c r="G18" s="6"/>
    </row>
    <row r="19" spans="2:10" ht="14" x14ac:dyDescent="0.15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239</v>
      </c>
      <c r="G19" s="94">
        <f>IF(F19="Y",0,1)</f>
        <v>0</v>
      </c>
      <c r="H19" s="5"/>
      <c r="I19" s="154"/>
    </row>
    <row r="20" spans="2:10" ht="14" x14ac:dyDescent="0.15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239</v>
      </c>
      <c r="G20" s="94">
        <f>IF(F20="Y",0,1)</f>
        <v>0</v>
      </c>
      <c r="H20" s="5"/>
      <c r="I20" s="154"/>
    </row>
    <row r="21" spans="2:10" ht="14" x14ac:dyDescent="0.15">
      <c r="B21" s="5" t="s">
        <v>105</v>
      </c>
      <c r="C21" s="64">
        <v>1461</v>
      </c>
      <c r="D21" s="65">
        <v>0.95</v>
      </c>
      <c r="E21" s="27">
        <f t="shared" si="0"/>
        <v>1387.95</v>
      </c>
      <c r="F21" s="6"/>
      <c r="G21" s="6"/>
      <c r="H21" s="5"/>
      <c r="I21" s="154"/>
    </row>
    <row r="22" spans="2:10" ht="15" customHeight="1" x14ac:dyDescent="0.15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 x14ac:dyDescent="0.15">
      <c r="C23" s="6"/>
      <c r="D23" s="6"/>
      <c r="E23" s="6"/>
      <c r="F23" s="6"/>
      <c r="G23" s="6"/>
    </row>
    <row r="24" spans="2:10" ht="15" customHeight="1" x14ac:dyDescent="0.15">
      <c r="B24" s="66" t="s">
        <v>107</v>
      </c>
      <c r="C24" s="70">
        <f>SUM(C11:C14)</f>
        <v>5444366</v>
      </c>
      <c r="D24" s="68">
        <f>IF(E24=0,0,E24/C24)</f>
        <v>0.99677962502888295</v>
      </c>
      <c r="E24" s="27">
        <f>SUM(E11:E14)</f>
        <v>5426833.0999999996</v>
      </c>
      <c r="F24" s="6"/>
      <c r="G24" s="6"/>
      <c r="H24" s="66" t="s">
        <v>333</v>
      </c>
      <c r="I24" s="69">
        <f>E24/($I$26-I15)</f>
        <v>129.19493155576717</v>
      </c>
      <c r="J24" s="13" t="str">
        <f>IF(I24&lt;1,"Liquidity Problem!","")</f>
        <v/>
      </c>
    </row>
    <row r="25" spans="2:10" ht="15" customHeight="1" x14ac:dyDescent="0.15">
      <c r="B25" s="66" t="s">
        <v>108</v>
      </c>
      <c r="C25" s="70">
        <f>C24+SUM(C15:C17)</f>
        <v>5659113</v>
      </c>
      <c r="D25" s="68">
        <f>IF(E25=0,0,E25/C25)</f>
        <v>0.98172298379622391</v>
      </c>
      <c r="E25" s="27">
        <f>E24+SUM(E15:E17)</f>
        <v>5555681.2999999998</v>
      </c>
      <c r="F25" s="6"/>
      <c r="G25" s="6"/>
      <c r="H25" s="66" t="s">
        <v>334</v>
      </c>
      <c r="I25" s="69">
        <f>E25/$I$26</f>
        <v>8.8832342519810936</v>
      </c>
      <c r="J25" s="13" t="str">
        <f>IF(OR(I25&lt;0.75,C26&lt;I26),"Liquidity Problem!","")</f>
        <v/>
      </c>
    </row>
    <row r="26" spans="2:10" ht="15" customHeight="1" x14ac:dyDescent="0.15">
      <c r="B26" s="5" t="s">
        <v>109</v>
      </c>
      <c r="C26" s="70">
        <f>SUM(C11:C22)</f>
        <v>5780229</v>
      </c>
      <c r="D26" s="14">
        <f t="shared" ref="D26" si="2">E26/C26</f>
        <v>0.97381301848075574</v>
      </c>
      <c r="E26" s="27">
        <f>SUM(E11:E22)</f>
        <v>5628862.25</v>
      </c>
      <c r="H26" s="5" t="s">
        <v>58</v>
      </c>
      <c r="I26" s="64">
        <v>625412</v>
      </c>
      <c r="J26" s="107">
        <f>IF(J24="",1,0)+IF(J25="",1,0)+IF(J44="",1,0)+IF(J45="",1,0)</f>
        <v>4</v>
      </c>
    </row>
    <row r="27" spans="2:10" ht="15" customHeight="1" x14ac:dyDescent="0.15">
      <c r="C27" s="6"/>
      <c r="D27" s="6"/>
      <c r="E27" s="6"/>
      <c r="F27" s="30" t="s">
        <v>238</v>
      </c>
      <c r="G27" s="6"/>
      <c r="I27" s="6"/>
      <c r="J27" s="6"/>
    </row>
    <row r="28" spans="2:10" ht="15" customHeight="1" x14ac:dyDescent="0.15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0</v>
      </c>
      <c r="J28" s="6"/>
    </row>
    <row r="29" spans="2:10" ht="15" customHeight="1" x14ac:dyDescent="0.15">
      <c r="B29" s="5" t="s">
        <v>112</v>
      </c>
      <c r="C29" s="64">
        <v>28140</v>
      </c>
      <c r="D29" s="65">
        <v>0.6</v>
      </c>
      <c r="E29" s="27">
        <f t="shared" ref="E29:E40" si="3">C29*D29</f>
        <v>16884</v>
      </c>
      <c r="F29" s="6"/>
      <c r="G29" s="6"/>
      <c r="H29" s="5" t="s">
        <v>113</v>
      </c>
      <c r="I29" s="64">
        <v>57055</v>
      </c>
      <c r="J29" s="6"/>
    </row>
    <row r="30" spans="2:10" ht="15" customHeight="1" x14ac:dyDescent="0.15">
      <c r="B30" s="5" t="s">
        <v>114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116</v>
      </c>
      <c r="I30" s="64">
        <v>0</v>
      </c>
      <c r="J30" s="6"/>
    </row>
    <row r="31" spans="2:10" ht="14" x14ac:dyDescent="0.15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239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 x14ac:dyDescent="0.15">
      <c r="B32" s="5" t="s">
        <v>117</v>
      </c>
      <c r="C32" s="64">
        <v>0</v>
      </c>
      <c r="D32" s="65">
        <v>0.4</v>
      </c>
      <c r="E32" s="27">
        <f t="shared" si="3"/>
        <v>0</v>
      </c>
      <c r="G32" s="6"/>
      <c r="H32" s="5" t="s">
        <v>118</v>
      </c>
      <c r="I32" s="155">
        <f>I42-SUM(I28:I31)</f>
        <v>441451</v>
      </c>
      <c r="J32" s="6"/>
    </row>
    <row r="33" spans="2:10" ht="14" x14ac:dyDescent="0.15">
      <c r="B33" s="5" t="s">
        <v>119</v>
      </c>
      <c r="C33" s="64">
        <v>1074</v>
      </c>
      <c r="D33" s="65">
        <v>0.6</v>
      </c>
      <c r="E33" s="220">
        <f t="shared" si="3"/>
        <v>644.4</v>
      </c>
      <c r="F33" s="204" t="s">
        <v>240</v>
      </c>
      <c r="G33" s="94">
        <f>IF(F33="Y",0,1)</f>
        <v>1</v>
      </c>
      <c r="J33" s="6"/>
    </row>
    <row r="34" spans="2:10" ht="14" x14ac:dyDescent="0.15">
      <c r="B34" s="5" t="s">
        <v>120</v>
      </c>
      <c r="C34" s="64">
        <v>15159392</v>
      </c>
      <c r="D34" s="65">
        <v>0.4</v>
      </c>
      <c r="E34" s="220">
        <f t="shared" si="3"/>
        <v>6063756.8000000007</v>
      </c>
      <c r="F34" s="204" t="s">
        <v>239</v>
      </c>
      <c r="G34" s="94">
        <f>IF(F34="Y",0,1)</f>
        <v>0</v>
      </c>
    </row>
    <row r="35" spans="2:10" ht="14" x14ac:dyDescent="0.15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239</v>
      </c>
      <c r="G35" s="94">
        <f>IF(F35="Y",0,1)</f>
        <v>0</v>
      </c>
    </row>
    <row r="36" spans="2:10" ht="15" customHeight="1" x14ac:dyDescent="0.15">
      <c r="B36" s="5" t="s">
        <v>299</v>
      </c>
      <c r="C36" s="64">
        <v>243053</v>
      </c>
      <c r="D36" s="65">
        <v>0.2</v>
      </c>
      <c r="E36" s="27">
        <f t="shared" si="3"/>
        <v>48610.600000000006</v>
      </c>
      <c r="F36" s="6"/>
      <c r="G36" s="6"/>
    </row>
    <row r="37" spans="2:10" ht="14" x14ac:dyDescent="0.15">
      <c r="B37" s="5" t="s">
        <v>300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15">
      <c r="B38" s="5" t="s">
        <v>121</v>
      </c>
      <c r="C38" s="64">
        <v>0</v>
      </c>
      <c r="D38" s="65">
        <v>0.4</v>
      </c>
      <c r="E38" s="27">
        <f t="shared" si="3"/>
        <v>0</v>
      </c>
      <c r="F38" s="6"/>
      <c r="G38" s="6"/>
    </row>
    <row r="39" spans="2:10" ht="15" customHeight="1" x14ac:dyDescent="0.15">
      <c r="B39" s="5" t="s">
        <v>122</v>
      </c>
      <c r="C39" s="64">
        <v>33122</v>
      </c>
      <c r="D39" s="65">
        <v>0.95</v>
      </c>
      <c r="E39" s="27">
        <f t="shared" si="3"/>
        <v>31465.899999999998</v>
      </c>
      <c r="F39" s="6"/>
      <c r="G39" s="6"/>
    </row>
    <row r="40" spans="2:10" ht="15" customHeight="1" x14ac:dyDescent="0.15">
      <c r="B40" s="5" t="s">
        <v>123</v>
      </c>
      <c r="C40" s="64">
        <v>0</v>
      </c>
      <c r="D40" s="65">
        <v>0.1</v>
      </c>
      <c r="E40" s="27">
        <f t="shared" si="3"/>
        <v>0</v>
      </c>
      <c r="F40" s="6"/>
      <c r="G40" s="6"/>
    </row>
    <row r="41" spans="2:10" ht="15" customHeight="1" x14ac:dyDescent="0.15">
      <c r="C41" s="6"/>
      <c r="D41" s="6"/>
      <c r="E41" s="6"/>
      <c r="I41" s="6"/>
    </row>
    <row r="42" spans="2:10" ht="14" x14ac:dyDescent="0.15">
      <c r="B42" s="5" t="s">
        <v>124</v>
      </c>
      <c r="C42" s="67">
        <f>SUM(C28:C40)</f>
        <v>15464781</v>
      </c>
      <c r="D42" s="14">
        <f>E42/C42</f>
        <v>0.39841247671079216</v>
      </c>
      <c r="E42" s="27">
        <f>SUM(E28:E40)</f>
        <v>6161361.7000000011</v>
      </c>
      <c r="F42" s="6"/>
      <c r="G42" s="6"/>
      <c r="H42" s="5" t="s">
        <v>125</v>
      </c>
      <c r="I42" s="64">
        <v>498506</v>
      </c>
      <c r="J42" s="6"/>
    </row>
    <row r="43" spans="2:10" ht="15" customHeight="1" x14ac:dyDescent="0.15">
      <c r="C43" s="6"/>
      <c r="D43" s="6"/>
      <c r="E43" s="6"/>
      <c r="I43" s="6"/>
    </row>
    <row r="44" spans="2:10" ht="15" customHeight="1" x14ac:dyDescent="0.15">
      <c r="B44" s="66" t="s">
        <v>126</v>
      </c>
      <c r="C44" s="70">
        <f>C24+SUM(C28:C29)</f>
        <v>5472506</v>
      </c>
      <c r="D44" s="68">
        <f>IF(E44=0,0,E44/C44)</f>
        <v>0.99473935706968608</v>
      </c>
      <c r="E44" s="27">
        <f>E24+SUM(E28:E29)</f>
        <v>5443717.0999999996</v>
      </c>
      <c r="F44" s="6"/>
      <c r="G44" s="6"/>
      <c r="H44" s="66" t="s">
        <v>335</v>
      </c>
      <c r="I44" s="69">
        <f>E44/(I46-I15-I32)</f>
        <v>54.953736119523519</v>
      </c>
      <c r="J44" s="13" t="str">
        <f>IF(I44&lt;1,"Liquidity Problem!","")</f>
        <v/>
      </c>
    </row>
    <row r="45" spans="2:10" ht="15" customHeight="1" x14ac:dyDescent="0.15">
      <c r="B45" s="66" t="s">
        <v>127</v>
      </c>
      <c r="C45" s="70">
        <f>C44+(C25-C24)+SUM(C30:C33)</f>
        <v>5688327</v>
      </c>
      <c r="D45" s="68">
        <f>IF(E45=0,0,E45/C45)</f>
        <v>0.97976253826476578</v>
      </c>
      <c r="E45" s="27">
        <f>E44+(E25-E24)+SUM(E30:E33)</f>
        <v>5573209.7000000002</v>
      </c>
      <c r="F45" s="6"/>
      <c r="G45" s="6"/>
      <c r="H45" s="66" t="s">
        <v>336</v>
      </c>
      <c r="I45" s="69">
        <f>E45/$I$46</f>
        <v>4.958733377346034</v>
      </c>
      <c r="J45" s="13" t="str">
        <f>IF(OR(I45&lt;0.5,C46&lt;I46),"Liquidity Problem!","")</f>
        <v/>
      </c>
    </row>
    <row r="46" spans="2:10" ht="15" customHeight="1" x14ac:dyDescent="0.15">
      <c r="B46" s="5" t="s">
        <v>128</v>
      </c>
      <c r="C46" s="70">
        <f>C26+C42</f>
        <v>21245010</v>
      </c>
      <c r="D46" s="14">
        <f>E46/C46</f>
        <v>0.55496438693133121</v>
      </c>
      <c r="E46" s="27">
        <f>E26+E42</f>
        <v>11790223.950000001</v>
      </c>
      <c r="F46" s="6"/>
      <c r="G46" s="6"/>
      <c r="H46" s="5" t="s">
        <v>129</v>
      </c>
      <c r="I46" s="155">
        <f>I26+I42</f>
        <v>1123918</v>
      </c>
      <c r="J46" s="6"/>
    </row>
    <row r="47" spans="2:10" ht="15" customHeight="1" x14ac:dyDescent="0.15">
      <c r="C47" s="6"/>
      <c r="D47" s="6"/>
      <c r="E47" s="6"/>
      <c r="I47" s="6"/>
    </row>
    <row r="48" spans="2:10" ht="14" x14ac:dyDescent="0.15">
      <c r="B48" s="21" t="s">
        <v>130</v>
      </c>
      <c r="C48" s="21"/>
      <c r="D48" s="52"/>
    </row>
    <row r="49" spans="2:9" ht="14" x14ac:dyDescent="0.15">
      <c r="B49" s="216" t="s">
        <v>206</v>
      </c>
      <c r="C49" s="6"/>
      <c r="D49" s="217" t="str">
        <f>IF(E50=D4,"BV of the MI","P/B Approach")</f>
        <v>BV of the MI</v>
      </c>
      <c r="E49" s="6"/>
    </row>
    <row r="50" spans="2:9" ht="14" x14ac:dyDescent="0.15">
      <c r="B50" s="5" t="s">
        <v>205</v>
      </c>
      <c r="C50" s="218">
        <f>D4</f>
        <v>154928</v>
      </c>
      <c r="D50" s="214">
        <f>IF(E50=0, 0,E50/C50)</f>
        <v>1</v>
      </c>
      <c r="E50" s="218">
        <f>MAX(C50,C50*Dashboard!I10)</f>
        <v>154928</v>
      </c>
      <c r="I50" s="157"/>
    </row>
    <row r="51" spans="2:9" ht="15" customHeight="1" x14ac:dyDescent="0.15">
      <c r="C51" s="6"/>
      <c r="D51" s="6"/>
      <c r="E51" s="6"/>
    </row>
    <row r="52" spans="2:9" thickBot="1" x14ac:dyDescent="0.2">
      <c r="B52" s="75" t="s">
        <v>262</v>
      </c>
      <c r="C52" s="5"/>
      <c r="D52" s="442">
        <f>D53+D54+D55</f>
        <v>99060</v>
      </c>
      <c r="E52" s="443"/>
      <c r="F52" s="53"/>
      <c r="G52" s="53"/>
    </row>
    <row r="53" spans="2:9" thickTop="1" x14ac:dyDescent="0.15">
      <c r="B53" s="58" t="s">
        <v>232</v>
      </c>
      <c r="C53" s="6"/>
      <c r="D53" s="445">
        <f>SUM(I11:I13)+SUM(I28:I30)</f>
        <v>99060</v>
      </c>
      <c r="E53" s="389"/>
      <c r="F53" s="5"/>
      <c r="G53" s="5"/>
      <c r="H53" s="3" t="s">
        <v>337</v>
      </c>
      <c r="I53" s="14">
        <f>D53/I3</f>
        <v>4.9613936858377006E-3</v>
      </c>
    </row>
    <row r="54" spans="2:9" ht="14" x14ac:dyDescent="0.15">
      <c r="B54" s="58" t="s">
        <v>132</v>
      </c>
      <c r="C54" s="6"/>
      <c r="D54" s="450">
        <v>0</v>
      </c>
      <c r="E54" s="369"/>
      <c r="F54" s="6" t="s">
        <v>133</v>
      </c>
      <c r="G54" s="6"/>
    </row>
    <row r="55" spans="2:9" ht="12.75" customHeight="1" x14ac:dyDescent="0.15">
      <c r="B55" s="58" t="s">
        <v>131</v>
      </c>
      <c r="C55" s="6"/>
      <c r="D55" s="450">
        <v>0</v>
      </c>
      <c r="E55" s="369"/>
      <c r="F55" s="5" t="s">
        <v>134</v>
      </c>
      <c r="G55" s="5"/>
    </row>
    <row r="56" spans="2:9" ht="15" customHeight="1" x14ac:dyDescent="0.15">
      <c r="D56" s="6"/>
      <c r="E56" s="6"/>
    </row>
    <row r="57" spans="2:9" ht="14" x14ac:dyDescent="0.15">
      <c r="B57" s="75" t="s">
        <v>135</v>
      </c>
      <c r="C57" s="5"/>
      <c r="D57" s="444"/>
      <c r="E57" s="444"/>
      <c r="F57" s="19"/>
      <c r="G57" s="19"/>
    </row>
    <row r="58" spans="2:9" ht="15" customHeight="1" x14ac:dyDescent="0.15">
      <c r="B58" s="53" t="s">
        <v>233</v>
      </c>
      <c r="C58" s="213">
        <f>C14+C15+(C19*G19)+(C20*G20)+C29+C30+(C31*G31)+(C33*G33)+(C34*G34)+(C35*G35)</f>
        <v>87657</v>
      </c>
      <c r="D58" s="129">
        <f>IF(E58=0,0,E58/C58)</f>
        <v>0.6666723707176837</v>
      </c>
      <c r="E58" s="221">
        <f>E14+E15+(E19*G19)+(E20*G20)+E29+E30+(E31*G31)+(E33*G33)+(E34*G34)+(E35*G35)</f>
        <v>58438.5</v>
      </c>
      <c r="H58" s="6"/>
    </row>
    <row r="59" spans="2:9" ht="14" x14ac:dyDescent="0.15">
      <c r="B59" s="53" t="s">
        <v>91</v>
      </c>
      <c r="C59" s="213">
        <f>C11+C12+C28</f>
        <v>5385923</v>
      </c>
      <c r="D59" s="214">
        <f>IF(E59=0,0,E59/C59)</f>
        <v>1</v>
      </c>
      <c r="E59" s="215">
        <f>E11+E12+E28</f>
        <v>5385923</v>
      </c>
      <c r="F59" s="6"/>
      <c r="G59" s="6"/>
    </row>
    <row r="60" spans="2:9" ht="14" x14ac:dyDescent="0.15">
      <c r="B60" s="53" t="s">
        <v>136</v>
      </c>
      <c r="C60" s="6"/>
      <c r="D60" s="448">
        <f>((Dashboard!I6*Data!C4)+D52+E50-C58-C59)</f>
        <v>2809359.6558999997</v>
      </c>
      <c r="E60" s="449"/>
      <c r="F60" s="6"/>
      <c r="G60" s="6"/>
    </row>
    <row r="61" spans="2:9" ht="15" customHeight="1" x14ac:dyDescent="0.15">
      <c r="D61" s="6"/>
      <c r="E61" s="6"/>
    </row>
    <row r="62" spans="2:9" ht="15" customHeight="1" x14ac:dyDescent="0.15">
      <c r="B62" s="291" t="s">
        <v>261</v>
      </c>
    </row>
    <row r="63" spans="2:9" ht="15" customHeight="1" x14ac:dyDescent="0.15">
      <c r="B63" s="3" t="s">
        <v>264</v>
      </c>
      <c r="D63" s="384">
        <f>((C26-C11-C12-C14-C15-C16*G16-C19*G19-C20*G20)-I26)/Data!C7</f>
        <v>-0.23219181652332552</v>
      </c>
      <c r="E63" s="385"/>
    </row>
    <row r="64" spans="2:9" ht="15" customHeight="1" x14ac:dyDescent="0.15">
      <c r="B64" s="3" t="s">
        <v>263</v>
      </c>
      <c r="D64" s="446">
        <v>7.51E-2</v>
      </c>
      <c r="E64" s="447"/>
      <c r="F64" s="266" t="s">
        <v>248</v>
      </c>
    </row>
    <row r="65" spans="2:5" ht="15" customHeight="1" x14ac:dyDescent="0.15">
      <c r="B65" s="291" t="s">
        <v>265</v>
      </c>
      <c r="D65" s="446">
        <f>D64</f>
        <v>7.51E-2</v>
      </c>
      <c r="E65" s="447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A3B3D97F-C7F3-4297-8ECB-32CE2A036ED7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8"/>
  <sheetViews>
    <sheetView showGridLines="0" zoomScaleNormal="100" zoomScalePageLayoutView="80" workbookViewId="0">
      <selection activeCell="C4" sqref="C4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3" width="22.6640625" style="3" customWidth="1"/>
    <col min="4" max="4" width="6.83203125" style="3" customWidth="1"/>
    <col min="5" max="5" width="22.6640625" style="3" customWidth="1"/>
    <col min="6" max="6" width="6.83203125" style="3" customWidth="1"/>
    <col min="7" max="7" width="22.6640625" style="3" customWidth="1"/>
    <col min="8" max="8" width="6.83203125" style="3" customWidth="1"/>
    <col min="9" max="9" width="22.6640625" style="3" customWidth="1"/>
    <col min="10" max="10" width="6.83203125" style="3" customWidth="1"/>
    <col min="11" max="11" width="2.5" style="3" customWidth="1"/>
    <col min="12" max="12" width="87.5" style="3" customWidth="1"/>
    <col min="13" max="16384" width="12.5" style="3"/>
  </cols>
  <sheetData>
    <row r="1" spans="1:13" ht="15" customHeight="1" x14ac:dyDescent="0.15">
      <c r="C1" s="6"/>
      <c r="D1" s="6"/>
      <c r="E1" s="6"/>
      <c r="F1" s="6"/>
      <c r="G1" s="6"/>
      <c r="H1" s="6"/>
    </row>
    <row r="2" spans="1:13" ht="15.5" customHeight="1" x14ac:dyDescent="0.15">
      <c r="A2" s="4"/>
      <c r="B2" s="92" t="s">
        <v>245</v>
      </c>
      <c r="C2" s="285" t="s">
        <v>259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15">
      <c r="B3" s="29" t="str">
        <f>'FCFF Model'!B3</f>
        <v>(Numbers in 1000HKD)</v>
      </c>
      <c r="C3" s="277">
        <f>IF(Asset_Model!E9="FY",Asset_Model!D9,Data!C3)</f>
        <v>44926</v>
      </c>
      <c r="D3" s="28" t="s">
        <v>247</v>
      </c>
      <c r="E3" s="277">
        <f>EOMONTH(EDATE(C3,12),0)</f>
        <v>45291</v>
      </c>
      <c r="F3" s="28" t="s">
        <v>247</v>
      </c>
      <c r="G3" s="277">
        <f>IF(G10="","",EOMONTH(EDATE(E3,12),0))</f>
        <v>45657</v>
      </c>
      <c r="H3" s="28"/>
      <c r="I3" s="277" t="str">
        <f>IF(I21="","",EOMONTH(EDATE(G3,12),0))</f>
        <v/>
      </c>
      <c r="J3" s="296"/>
      <c r="L3" s="72" t="s">
        <v>137</v>
      </c>
    </row>
    <row r="4" spans="1:13" ht="15.75" customHeight="1" x14ac:dyDescent="0.15">
      <c r="B4" s="292" t="s">
        <v>315</v>
      </c>
      <c r="C4" s="293">
        <v>800033</v>
      </c>
      <c r="D4" s="260">
        <f>C4/C9</f>
        <v>0.57879833399771818</v>
      </c>
      <c r="E4" s="293">
        <f>C4*1.02</f>
        <v>816033.66</v>
      </c>
      <c r="F4" s="260"/>
      <c r="G4" s="222"/>
      <c r="H4" s="260"/>
      <c r="I4" s="222"/>
      <c r="J4" s="286"/>
      <c r="K4" s="6"/>
      <c r="L4" s="74"/>
      <c r="M4" s="57"/>
    </row>
    <row r="5" spans="1:13" ht="15.75" customHeight="1" x14ac:dyDescent="0.15">
      <c r="B5" s="292" t="s">
        <v>316</v>
      </c>
      <c r="C5" s="293">
        <v>318356</v>
      </c>
      <c r="D5" s="260">
        <f>C5/C9</f>
        <v>0.23032040230612683</v>
      </c>
      <c r="E5" s="293">
        <f>C5*1.04</f>
        <v>331090.24</v>
      </c>
      <c r="F5" s="260"/>
      <c r="G5" s="222"/>
      <c r="H5" s="260"/>
      <c r="I5" s="222"/>
      <c r="J5" s="286"/>
      <c r="K5" s="6"/>
      <c r="L5" s="74"/>
      <c r="M5" s="57"/>
    </row>
    <row r="6" spans="1:13" ht="15.75" customHeight="1" x14ac:dyDescent="0.15">
      <c r="B6" s="292" t="s">
        <v>317</v>
      </c>
      <c r="C6" s="293">
        <v>173280</v>
      </c>
      <c r="D6" s="260">
        <f>C6/C9</f>
        <v>0.12536254793880328</v>
      </c>
      <c r="E6" s="293">
        <f>C6*1.03</f>
        <v>178478.4</v>
      </c>
      <c r="F6" s="260"/>
      <c r="G6" s="222"/>
      <c r="H6" s="260"/>
      <c r="I6" s="222"/>
      <c r="J6" s="286"/>
      <c r="K6" s="6"/>
      <c r="L6" s="74"/>
      <c r="M6" s="57"/>
    </row>
    <row r="7" spans="1:13" ht="15.75" customHeight="1" x14ac:dyDescent="0.15">
      <c r="B7" s="292" t="s">
        <v>318</v>
      </c>
      <c r="C7" s="293">
        <v>90562</v>
      </c>
      <c r="D7" s="260">
        <f>C7/C9</f>
        <v>6.55187157573517E-2</v>
      </c>
      <c r="E7" s="293">
        <f>C7*1.4</f>
        <v>126786.79999999999</v>
      </c>
      <c r="F7" s="260"/>
      <c r="G7" s="222"/>
      <c r="H7" s="260"/>
      <c r="I7" s="222"/>
      <c r="J7" s="286"/>
      <c r="K7" s="6"/>
      <c r="L7" s="74"/>
      <c r="M7" s="57"/>
    </row>
    <row r="8" spans="1:13" ht="15.75" customHeight="1" x14ac:dyDescent="0.15">
      <c r="B8" s="292" t="s">
        <v>319</v>
      </c>
      <c r="C8" s="293">
        <v>0</v>
      </c>
      <c r="D8" s="260">
        <f>C8/C9</f>
        <v>0</v>
      </c>
      <c r="E8" s="293">
        <v>0</v>
      </c>
      <c r="F8" s="260"/>
      <c r="G8" s="222"/>
      <c r="H8" s="260"/>
      <c r="I8" s="222"/>
      <c r="J8" s="286"/>
      <c r="K8" s="6"/>
      <c r="L8" s="74"/>
      <c r="M8" s="57"/>
    </row>
    <row r="9" spans="1:13" ht="15.75" customHeight="1" x14ac:dyDescent="0.15">
      <c r="B9" s="5" t="s">
        <v>139</v>
      </c>
      <c r="C9" s="180">
        <f>SUM(C4:C8)</f>
        <v>1382231</v>
      </c>
      <c r="D9" s="259"/>
      <c r="E9" s="337">
        <f>SUM(E4:E8)</f>
        <v>1452389.0999999999</v>
      </c>
      <c r="F9" s="259"/>
      <c r="G9" s="337">
        <f>E9*1.04</f>
        <v>1510484.6639999999</v>
      </c>
      <c r="H9" s="259"/>
      <c r="I9" s="228"/>
      <c r="J9" s="287"/>
      <c r="K9" s="6"/>
      <c r="L9" s="74" t="s">
        <v>266</v>
      </c>
      <c r="M9" s="57"/>
    </row>
    <row r="10" spans="1:13" ht="15.75" customHeight="1" x14ac:dyDescent="0.15">
      <c r="B10" s="17" t="s">
        <v>138</v>
      </c>
      <c r="C10" s="187"/>
      <c r="D10" s="261"/>
      <c r="E10" s="18">
        <f>E9/C9-1</f>
        <v>5.0757145513304014E-2</v>
      </c>
      <c r="F10" s="261"/>
      <c r="G10" s="18">
        <f>G9/E9-1</f>
        <v>4.0000000000000036E-2</v>
      </c>
      <c r="H10" s="261"/>
      <c r="I10" s="73"/>
      <c r="J10" s="327"/>
      <c r="K10" s="6"/>
      <c r="L10" s="74"/>
      <c r="M10" s="57"/>
    </row>
    <row r="11" spans="1:13" ht="15.75" customHeight="1" x14ac:dyDescent="0.15">
      <c r="B11" s="292" t="s">
        <v>320</v>
      </c>
      <c r="C11" s="293">
        <v>102689</v>
      </c>
      <c r="D11" s="260"/>
      <c r="E11" s="293"/>
      <c r="F11" s="260"/>
      <c r="G11" s="222"/>
      <c r="H11" s="260"/>
      <c r="I11" s="222"/>
      <c r="J11" s="286"/>
      <c r="K11" s="6"/>
      <c r="L11" s="74"/>
      <c r="M11" s="57"/>
    </row>
    <row r="12" spans="1:13" ht="15.75" customHeight="1" x14ac:dyDescent="0.15">
      <c r="B12" s="292" t="s">
        <v>321</v>
      </c>
      <c r="C12" s="293">
        <v>411606</v>
      </c>
      <c r="D12" s="260"/>
      <c r="E12" s="293"/>
      <c r="F12" s="260"/>
      <c r="G12" s="222"/>
      <c r="H12" s="260"/>
      <c r="I12" s="222"/>
      <c r="J12" s="286"/>
      <c r="K12" s="6"/>
      <c r="L12" s="74"/>
      <c r="M12" s="57"/>
    </row>
    <row r="13" spans="1:13" ht="15.75" customHeight="1" x14ac:dyDescent="0.15">
      <c r="B13" s="292" t="s">
        <v>322</v>
      </c>
      <c r="C13" s="293">
        <v>111319</v>
      </c>
      <c r="D13" s="260"/>
      <c r="E13" s="293"/>
      <c r="F13" s="260"/>
      <c r="G13" s="222"/>
      <c r="H13" s="260"/>
      <c r="I13" s="222"/>
      <c r="J13" s="286"/>
      <c r="K13" s="6"/>
      <c r="L13" s="74"/>
      <c r="M13" s="57"/>
    </row>
    <row r="14" spans="1:13" ht="15.75" customHeight="1" x14ac:dyDescent="0.15">
      <c r="B14" s="292" t="s">
        <v>323</v>
      </c>
      <c r="C14" s="293">
        <v>77419</v>
      </c>
      <c r="D14" s="260"/>
      <c r="E14" s="293"/>
      <c r="F14" s="260"/>
      <c r="G14" s="222"/>
      <c r="H14" s="260"/>
      <c r="I14" s="222"/>
      <c r="J14" s="286"/>
      <c r="K14" s="6"/>
      <c r="L14" s="74"/>
      <c r="M14" s="57"/>
    </row>
    <row r="15" spans="1:13" ht="15.75" customHeight="1" x14ac:dyDescent="0.15">
      <c r="B15" s="8" t="s">
        <v>140</v>
      </c>
      <c r="C15" s="181">
        <f>SUM(C11:C14)</f>
        <v>703033</v>
      </c>
      <c r="D15" s="262"/>
      <c r="E15" s="227">
        <f>E9*(1-E16)</f>
        <v>842385.67800000007</v>
      </c>
      <c r="F15" s="262"/>
      <c r="G15" s="281">
        <f>IF(G9="","",G9*(1-G16))</f>
        <v>876081.10512000008</v>
      </c>
      <c r="H15" s="262"/>
      <c r="I15" s="281" t="str">
        <f>IF(I9="","",I9*(1-I16))</f>
        <v/>
      </c>
      <c r="J15" s="328"/>
      <c r="K15" s="6"/>
      <c r="L15" s="116"/>
      <c r="M15" s="1"/>
    </row>
    <row r="16" spans="1:13" ht="15.75" customHeight="1" x14ac:dyDescent="0.15">
      <c r="B16" s="17" t="s">
        <v>48</v>
      </c>
      <c r="C16" s="186">
        <f>(C9-C15)/C9</f>
        <v>0.4913780692228723</v>
      </c>
      <c r="D16" s="186"/>
      <c r="E16" s="73">
        <v>0.42</v>
      </c>
      <c r="F16" s="186"/>
      <c r="G16" s="73">
        <f>E16</f>
        <v>0.42</v>
      </c>
      <c r="H16" s="186"/>
      <c r="I16" s="73"/>
      <c r="J16" s="329"/>
      <c r="K16" s="6"/>
      <c r="L16" s="74"/>
    </row>
    <row r="17" spans="2:13" ht="15.75" customHeight="1" x14ac:dyDescent="0.15">
      <c r="B17" s="5" t="s">
        <v>141</v>
      </c>
      <c r="C17" s="27">
        <f>C9-C15</f>
        <v>679198</v>
      </c>
      <c r="D17" s="27"/>
      <c r="E17" s="27">
        <f>E9-E15</f>
        <v>610003.42199999979</v>
      </c>
      <c r="F17" s="27"/>
      <c r="G17" s="27">
        <f>IF(G10="","",G9-G15)</f>
        <v>634403.55887999979</v>
      </c>
      <c r="H17" s="27"/>
      <c r="I17" s="27" t="str">
        <f>IF(I10="","",I9-I15)</f>
        <v/>
      </c>
      <c r="J17" s="242"/>
      <c r="K17" s="6"/>
      <c r="L17" s="74"/>
    </row>
    <row r="18" spans="2:13" ht="15.75" customHeight="1" x14ac:dyDescent="0.15">
      <c r="B18" s="17" t="s">
        <v>50</v>
      </c>
      <c r="C18" s="189">
        <f>C19/C9</f>
        <v>0.12301634097339735</v>
      </c>
      <c r="D18" s="189"/>
      <c r="E18" s="226">
        <f>C18</f>
        <v>0.12301634097339735</v>
      </c>
      <c r="F18" s="189"/>
      <c r="G18" s="65">
        <f>E18</f>
        <v>0.12301634097339735</v>
      </c>
      <c r="H18" s="189"/>
      <c r="I18" s="65"/>
      <c r="J18" s="330"/>
      <c r="K18" s="6"/>
      <c r="L18" s="74"/>
    </row>
    <row r="19" spans="2:13" ht="15.75" customHeight="1" x14ac:dyDescent="0.15">
      <c r="B19" s="8" t="s">
        <v>142</v>
      </c>
      <c r="C19" s="183">
        <v>170037</v>
      </c>
      <c r="D19" s="263"/>
      <c r="E19" s="76">
        <f>E9*E18</f>
        <v>178667.59275164569</v>
      </c>
      <c r="F19" s="263"/>
      <c r="G19" s="76">
        <f>G9*G18</f>
        <v>185814.29646171152</v>
      </c>
      <c r="H19" s="263"/>
      <c r="I19" s="76"/>
      <c r="J19" s="331"/>
      <c r="K19" s="6"/>
      <c r="L19" s="74"/>
    </row>
    <row r="20" spans="2:13" ht="15.75" customHeight="1" x14ac:dyDescent="0.15">
      <c r="B20" s="17" t="s">
        <v>51</v>
      </c>
      <c r="C20" s="18">
        <f>C22/C9</f>
        <v>0.36836172824947494</v>
      </c>
      <c r="D20" s="18"/>
      <c r="E20" s="18">
        <f>E22/E9</f>
        <v>0.29698365902660251</v>
      </c>
      <c r="F20" s="18"/>
      <c r="G20" s="18">
        <f>E20</f>
        <v>0.29698365902660251</v>
      </c>
      <c r="H20" s="18"/>
      <c r="I20" s="18" t="str">
        <f>IF(I10="","",I22/I9)</f>
        <v/>
      </c>
      <c r="J20" s="231"/>
      <c r="K20" s="6"/>
      <c r="L20" s="74"/>
      <c r="M20" s="57"/>
    </row>
    <row r="21" spans="2:13" ht="15.75" customHeight="1" x14ac:dyDescent="0.15">
      <c r="B21" s="17" t="s">
        <v>143</v>
      </c>
      <c r="C21" s="188"/>
      <c r="D21" s="264"/>
      <c r="E21" s="14">
        <f>IF(ABS(C22+E22)=ABS(C22)+ABS(E22),IF(E22&lt;0,-1,1)*(E22-C22)/C22,"Turn")</f>
        <v>-0.15284982697348368</v>
      </c>
      <c r="F21" s="264"/>
      <c r="G21" s="14">
        <f>IF(G10="","",IF(ABS(E22+G22)=ABS(E22)+ABS(G22),IF(G22&lt;0,-1,1)*(G22-E22)/E22,"Turn"))</f>
        <v>4.0000000000000084E-2</v>
      </c>
      <c r="H21" s="264"/>
      <c r="I21" s="14" t="str">
        <f>IF(I10="","",IF(ABS(G22+I22)=ABS(G22)+ABS(I22),IF(I22&lt;0,-1,1)*(I22-G22)/G22,"Turn"))</f>
        <v/>
      </c>
      <c r="J21" s="332"/>
      <c r="K21" s="6"/>
      <c r="L21" s="77"/>
      <c r="M21" s="78"/>
    </row>
    <row r="22" spans="2:13" ht="15.75" customHeight="1" x14ac:dyDescent="0.15">
      <c r="B22" s="134" t="s">
        <v>243</v>
      </c>
      <c r="C22" s="319">
        <f>C17-C19</f>
        <v>509161</v>
      </c>
      <c r="D22" s="320"/>
      <c r="E22" s="319">
        <f>E17-E19</f>
        <v>431335.82924835407</v>
      </c>
      <c r="F22" s="320"/>
      <c r="G22" s="319">
        <f>IF(G10="","",G17-G19)</f>
        <v>448589.26241828827</v>
      </c>
      <c r="H22" s="320"/>
      <c r="I22" s="319" t="str">
        <f>IF(I10="","",I17-I19)</f>
        <v/>
      </c>
      <c r="J22" s="333"/>
      <c r="K22" s="6"/>
      <c r="L22" s="79"/>
      <c r="M22" s="56"/>
    </row>
    <row r="23" spans="2:13" ht="15.75" customHeight="1" x14ac:dyDescent="0.15">
      <c r="B23" s="315" t="s">
        <v>144</v>
      </c>
      <c r="C23" s="316">
        <v>0.16500000000000001</v>
      </c>
      <c r="D23" s="317"/>
      <c r="E23" s="318">
        <f>IF(E22="","",C23)</f>
        <v>0.16500000000000001</v>
      </c>
      <c r="F23" s="318"/>
      <c r="G23" s="318">
        <f>IF(G22="","",E23)</f>
        <v>0.16500000000000001</v>
      </c>
      <c r="H23" s="318"/>
      <c r="I23" s="318" t="str">
        <f>IF(I22="","",G23)</f>
        <v/>
      </c>
      <c r="J23" s="334"/>
    </row>
    <row r="24" spans="2:13" ht="15.75" customHeight="1" x14ac:dyDescent="0.15">
      <c r="B24" s="324" t="s">
        <v>302</v>
      </c>
      <c r="C24" s="264">
        <f>C25/C15</f>
        <v>0.60473610058133831</v>
      </c>
      <c r="D24" s="326"/>
      <c r="E24" s="325">
        <f>E25/E15</f>
        <v>0.42755406084002251</v>
      </c>
      <c r="F24" s="325"/>
      <c r="G24" s="325">
        <f>IF(G15="","",G25/G15)</f>
        <v>0.42755406084002251</v>
      </c>
      <c r="H24" s="325"/>
      <c r="I24" s="325" t="str">
        <f>IF(I15="","",I25/I15)</f>
        <v/>
      </c>
      <c r="J24" s="335"/>
    </row>
    <row r="25" spans="2:13" ht="15.75" customHeight="1" x14ac:dyDescent="0.15">
      <c r="B25" s="321" t="s">
        <v>80</v>
      </c>
      <c r="C25" s="322">
        <f>IF(C22&lt;=0,C22,C22*(1-C23))</f>
        <v>425149.435</v>
      </c>
      <c r="D25" s="322"/>
      <c r="E25" s="323">
        <f>IF(E22="","",IF(E22&lt;=0,E22,E22*(1-E23)))</f>
        <v>360165.41742237564</v>
      </c>
      <c r="F25" s="322"/>
      <c r="G25" s="323">
        <f>IF(G22="","",IF(G22&lt;=0,G22,G22*(1-G23)))</f>
        <v>374572.03411927068</v>
      </c>
      <c r="H25" s="322"/>
      <c r="I25" s="323" t="str">
        <f>IF(I22="","",IF(I22&lt;=0,I22,I22*(1-I23)))</f>
        <v/>
      </c>
      <c r="J25" s="336"/>
    </row>
    <row r="26" spans="2:13" ht="15.75" customHeight="1" x14ac:dyDescent="0.15"/>
    <row r="27" spans="2:13" ht="15.75" customHeight="1" x14ac:dyDescent="0.15"/>
    <row r="28" spans="2:13" ht="15.75" customHeight="1" x14ac:dyDescent="0.15"/>
    <row r="29" spans="2:13" ht="15.75" customHeight="1" x14ac:dyDescent="0.15"/>
    <row r="30" spans="2:13" ht="15.75" customHeight="1" x14ac:dyDescent="0.15"/>
    <row r="31" spans="2:13" ht="15.75" customHeight="1" x14ac:dyDescent="0.15"/>
    <row r="32" spans="2:1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</sheetData>
  <conditionalFormatting sqref="E23:E25">
    <cfRule type="containsBlanks" dxfId="7" priority="2">
      <formula>LEN(TRIM(E23))=0</formula>
    </cfRule>
  </conditionalFormatting>
  <conditionalFormatting sqref="G25 I25">
    <cfRule type="containsBlanks" dxfId="6" priority="4">
      <formula>LEN(TRIM(G25))=0</formula>
    </cfRule>
  </conditionalFormatting>
  <conditionalFormatting sqref="G15:H18 G20:H22 H19">
    <cfRule type="containsBlanks" priority="11">
      <formula>LEN(TRIM(G15))=0</formula>
    </cfRule>
    <cfRule type="containsBlanks" dxfId="5" priority="10">
      <formula>LEN(TRIM(G15))=0</formula>
    </cfRule>
  </conditionalFormatting>
  <conditionalFormatting sqref="G15:J25">
    <cfRule type="containsBlanks" dxfId="4" priority="1">
      <formula>LEN(TRIM(G15))=0</formula>
    </cfRule>
  </conditionalFormatting>
  <conditionalFormatting sqref="H10:J10 I15:J22">
    <cfRule type="containsBlanks" priority="7">
      <formula>LEN(TRIM(H10))=0</formula>
    </cfRule>
  </conditionalFormatting>
  <conditionalFormatting sqref="H10:J19">
    <cfRule type="containsBlanks" dxfId="3" priority="3">
      <formula>LEN(TRIM(H10))=0</formula>
    </cfRule>
  </conditionalFormatting>
  <conditionalFormatting sqref="I15:J22">
    <cfRule type="containsBlanks" dxfId="2" priority="6">
      <formula>LEN(TRIM(I15))=0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opLeftCell="A10" zoomScaleNormal="100" zoomScalePageLayoutView="80" workbookViewId="0">
      <selection activeCell="C34" sqref="C34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7" width="22.6640625" style="3" customWidth="1"/>
    <col min="8" max="8" width="2.5" style="3" customWidth="1"/>
    <col min="9" max="9" width="49.5" style="3" customWidth="1"/>
    <col min="10" max="16384" width="12.5" style="3"/>
  </cols>
  <sheetData>
    <row r="1" spans="1:10" ht="15" customHeight="1" x14ac:dyDescent="0.15">
      <c r="C1" s="6"/>
      <c r="D1" s="6"/>
      <c r="E1" s="6"/>
    </row>
    <row r="2" spans="1:10" ht="15.75" customHeight="1" x14ac:dyDescent="0.15">
      <c r="A2" s="4"/>
      <c r="B2" s="92" t="s">
        <v>221</v>
      </c>
      <c r="C2" s="285" t="s">
        <v>259</v>
      </c>
      <c r="D2" s="285">
        <v>1</v>
      </c>
      <c r="E2" s="285">
        <v>2</v>
      </c>
      <c r="F2" s="285">
        <v>3</v>
      </c>
      <c r="G2" s="285" t="str">
        <f>B24</f>
        <v>Exit after Year 2</v>
      </c>
      <c r="H2" s="12"/>
      <c r="I2" s="12"/>
    </row>
    <row r="3" spans="1:10" ht="15.75" customHeight="1" x14ac:dyDescent="0.15">
      <c r="B3" s="29" t="str">
        <f>"(Numbers in "&amp;Data!C4&amp;Dashboard!I11&amp;")"</f>
        <v>(Numbers in 1000HKD)</v>
      </c>
      <c r="C3" s="277">
        <f>Operation!C3</f>
        <v>44926</v>
      </c>
      <c r="D3" s="277">
        <f>Operation!E3</f>
        <v>45291</v>
      </c>
      <c r="E3" s="277">
        <f>Operation!G3</f>
        <v>45657</v>
      </c>
      <c r="F3" s="277" t="str">
        <f>Operation!I3</f>
        <v/>
      </c>
      <c r="G3" s="28" t="s">
        <v>257</v>
      </c>
      <c r="I3" s="72" t="s">
        <v>137</v>
      </c>
    </row>
    <row r="4" spans="1:10" ht="15.75" customHeight="1" x14ac:dyDescent="0.15">
      <c r="B4" s="5" t="s">
        <v>80</v>
      </c>
      <c r="C4" s="182">
        <f>Operation!C25</f>
        <v>425149.435</v>
      </c>
      <c r="D4" s="45">
        <f>Operation!E25</f>
        <v>360165.41742237564</v>
      </c>
      <c r="E4" s="45">
        <f>Operation!G25</f>
        <v>374572.03411927068</v>
      </c>
      <c r="F4" s="201" t="str">
        <f>Operation!I25</f>
        <v/>
      </c>
      <c r="G4" s="303">
        <f>IF(F3="",IF(E3="",1,2),3)</f>
        <v>2</v>
      </c>
      <c r="H4" s="6"/>
      <c r="I4" s="79"/>
      <c r="J4" s="56"/>
    </row>
    <row r="5" spans="1:10" ht="15.75" customHeight="1" x14ac:dyDescent="0.15">
      <c r="B5" s="17" t="s">
        <v>274</v>
      </c>
      <c r="C5" s="257"/>
      <c r="D5" s="258">
        <f>D4/C4-1</f>
        <v>-0.1528498269734837</v>
      </c>
      <c r="E5" s="258">
        <f>IF(E4="","",E4/D4-1)</f>
        <v>4.0000000000000036E-2</v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15">
      <c r="B6" s="17" t="s">
        <v>68</v>
      </c>
      <c r="C6" s="65">
        <v>0.3</v>
      </c>
      <c r="D6" s="226">
        <v>0.3</v>
      </c>
      <c r="E6" s="65">
        <f>D6</f>
        <v>0.3</v>
      </c>
      <c r="F6" s="308"/>
      <c r="G6" s="199"/>
      <c r="H6" s="6"/>
      <c r="I6" s="77"/>
    </row>
    <row r="7" spans="1:10" ht="15" customHeight="1" thickBot="1" x14ac:dyDescent="0.2">
      <c r="B7" s="81" t="s">
        <v>267</v>
      </c>
      <c r="C7" s="309">
        <f>C4*C6</f>
        <v>127544.8305</v>
      </c>
      <c r="D7" s="309">
        <f>D4*D6</f>
        <v>108049.62522671268</v>
      </c>
      <c r="E7" s="310">
        <f>D7</f>
        <v>108049.62522671268</v>
      </c>
      <c r="F7" s="310"/>
      <c r="G7" s="200"/>
      <c r="H7" s="82"/>
      <c r="I7" s="56"/>
      <c r="J7" s="56"/>
    </row>
    <row r="8" spans="1:10" ht="15.75" customHeight="1" thickTop="1" x14ac:dyDescent="0.15">
      <c r="B8" s="17" t="s">
        <v>145</v>
      </c>
      <c r="C8" s="192">
        <f>IF(C4="","",C4-C7)</f>
        <v>297604.60450000002</v>
      </c>
      <c r="D8" s="191">
        <f>D4-D7</f>
        <v>252115.79219566297</v>
      </c>
      <c r="E8" s="191">
        <f>IF(E4="","",E4-E7)</f>
        <v>266522.40889255801</v>
      </c>
      <c r="F8" s="191" t="str">
        <f>IF(F4="","",F4-F7)</f>
        <v/>
      </c>
      <c r="G8" s="229">
        <f>IF(F4="",IF(E4="",D8,E8),F8)</f>
        <v>266522.40889255801</v>
      </c>
      <c r="H8" s="82"/>
      <c r="I8" s="56"/>
      <c r="J8" s="56"/>
    </row>
    <row r="9" spans="1:10" ht="15.75" customHeight="1" x14ac:dyDescent="0.15">
      <c r="B9" s="203" t="s">
        <v>214</v>
      </c>
      <c r="C9" s="193">
        <f>C8/(Common_Shares/Data!$C$4)</f>
        <v>0.4307119599790839</v>
      </c>
      <c r="D9" s="305">
        <f>D8/(Common_Shares/Data!$C$4)</f>
        <v>0.36487771142087094</v>
      </c>
      <c r="E9" s="305">
        <f>IF(E8="","",E8/(Common_Shares/Data!$C$4))</f>
        <v>0.38572786635920642</v>
      </c>
      <c r="F9" s="305" t="str">
        <f>IF(F8="","",F8/(Common_Shares/Data!$C$4))</f>
        <v/>
      </c>
      <c r="G9" s="306">
        <f>G8*Data!C$4/Dashboard!I5</f>
        <v>0.38572786635920642</v>
      </c>
      <c r="H9" s="82"/>
      <c r="I9" s="56"/>
      <c r="J9" s="56"/>
    </row>
    <row r="10" spans="1:10" ht="15.75" customHeight="1" x14ac:dyDescent="0.15">
      <c r="B10" s="234" t="s">
        <v>244</v>
      </c>
      <c r="C10" s="311">
        <f>C11/C9</f>
        <v>1.0679991333937846</v>
      </c>
      <c r="D10" s="311">
        <f>D11/D9</f>
        <v>1.3703221225899196</v>
      </c>
      <c r="E10" s="343"/>
      <c r="F10" s="343"/>
      <c r="G10" s="235"/>
      <c r="H10" s="82"/>
      <c r="I10" s="56"/>
      <c r="J10" s="56"/>
    </row>
    <row r="11" spans="1:10" ht="15.75" customHeight="1" x14ac:dyDescent="0.15">
      <c r="B11" s="234" t="s">
        <v>258</v>
      </c>
      <c r="C11" s="283">
        <f>0.2+0.26</f>
        <v>0.46</v>
      </c>
      <c r="D11" s="284">
        <f>0.21+0.29</f>
        <v>0.5</v>
      </c>
      <c r="E11" s="344"/>
      <c r="F11" s="344"/>
      <c r="G11" s="282"/>
      <c r="H11" s="82"/>
      <c r="I11" s="56"/>
      <c r="J11" s="56"/>
    </row>
    <row r="12" spans="1:10" ht="15.75" customHeight="1" x14ac:dyDescent="0.15">
      <c r="B12" s="19" t="s">
        <v>275</v>
      </c>
      <c r="C12" s="236">
        <v>0</v>
      </c>
      <c r="D12" s="236">
        <v>0.28999999999999998</v>
      </c>
      <c r="E12" s="345"/>
      <c r="F12" s="345"/>
      <c r="G12" s="230">
        <f>G9*D27</f>
        <v>3.8572786635920639</v>
      </c>
      <c r="H12" s="82"/>
      <c r="I12" s="56"/>
      <c r="J12" s="56"/>
    </row>
    <row r="13" spans="1:10" ht="15.75" customHeight="1" x14ac:dyDescent="0.15">
      <c r="B13" s="17" t="s">
        <v>146</v>
      </c>
      <c r="C13" s="190"/>
      <c r="D13" s="223">
        <f ca="1">Dashboard!C12</f>
        <v>0.08</v>
      </c>
      <c r="E13" s="18">
        <f ca="1">IF(E4="","",D13)</f>
        <v>0.08</v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 x14ac:dyDescent="0.2">
      <c r="B14" s="83" t="s">
        <v>147</v>
      </c>
      <c r="C14" s="114"/>
      <c r="D14" s="224">
        <f ca="1">IF(D4="","",1+D13)</f>
        <v>1.08</v>
      </c>
      <c r="E14" s="225">
        <f ca="1">IF(E4="","",(1+D13)*(1+E13))</f>
        <v>1.1664000000000001</v>
      </c>
      <c r="F14" s="225" t="str">
        <f>IF(F4="","",(1+D13)*(1+E13)*(1+F13))</f>
        <v/>
      </c>
      <c r="G14" s="232">
        <f ca="1">IF(F4="",IF(E4="",D14,E14),F14)*(1+G13)</f>
        <v>1.2597120000000002</v>
      </c>
      <c r="H14" s="62"/>
      <c r="I14" s="57"/>
      <c r="J14" s="57"/>
    </row>
    <row r="15" spans="1:10" ht="15.75" customHeight="1" thickTop="1" x14ac:dyDescent="0.15">
      <c r="B15" s="8" t="s">
        <v>298</v>
      </c>
      <c r="C15" s="237">
        <f>C12</f>
        <v>0</v>
      </c>
      <c r="D15" s="195">
        <f ca="1">IF(D12="","",MAX(D9-D11+D12,D12)/D14)</f>
        <v>0.26851851851851849</v>
      </c>
      <c r="E15" s="196">
        <f ca="1">IF(E9="","",E9/E14)</f>
        <v>0.33069947390192589</v>
      </c>
      <c r="F15" s="196" t="str">
        <f>IF(F9="","",F9/F14)</f>
        <v/>
      </c>
      <c r="G15" s="233">
        <f ca="1">IF(G12=0,0,G12/G14)</f>
        <v>3.062032165758573</v>
      </c>
      <c r="H15" s="80"/>
      <c r="I15" s="56"/>
      <c r="J15" s="56"/>
    </row>
    <row r="16" spans="1:10" ht="15.75" customHeight="1" x14ac:dyDescent="0.15">
      <c r="F16" s="6"/>
      <c r="G16" s="115"/>
    </row>
    <row r="17" spans="1:9" ht="15.75" customHeight="1" x14ac:dyDescent="0.15">
      <c r="B17" s="26" t="s">
        <v>217</v>
      </c>
      <c r="C17" s="194" t="str">
        <f>B3</f>
        <v>(Numbers in 1000HKD)</v>
      </c>
      <c r="E17" s="72" t="s">
        <v>218</v>
      </c>
    </row>
    <row r="18" spans="1:9" ht="15.75" customHeight="1" x14ac:dyDescent="0.15">
      <c r="B18" s="58" t="s">
        <v>237</v>
      </c>
      <c r="C18" s="84">
        <f>Asset_Model!E59</f>
        <v>5385923</v>
      </c>
      <c r="D18" s="219">
        <f>C18/(Dashboard!I5/Data!C4)</f>
        <v>7.7948439525115862</v>
      </c>
      <c r="E18" s="85" t="s">
        <v>234</v>
      </c>
      <c r="G18" s="137">
        <f>C18+C19+C20+C21</f>
        <v>5190373.5</v>
      </c>
    </row>
    <row r="19" spans="1:9" ht="15.75" customHeight="1" x14ac:dyDescent="0.15">
      <c r="B19" s="58" t="s">
        <v>241</v>
      </c>
      <c r="C19" s="84">
        <f>Asset_Model!E58</f>
        <v>58438.5</v>
      </c>
      <c r="D19" s="219">
        <f>C19/(Dashboard!I5/Data!C4)</f>
        <v>8.4575844905106959E-2</v>
      </c>
      <c r="E19" s="85" t="s">
        <v>235</v>
      </c>
      <c r="G19" s="197">
        <f>(G18+MIN(D4,0))*Data!C$4/Dashboard!I5</f>
        <v>7.5118325099990093</v>
      </c>
    </row>
    <row r="20" spans="1:9" ht="15.75" customHeight="1" x14ac:dyDescent="0.15">
      <c r="B20" s="58" t="s">
        <v>219</v>
      </c>
      <c r="C20" s="84">
        <f>-Asset_Model!D52</f>
        <v>-99060</v>
      </c>
      <c r="D20" s="219">
        <f>C20/(Dashboard!I5/Data!C4)</f>
        <v>-0.14336581528102013</v>
      </c>
      <c r="E20" s="453" t="str">
        <f>IF(F21+G21=G19,"⇒","Error!")</f>
        <v>⇒</v>
      </c>
      <c r="F20" s="146" t="s">
        <v>242</v>
      </c>
      <c r="G20" s="87" t="s">
        <v>23</v>
      </c>
    </row>
    <row r="21" spans="1:9" ht="15.75" customHeight="1" x14ac:dyDescent="0.15">
      <c r="B21" s="85" t="s">
        <v>236</v>
      </c>
      <c r="C21" s="84">
        <f>-Asset_Model!E50</f>
        <v>-154928</v>
      </c>
      <c r="D21" s="219">
        <f>C21/(Dashboard!I5/Data!C4)</f>
        <v>-0.22422147213666349</v>
      </c>
      <c r="E21" s="453"/>
      <c r="F21" s="148">
        <f>D18</f>
        <v>7.7948439525115862</v>
      </c>
      <c r="G21" s="147">
        <f>SUM(D19:D21)</f>
        <v>-0.28301144251257665</v>
      </c>
    </row>
    <row r="22" spans="1:9" ht="15.75" customHeight="1" x14ac:dyDescent="0.15">
      <c r="F22" s="6"/>
      <c r="G22" s="6"/>
    </row>
    <row r="23" spans="1:9" ht="15.75" customHeight="1" x14ac:dyDescent="0.15">
      <c r="B23" s="26" t="s">
        <v>220</v>
      </c>
      <c r="C23" s="194" t="str">
        <f>B3</f>
        <v>(Numbers in 1000HKD)</v>
      </c>
      <c r="E23" s="457" t="s">
        <v>227</v>
      </c>
      <c r="F23" s="457"/>
      <c r="G23" s="457"/>
    </row>
    <row r="24" spans="1:9" ht="15.75" customHeight="1" x14ac:dyDescent="0.15">
      <c r="B24" s="127" t="str">
        <f>"Exit after Year "&amp;G4</f>
        <v>Exit after Year 2</v>
      </c>
      <c r="C24" s="127" t="s">
        <v>223</v>
      </c>
      <c r="D24" s="202" t="s">
        <v>216</v>
      </c>
      <c r="E24" s="304" t="s">
        <v>224</v>
      </c>
      <c r="F24" s="265" t="s">
        <v>226</v>
      </c>
      <c r="G24" s="265" t="s">
        <v>225</v>
      </c>
      <c r="I24" s="86" t="s">
        <v>137</v>
      </c>
    </row>
    <row r="25" spans="1:9" ht="15.75" customHeight="1" x14ac:dyDescent="0.15">
      <c r="B25" s="30" t="s">
        <v>296</v>
      </c>
      <c r="C25" s="14">
        <f>1/D25</f>
        <v>0.16666666666666666</v>
      </c>
      <c r="D25" s="297">
        <v>6</v>
      </c>
      <c r="E25" s="206">
        <f ca="1">G9*D25/G14</f>
        <v>1.837219299455144</v>
      </c>
      <c r="F25" s="454">
        <f ca="1">SUM(C15:F15)</f>
        <v>0.59921799242044438</v>
      </c>
      <c r="G25" s="206">
        <f ca="1">$F$25+E25+$G$19</f>
        <v>9.9482698018745985</v>
      </c>
      <c r="I25" s="74"/>
    </row>
    <row r="26" spans="1:9" ht="15.75" customHeight="1" x14ac:dyDescent="0.15">
      <c r="B26" s="30" t="s">
        <v>297</v>
      </c>
      <c r="C26" s="349">
        <f>1/D26</f>
        <v>0.125</v>
      </c>
      <c r="D26" s="350">
        <v>8</v>
      </c>
      <c r="E26" s="351">
        <f ca="1">G9*D26/G14</f>
        <v>2.4496257326068585</v>
      </c>
      <c r="F26" s="455"/>
      <c r="G26" s="351">
        <f ca="1">$F$25+E26+$G$19</f>
        <v>10.560676235026312</v>
      </c>
      <c r="I26" s="74" t="s">
        <v>306</v>
      </c>
    </row>
    <row r="27" spans="1:9" ht="15.75" customHeight="1" x14ac:dyDescent="0.15">
      <c r="B27" s="301" t="s">
        <v>304</v>
      </c>
      <c r="C27" s="302">
        <f t="shared" ref="C27" si="0">1/D27</f>
        <v>0.1</v>
      </c>
      <c r="D27" s="314">
        <v>10</v>
      </c>
      <c r="E27" s="207">
        <f ca="1">G9*D27/G14</f>
        <v>3.062032165758573</v>
      </c>
      <c r="F27" s="456"/>
      <c r="G27" s="207">
        <f ca="1">$F$25+E27+$G$19</f>
        <v>11.173082668178026</v>
      </c>
      <c r="I27" s="74" t="s">
        <v>305</v>
      </c>
    </row>
    <row r="28" spans="1:9" ht="15.75" customHeight="1" x14ac:dyDescent="0.15">
      <c r="C28" s="6"/>
      <c r="D28" s="6"/>
      <c r="E28" s="6"/>
      <c r="F28" s="6"/>
      <c r="G28" s="6"/>
    </row>
    <row r="29" spans="1:9" ht="15.75" customHeight="1" x14ac:dyDescent="0.2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15">
      <c r="A30" s="6"/>
      <c r="B30" s="71" t="s">
        <v>148</v>
      </c>
      <c r="C30" s="252">
        <f ca="1">MIN(Asset_Model!D7,G25*Exchange_Rate)+(ABS(Asset_Model!D7-G25*Exchange_Rate)*'Qualitative Analysis'!E8)</f>
        <v>13.106941291608036</v>
      </c>
      <c r="D30" s="23" t="str">
        <f ca="1">IF(C30&lt;E30,"&lt;",IF(C30=E30,"=","&gt;"))</f>
        <v>&gt;</v>
      </c>
      <c r="E30" s="251">
        <f ca="1">G26*Exchange_Rate</f>
        <v>10.560676235026312</v>
      </c>
      <c r="F30" s="30"/>
      <c r="H30" s="6"/>
      <c r="I30" s="6"/>
    </row>
    <row r="31" spans="1:9" ht="15.75" customHeight="1" x14ac:dyDescent="0.15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15">
      <c r="C32" s="451" t="s">
        <v>149</v>
      </c>
      <c r="D32" s="452"/>
      <c r="E32" s="30" t="s">
        <v>215</v>
      </c>
      <c r="F32" s="30" t="s">
        <v>18</v>
      </c>
      <c r="G32" s="30"/>
      <c r="H32" s="6"/>
    </row>
    <row r="33" spans="2:9" ht="15.75" customHeight="1" x14ac:dyDescent="0.15">
      <c r="B33" s="256" t="s">
        <v>229</v>
      </c>
      <c r="C33" s="253">
        <f ca="1">MIN(C30,E30)+ABS(C30-E30)*'Qualitative Analysis'!$E$64</f>
        <v>12.191758201373373</v>
      </c>
      <c r="D33" s="119" t="str">
        <f>Dashboard!J4</f>
        <v>HKD</v>
      </c>
      <c r="E33" s="120">
        <f ca="1">(C33-G19)/C9</f>
        <v>10.865557788554627</v>
      </c>
      <c r="F33" s="158">
        <f ca="1">C33/(Data!C28*Exchange_Rate*Data!C4/Common_Shares)</f>
        <v>0.42031410786900664</v>
      </c>
      <c r="G33" s="87"/>
      <c r="H33" s="6"/>
      <c r="I33" s="74"/>
    </row>
    <row r="34" spans="2:9" ht="15.75" customHeight="1" x14ac:dyDescent="0.15">
      <c r="B34" s="255" t="s">
        <v>228</v>
      </c>
      <c r="C34" s="254">
        <f ca="1">MAX(Asset_Model!D7,(G12/(1+G34)^G4+F25+G19)*Exchange_Rate)</f>
        <v>15.212722284763661</v>
      </c>
      <c r="D34" s="208" t="str">
        <f>D33</f>
        <v>HKD</v>
      </c>
      <c r="E34" s="120">
        <f ca="1">(C34-G19)/C9</f>
        <v>17.879442621325445</v>
      </c>
      <c r="F34" s="158">
        <f ca="1">C34/(Data!C28*Exchange_Rate*Data!C4/Common_Shares)</f>
        <v>0.52446264843565482</v>
      </c>
      <c r="G34" s="280">
        <f>Dashboard!D10+4.5%</f>
        <v>7.3999999999999996E-2</v>
      </c>
    </row>
    <row r="35" spans="2:9" ht="15.75" customHeight="1" x14ac:dyDescent="0.15"/>
    <row r="36" spans="2:9" ht="15.75" customHeight="1" x14ac:dyDescent="0.15"/>
    <row r="37" spans="2:9" ht="15.75" customHeight="1" x14ac:dyDescent="0.15"/>
    <row r="38" spans="2:9" ht="15.75" customHeight="1" x14ac:dyDescent="0.15"/>
    <row r="39" spans="2:9" ht="15.75" customHeight="1" x14ac:dyDescent="0.15"/>
    <row r="40" spans="2:9" ht="15.75" customHeight="1" x14ac:dyDescent="0.15"/>
    <row r="41" spans="2:9" ht="15.75" customHeight="1" x14ac:dyDescent="0.15"/>
    <row r="42" spans="2:9" ht="15.75" customHeight="1" x14ac:dyDescent="0.15"/>
    <row r="43" spans="2:9" ht="15.75" customHeight="1" x14ac:dyDescent="0.15"/>
    <row r="44" spans="2:9" ht="15.75" customHeight="1" x14ac:dyDescent="0.15"/>
    <row r="45" spans="2:9" ht="15.75" customHeight="1" x14ac:dyDescent="0.15"/>
    <row r="46" spans="2:9" ht="15.75" customHeight="1" x14ac:dyDescent="0.15"/>
    <row r="47" spans="2:9" ht="15.75" customHeight="1" x14ac:dyDescent="0.15"/>
    <row r="48" spans="2:9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</sheetData>
  <mergeCells count="4">
    <mergeCell ref="C32:D32"/>
    <mergeCell ref="E20:E21"/>
    <mergeCell ref="F25:F27"/>
    <mergeCell ref="E23:G23"/>
  </mergeCells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4" sqref="E4"/>
    </sheetView>
  </sheetViews>
  <sheetFormatPr baseColWidth="10" defaultColWidth="12.5" defaultRowHeight="15" customHeight="1" x14ac:dyDescent="0.15"/>
  <cols>
    <col min="1" max="1" width="2.5" style="3" customWidth="1"/>
    <col min="2" max="2" width="62.5" style="3" customWidth="1"/>
    <col min="3" max="3" width="28.6640625" style="3" customWidth="1"/>
    <col min="4" max="4" width="10.6640625" style="3" customWidth="1"/>
    <col min="5" max="5" width="28.6640625" style="3" customWidth="1"/>
    <col min="6" max="6" width="5.6640625" style="3" customWidth="1"/>
    <col min="7" max="7" width="73.83203125" style="3" customWidth="1"/>
    <col min="8" max="16384" width="12.5" style="3"/>
  </cols>
  <sheetData>
    <row r="2" spans="1:7" ht="16" x14ac:dyDescent="0.2">
      <c r="A2" s="4"/>
      <c r="B2" s="11" t="s">
        <v>150</v>
      </c>
      <c r="C2" s="95"/>
      <c r="D2" s="12"/>
      <c r="E2" s="12"/>
      <c r="G2" s="72" t="s">
        <v>137</v>
      </c>
    </row>
    <row r="3" spans="1:7" ht="14" x14ac:dyDescent="0.15">
      <c r="B3" s="6" t="s">
        <v>279</v>
      </c>
      <c r="C3" s="96"/>
      <c r="D3" s="94">
        <f>IF(E3="Strongly disagree",0,IF(E3="disagree",1,IF(E3="unclear",2,IF(E3="agree",3,4))))</f>
        <v>2</v>
      </c>
      <c r="E3" s="31" t="s">
        <v>151</v>
      </c>
      <c r="G3" s="79" t="s">
        <v>307</v>
      </c>
    </row>
    <row r="4" spans="1:7" ht="14" x14ac:dyDescent="0.15">
      <c r="B4" s="6" t="s">
        <v>281</v>
      </c>
      <c r="C4" s="96"/>
      <c r="D4" s="94">
        <f t="shared" ref="D4" si="0">IF(E4="Strongly disagree",0,IF(E4="disagree",1,IF(E4="unclear",2,IF(E4="agree",3,4))))</f>
        <v>2</v>
      </c>
      <c r="E4" s="31" t="s">
        <v>151</v>
      </c>
      <c r="G4" s="77"/>
    </row>
    <row r="5" spans="1:7" ht="14" x14ac:dyDescent="0.15">
      <c r="B5" s="6" t="s">
        <v>276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15">
      <c r="B6" s="6" t="s">
        <v>277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15">
      <c r="B7" s="6" t="s">
        <v>278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4" x14ac:dyDescent="0.15">
      <c r="B8" s="97" t="s">
        <v>153</v>
      </c>
      <c r="C8" s="96"/>
      <c r="D8" s="94">
        <f>AVERAGE(D3:D7)</f>
        <v>2.4</v>
      </c>
      <c r="E8" s="98">
        <f>D8/4</f>
        <v>0.6</v>
      </c>
      <c r="G8" s="77"/>
    </row>
    <row r="9" spans="1:7" ht="14" x14ac:dyDescent="0.15">
      <c r="B9" s="96"/>
      <c r="C9" s="96"/>
      <c r="E9" s="6"/>
      <c r="G9" s="77"/>
    </row>
    <row r="10" spans="1:7" ht="15" customHeight="1" x14ac:dyDescent="0.2">
      <c r="A10" s="4"/>
      <c r="B10" s="11" t="s">
        <v>154</v>
      </c>
      <c r="C10" s="20"/>
      <c r="D10" s="20"/>
      <c r="E10" s="12"/>
      <c r="G10" s="294"/>
    </row>
    <row r="11" spans="1:7" ht="15" customHeight="1" x14ac:dyDescent="0.15">
      <c r="B11" s="99" t="s">
        <v>155</v>
      </c>
      <c r="C11" s="93"/>
      <c r="E11" s="6"/>
      <c r="G11" s="294"/>
    </row>
    <row r="12" spans="1:7" ht="15" customHeight="1" x14ac:dyDescent="0.15">
      <c r="B12" s="53" t="s">
        <v>280</v>
      </c>
      <c r="D12" s="100">
        <f>IF(E12="Strongly disagree",0,IF(E12="disagree",1,IF(E12="unclear",2,IF(E12="agree",3,4))))</f>
        <v>3</v>
      </c>
      <c r="E12" s="31" t="s">
        <v>152</v>
      </c>
      <c r="F12" s="6"/>
      <c r="G12" s="294" t="s">
        <v>308</v>
      </c>
    </row>
    <row r="13" spans="1:7" ht="15" customHeight="1" x14ac:dyDescent="0.15">
      <c r="B13" s="53" t="s">
        <v>156</v>
      </c>
      <c r="D13" s="100">
        <f>IF(E13="Strongly disagree",0,IF(E13="disagree",1,IF(E13="unclear",2,IF(E13="agree",3,4))))</f>
        <v>4</v>
      </c>
      <c r="E13" s="31" t="s">
        <v>161</v>
      </c>
      <c r="F13" s="6"/>
      <c r="G13" s="294"/>
    </row>
    <row r="14" spans="1:7" ht="15" customHeight="1" x14ac:dyDescent="0.15">
      <c r="B14" s="53" t="s">
        <v>157</v>
      </c>
      <c r="D14" s="100">
        <f>IF(E14="Strongly disagree",0,IF(E14="disagree",1,IF(E14="unclear",2,IF(E14="agree",3,4))))</f>
        <v>4</v>
      </c>
      <c r="E14" s="31" t="s">
        <v>161</v>
      </c>
      <c r="F14" s="6"/>
      <c r="G14" s="294"/>
    </row>
    <row r="15" spans="1:7" ht="15" customHeight="1" x14ac:dyDescent="0.15">
      <c r="B15" s="53" t="s">
        <v>158</v>
      </c>
      <c r="D15" s="100">
        <f>IF(E15="Strongly disagree",0,IF(E15="disagree",1,IF(E15="unclear",2,IF(E15="agree",3,4))))</f>
        <v>0</v>
      </c>
      <c r="E15" s="31" t="s">
        <v>174</v>
      </c>
      <c r="F15" s="6"/>
      <c r="G15" s="294"/>
    </row>
    <row r="16" spans="1:7" ht="15" customHeight="1" x14ac:dyDescent="0.15">
      <c r="B16" s="53" t="s">
        <v>160</v>
      </c>
      <c r="D16" s="100">
        <f>IF(E16="Strongly disagree",0,IF(E16="disagree",1,IF(E16="unclear",2,IF(E16="agree",3,4))))</f>
        <v>3</v>
      </c>
      <c r="E16" s="31" t="s">
        <v>152</v>
      </c>
      <c r="F16" s="6"/>
      <c r="G16" s="294"/>
    </row>
    <row r="17" spans="2:7" ht="15" customHeight="1" x14ac:dyDescent="0.15">
      <c r="B17" s="99" t="s">
        <v>162</v>
      </c>
      <c r="D17" s="38"/>
      <c r="E17" s="23"/>
      <c r="G17" s="294"/>
    </row>
    <row r="18" spans="2:7" ht="15" customHeight="1" x14ac:dyDescent="0.15">
      <c r="B18" s="53" t="s">
        <v>301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4"/>
    </row>
    <row r="19" spans="2:7" ht="15" customHeight="1" x14ac:dyDescent="0.15">
      <c r="B19" s="53" t="s">
        <v>163</v>
      </c>
      <c r="D19" s="100">
        <f t="shared" ref="D19:D22" si="1">IF(E19="Strongly disagree",0,IF(E19="disagree",1,IF(E19="unclear",2,IF(E19="agree",3,4))))</f>
        <v>3</v>
      </c>
      <c r="E19" s="31" t="s">
        <v>152</v>
      </c>
      <c r="F19" s="6"/>
      <c r="G19" s="294" t="s">
        <v>309</v>
      </c>
    </row>
    <row r="20" spans="2:7" ht="15" customHeight="1" x14ac:dyDescent="0.15">
      <c r="B20" s="53" t="s">
        <v>164</v>
      </c>
      <c r="D20" s="100">
        <f t="shared" si="1"/>
        <v>0</v>
      </c>
      <c r="E20" s="31" t="s">
        <v>174</v>
      </c>
      <c r="F20" s="6"/>
      <c r="G20" s="294"/>
    </row>
    <row r="21" spans="2:7" ht="15" customHeight="1" x14ac:dyDescent="0.15">
      <c r="B21" s="53" t="s">
        <v>165</v>
      </c>
      <c r="D21" s="100">
        <f t="shared" si="1"/>
        <v>4</v>
      </c>
      <c r="E21" s="31" t="s">
        <v>161</v>
      </c>
      <c r="F21" s="6"/>
      <c r="G21" s="294"/>
    </row>
    <row r="22" spans="2:7" ht="15" customHeight="1" x14ac:dyDescent="0.15">
      <c r="B22" s="53" t="s">
        <v>166</v>
      </c>
      <c r="D22" s="100">
        <f t="shared" si="1"/>
        <v>3</v>
      </c>
      <c r="E22" s="31" t="s">
        <v>152</v>
      </c>
      <c r="F22" s="6"/>
      <c r="G22" s="294"/>
    </row>
    <row r="23" spans="2:7" ht="15" customHeight="1" x14ac:dyDescent="0.15">
      <c r="B23" s="99" t="s">
        <v>167</v>
      </c>
      <c r="D23" s="38"/>
      <c r="E23" s="23"/>
      <c r="G23" s="294"/>
    </row>
    <row r="24" spans="2:7" ht="15" customHeight="1" x14ac:dyDescent="0.15">
      <c r="B24" s="53" t="s">
        <v>168</v>
      </c>
      <c r="D24" s="100">
        <f t="shared" ref="D24:D28" si="2">IF(E24="Strongly disagree",0,IF(E24="disagree",1,IF(E24="unclear",2,IF(E24="agree",3,4))))</f>
        <v>2</v>
      </c>
      <c r="E24" s="31" t="s">
        <v>151</v>
      </c>
      <c r="F24" s="6"/>
      <c r="G24" s="294" t="s">
        <v>310</v>
      </c>
    </row>
    <row r="25" spans="2:7" ht="15" customHeight="1" x14ac:dyDescent="0.15">
      <c r="B25" s="53" t="s">
        <v>169</v>
      </c>
      <c r="D25" s="100">
        <f t="shared" si="2"/>
        <v>3</v>
      </c>
      <c r="E25" s="31" t="s">
        <v>152</v>
      </c>
      <c r="F25" s="6"/>
      <c r="G25" s="294" t="s">
        <v>311</v>
      </c>
    </row>
    <row r="26" spans="2:7" ht="15" customHeight="1" x14ac:dyDescent="0.15">
      <c r="B26" s="53" t="s">
        <v>282</v>
      </c>
      <c r="D26" s="100">
        <f t="shared" si="2"/>
        <v>2</v>
      </c>
      <c r="E26" s="31" t="s">
        <v>151</v>
      </c>
      <c r="F26" s="6"/>
      <c r="G26" s="294"/>
    </row>
    <row r="27" spans="2:7" ht="15" customHeight="1" x14ac:dyDescent="0.15">
      <c r="B27" s="53" t="s">
        <v>283</v>
      </c>
      <c r="D27" s="100">
        <f t="shared" si="2"/>
        <v>2</v>
      </c>
      <c r="E27" s="31" t="s">
        <v>151</v>
      </c>
      <c r="F27" s="6"/>
      <c r="G27" s="294"/>
    </row>
    <row r="28" spans="2:7" ht="15" customHeight="1" x14ac:dyDescent="0.15">
      <c r="B28" s="53" t="s">
        <v>170</v>
      </c>
      <c r="D28" s="100">
        <f t="shared" si="2"/>
        <v>2</v>
      </c>
      <c r="E28" s="31" t="s">
        <v>151</v>
      </c>
      <c r="F28" s="6"/>
      <c r="G28" s="294"/>
    </row>
    <row r="29" spans="2:7" ht="15" customHeight="1" x14ac:dyDescent="0.15">
      <c r="B29" s="99" t="s">
        <v>171</v>
      </c>
      <c r="D29" s="38"/>
      <c r="E29" s="23"/>
      <c r="G29" s="294"/>
    </row>
    <row r="30" spans="2:7" ht="15" customHeight="1" x14ac:dyDescent="0.15">
      <c r="B30" s="1" t="s">
        <v>172</v>
      </c>
      <c r="D30" s="103">
        <f>SUM(D31:D35)/(5*4)</f>
        <v>0</v>
      </c>
      <c r="E30" s="49" t="str">
        <f>IF(D30&gt;80%,"Very High",IF(D30&lt;=20%,"Very Low",IF(D30&lt;=40%,"Low",IF(D30&lt;=60%,"Medium","High"))))</f>
        <v>Very Low</v>
      </c>
      <c r="F30" s="6"/>
      <c r="G30" s="294"/>
    </row>
    <row r="31" spans="2:7" ht="15" customHeight="1" x14ac:dyDescent="0.15">
      <c r="B31" s="53" t="s">
        <v>173</v>
      </c>
      <c r="D31" s="100">
        <f t="shared" ref="D31:D35" si="3">IF(E31="Strongly disagree",0,IF(E31="disagree",1,IF(E31="unclear",2,IF(E31="agree",3,4))))</f>
        <v>0</v>
      </c>
      <c r="E31" s="31" t="s">
        <v>174</v>
      </c>
      <c r="F31" s="6"/>
      <c r="G31" s="294"/>
    </row>
    <row r="32" spans="2:7" ht="15" customHeight="1" x14ac:dyDescent="0.15">
      <c r="B32" s="53" t="s">
        <v>284</v>
      </c>
      <c r="D32" s="100">
        <f t="shared" si="3"/>
        <v>0</v>
      </c>
      <c r="E32" s="31" t="s">
        <v>174</v>
      </c>
      <c r="F32" s="6"/>
      <c r="G32" s="294"/>
    </row>
    <row r="33" spans="2:7" ht="15" customHeight="1" x14ac:dyDescent="0.15">
      <c r="B33" s="53" t="s">
        <v>285</v>
      </c>
      <c r="D33" s="100">
        <f t="shared" si="3"/>
        <v>0</v>
      </c>
      <c r="E33" s="31" t="s">
        <v>174</v>
      </c>
      <c r="F33" s="6"/>
      <c r="G33" s="294"/>
    </row>
    <row r="34" spans="2:7" ht="15" customHeight="1" x14ac:dyDescent="0.15">
      <c r="B34" s="53" t="s">
        <v>286</v>
      </c>
      <c r="D34" s="100">
        <f t="shared" si="3"/>
        <v>0</v>
      </c>
      <c r="E34" s="31" t="s">
        <v>174</v>
      </c>
      <c r="F34" s="6"/>
      <c r="G34" s="294"/>
    </row>
    <row r="35" spans="2:7" ht="15" customHeight="1" x14ac:dyDescent="0.15">
      <c r="B35" s="53" t="s">
        <v>303</v>
      </c>
      <c r="D35" s="100">
        <f t="shared" si="3"/>
        <v>0</v>
      </c>
      <c r="E35" s="31" t="s">
        <v>174</v>
      </c>
      <c r="G35" s="294"/>
    </row>
    <row r="36" spans="2:7" ht="15" customHeight="1" x14ac:dyDescent="0.15">
      <c r="B36" s="1" t="s">
        <v>175</v>
      </c>
      <c r="D36" s="103">
        <f>SUM(D37:D41)/(5*4)</f>
        <v>0.85</v>
      </c>
      <c r="E36" s="49" t="str">
        <f>IF(D36&gt;80%,"Very High",IF(D36&lt;=20%,"Very Low",IF(D36&lt;=40%,"Low",IF(D36&lt;=60%,"Medium","High"))))</f>
        <v>Very High</v>
      </c>
      <c r="F36" s="6"/>
      <c r="G36" s="294"/>
    </row>
    <row r="37" spans="2:7" ht="15" customHeight="1" x14ac:dyDescent="0.15">
      <c r="B37" s="53" t="s">
        <v>176</v>
      </c>
      <c r="D37" s="100">
        <f t="shared" ref="D37:D41" si="4">IF(E37="Strongly disagree",0,IF(E37="disagree",1,IF(E37="unclear",2,IF(E37="agree",3,4))))</f>
        <v>4</v>
      </c>
      <c r="E37" s="31" t="s">
        <v>161</v>
      </c>
      <c r="F37" s="6"/>
      <c r="G37" s="294"/>
    </row>
    <row r="38" spans="2:7" ht="15" customHeight="1" x14ac:dyDescent="0.15">
      <c r="B38" s="53" t="s">
        <v>287</v>
      </c>
      <c r="D38" s="100">
        <f t="shared" si="4"/>
        <v>4</v>
      </c>
      <c r="E38" s="31" t="s">
        <v>161</v>
      </c>
      <c r="F38" s="6"/>
      <c r="G38" s="294"/>
    </row>
    <row r="39" spans="2:7" ht="15" customHeight="1" x14ac:dyDescent="0.15">
      <c r="B39" s="53" t="s">
        <v>288</v>
      </c>
      <c r="D39" s="100">
        <f t="shared" si="4"/>
        <v>4</v>
      </c>
      <c r="E39" s="31" t="s">
        <v>161</v>
      </c>
      <c r="F39" s="6"/>
      <c r="G39" s="294"/>
    </row>
    <row r="40" spans="2:7" ht="15" customHeight="1" x14ac:dyDescent="0.15">
      <c r="B40" s="53" t="s">
        <v>289</v>
      </c>
      <c r="D40" s="100">
        <f t="shared" si="4"/>
        <v>4</v>
      </c>
      <c r="E40" s="31" t="s">
        <v>161</v>
      </c>
      <c r="F40" s="6"/>
      <c r="G40" s="294"/>
    </row>
    <row r="41" spans="2:7" ht="15" customHeight="1" x14ac:dyDescent="0.15">
      <c r="B41" s="53" t="s">
        <v>290</v>
      </c>
      <c r="D41" s="100">
        <f t="shared" si="4"/>
        <v>1</v>
      </c>
      <c r="E41" s="31" t="s">
        <v>159</v>
      </c>
      <c r="G41" s="294"/>
    </row>
    <row r="42" spans="2:7" ht="15" customHeight="1" x14ac:dyDescent="0.15">
      <c r="B42" s="1" t="s">
        <v>177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 x14ac:dyDescent="0.15">
      <c r="B43" s="53" t="s">
        <v>178</v>
      </c>
      <c r="D43" s="100">
        <f t="shared" ref="D43:D48" si="5">IF(E43="Strongly disagree",0,IF(E43="disagree",1,IF(E43="unclear",2,IF(E43="agree",3,4))))</f>
        <v>4</v>
      </c>
      <c r="E43" s="31" t="s">
        <v>161</v>
      </c>
      <c r="F43" s="6"/>
      <c r="G43" s="294"/>
    </row>
    <row r="44" spans="2:7" ht="15" customHeight="1" x14ac:dyDescent="0.15">
      <c r="B44" s="53" t="s">
        <v>179</v>
      </c>
      <c r="D44" s="100">
        <f t="shared" si="5"/>
        <v>0</v>
      </c>
      <c r="E44" s="31" t="s">
        <v>174</v>
      </c>
      <c r="F44" s="6"/>
      <c r="G44" s="294"/>
    </row>
    <row r="45" spans="2:7" ht="15" customHeight="1" x14ac:dyDescent="0.15">
      <c r="B45" s="53" t="s">
        <v>180</v>
      </c>
      <c r="D45" s="100">
        <f t="shared" si="5"/>
        <v>0</v>
      </c>
      <c r="E45" s="31" t="s">
        <v>174</v>
      </c>
      <c r="F45" s="6"/>
      <c r="G45" s="294"/>
    </row>
    <row r="46" spans="2:7" ht="15" customHeight="1" x14ac:dyDescent="0.15">
      <c r="B46" s="53" t="s">
        <v>181</v>
      </c>
      <c r="D46" s="100">
        <f t="shared" si="5"/>
        <v>1</v>
      </c>
      <c r="E46" s="31" t="s">
        <v>159</v>
      </c>
      <c r="F46" s="6"/>
      <c r="G46" s="294" t="s">
        <v>312</v>
      </c>
    </row>
    <row r="47" spans="2:7" ht="15" customHeight="1" x14ac:dyDescent="0.15">
      <c r="B47" s="53" t="s">
        <v>182</v>
      </c>
      <c r="D47" s="100">
        <f t="shared" si="5"/>
        <v>3</v>
      </c>
      <c r="E47" s="31" t="s">
        <v>152</v>
      </c>
      <c r="F47" s="6"/>
      <c r="G47" s="294"/>
    </row>
    <row r="48" spans="2:7" ht="15" customHeight="1" x14ac:dyDescent="0.15">
      <c r="B48" s="53" t="s">
        <v>208</v>
      </c>
      <c r="D48" s="100">
        <f t="shared" si="5"/>
        <v>0</v>
      </c>
      <c r="E48" s="31" t="s">
        <v>174</v>
      </c>
      <c r="F48" s="6"/>
      <c r="G48" s="294"/>
    </row>
    <row r="49" spans="2:8" ht="15" customHeight="1" x14ac:dyDescent="0.15">
      <c r="B49" s="1" t="s">
        <v>183</v>
      </c>
      <c r="D49" s="103">
        <f>SUM(D50:D54)/(5*4)</f>
        <v>0.25510204081632654</v>
      </c>
      <c r="E49" s="49" t="str">
        <f>IF(D49&gt;80%,"Very High",IF(D49&lt;=20%,"Very Low",IF(D49&lt;=40%,"Low",IF(D49&lt;=60%,"Medium","High"))))</f>
        <v>Low</v>
      </c>
      <c r="F49" s="6"/>
      <c r="G49" s="294"/>
    </row>
    <row r="50" spans="2:8" ht="15" customHeight="1" x14ac:dyDescent="0.15">
      <c r="B50" s="53" t="s">
        <v>184</v>
      </c>
      <c r="D50" s="100">
        <f t="shared" ref="D50:D52" si="6">IF(E50="Strongly disagree",0,IF(E50="disagree",1,IF(E50="unclear",2,IF(E50="agree",3,4))))</f>
        <v>0</v>
      </c>
      <c r="E50" s="31" t="s">
        <v>174</v>
      </c>
      <c r="G50" s="294"/>
    </row>
    <row r="51" spans="2:8" ht="15" customHeight="1" x14ac:dyDescent="0.15">
      <c r="B51" s="53" t="s">
        <v>185</v>
      </c>
      <c r="D51" s="100">
        <f t="shared" si="6"/>
        <v>0</v>
      </c>
      <c r="E51" s="31" t="s">
        <v>174</v>
      </c>
      <c r="F51" s="6"/>
      <c r="G51" s="294"/>
    </row>
    <row r="52" spans="2:8" ht="15" customHeight="1" x14ac:dyDescent="0.15">
      <c r="B52" s="53" t="s">
        <v>291</v>
      </c>
      <c r="D52" s="100">
        <f t="shared" si="6"/>
        <v>2</v>
      </c>
      <c r="E52" s="31" t="s">
        <v>151</v>
      </c>
      <c r="G52" s="294"/>
    </row>
    <row r="53" spans="2:8" ht="15" customHeight="1" x14ac:dyDescent="0.15">
      <c r="B53" s="53" t="s">
        <v>292</v>
      </c>
      <c r="D53" s="100">
        <f>IF(E53="Strongly disagree",0,IF(E53="disagree",1,IF(E53="unclear",2,IF(E53="agree",3,4))))</f>
        <v>0</v>
      </c>
      <c r="E53" s="31" t="s">
        <v>174</v>
      </c>
      <c r="F53" s="53"/>
      <c r="G53" s="294"/>
      <c r="H53" s="53"/>
    </row>
    <row r="54" spans="2:8" ht="15" customHeight="1" x14ac:dyDescent="0.15">
      <c r="B54" s="53" t="s">
        <v>293</v>
      </c>
      <c r="D54" s="104">
        <f t="array" ref="D54">(1-INDEX(B68:E77,MATCH(E54,B68:B77,0),4))*4</f>
        <v>3.1020408163265305</v>
      </c>
      <c r="E54" s="31" t="s">
        <v>271</v>
      </c>
      <c r="F54" s="53"/>
      <c r="G54" s="294"/>
      <c r="H54" s="53"/>
    </row>
    <row r="55" spans="2:8" ht="15" customHeight="1" x14ac:dyDescent="0.15">
      <c r="B55" s="1" t="s">
        <v>186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4"/>
      <c r="H55" s="53"/>
    </row>
    <row r="56" spans="2:8" ht="15" customHeight="1" x14ac:dyDescent="0.15">
      <c r="B56" s="53" t="s">
        <v>187</v>
      </c>
      <c r="D56" s="100">
        <f t="shared" ref="D56:D60" si="7">IF(E56="Strongly disagree",0,IF(E56="disagree",1,IF(E56="unclear",2,IF(E56="agree",3,4))))</f>
        <v>2</v>
      </c>
      <c r="E56" s="31" t="s">
        <v>151</v>
      </c>
      <c r="F56" s="53"/>
      <c r="G56" s="294"/>
      <c r="H56" s="53"/>
    </row>
    <row r="57" spans="2:8" ht="15" customHeight="1" x14ac:dyDescent="0.15">
      <c r="B57" s="53" t="s">
        <v>188</v>
      </c>
      <c r="D57" s="100">
        <f t="shared" si="7"/>
        <v>0</v>
      </c>
      <c r="E57" s="31" t="s">
        <v>174</v>
      </c>
      <c r="F57" s="53"/>
      <c r="G57" s="294"/>
      <c r="H57" s="53"/>
    </row>
    <row r="58" spans="2:8" ht="15" customHeight="1" x14ac:dyDescent="0.15">
      <c r="B58" s="53" t="s">
        <v>209</v>
      </c>
      <c r="D58" s="100">
        <f t="shared" si="7"/>
        <v>0</v>
      </c>
      <c r="E58" s="31" t="s">
        <v>174</v>
      </c>
      <c r="F58" s="53"/>
      <c r="G58" s="294"/>
      <c r="H58" s="53"/>
    </row>
    <row r="59" spans="2:8" ht="15" customHeight="1" x14ac:dyDescent="0.15">
      <c r="B59" s="53" t="s">
        <v>210</v>
      </c>
      <c r="D59" s="100">
        <f t="shared" si="7"/>
        <v>4</v>
      </c>
      <c r="E59" s="31" t="s">
        <v>161</v>
      </c>
      <c r="F59" s="53"/>
      <c r="G59" s="294"/>
      <c r="H59" s="53"/>
    </row>
    <row r="60" spans="2:8" ht="15" customHeight="1" x14ac:dyDescent="0.15">
      <c r="B60" s="53" t="s">
        <v>211</v>
      </c>
      <c r="D60" s="100">
        <f t="shared" si="7"/>
        <v>4</v>
      </c>
      <c r="E60" s="31" t="s">
        <v>161</v>
      </c>
      <c r="F60" s="53"/>
      <c r="G60" s="294"/>
      <c r="H60" s="53"/>
    </row>
    <row r="61" spans="2:8" ht="15" customHeight="1" x14ac:dyDescent="0.15">
      <c r="B61" s="53" t="s">
        <v>212</v>
      </c>
      <c r="D61" s="100">
        <f>IF(E61="Strongly disagree",0,IF(E61="disagree",1,IF(E61="non-perishable",2,IF(E61="agree",3,4))))</f>
        <v>2</v>
      </c>
      <c r="E61" s="31" t="s">
        <v>272</v>
      </c>
      <c r="F61" s="53"/>
      <c r="G61" s="294"/>
      <c r="H61" s="53"/>
    </row>
    <row r="62" spans="2:8" ht="15" customHeight="1" x14ac:dyDescent="0.15">
      <c r="B62" s="146" t="s">
        <v>189</v>
      </c>
      <c r="D62" s="126">
        <f>1-AVERAGE(D30,D36,D42,D49,D55)</f>
        <v>0.61231292517006808</v>
      </c>
      <c r="E62" s="49" t="str">
        <f>IF(D62&gt;80%,"Very Low",IF(D62&lt;=20%,"Very High",IF(D62&lt;=40%,"High",IF(D62&lt;=60%,"Medium","Low"))))</f>
        <v>Low</v>
      </c>
      <c r="F62" s="53"/>
      <c r="G62" s="294"/>
      <c r="H62" s="53"/>
    </row>
    <row r="63" spans="2:8" ht="15" customHeight="1" x14ac:dyDescent="0.15">
      <c r="D63" s="6"/>
      <c r="G63" s="294"/>
    </row>
    <row r="64" spans="2:8" ht="15" customHeight="1" x14ac:dyDescent="0.15">
      <c r="B64" s="97" t="s">
        <v>190</v>
      </c>
      <c r="D64" s="94">
        <f>E64*4</f>
        <v>2.562312925170068</v>
      </c>
      <c r="E64" s="125">
        <f>AVERAGE(AVERAGE(D12:D16)/4,AVERAGE(D18:D22)/4,AVERAGE(D24:D28)/4,D62)</f>
        <v>0.64057823129251701</v>
      </c>
      <c r="G64" s="294"/>
    </row>
    <row r="65" spans="2:7" ht="15" customHeight="1" x14ac:dyDescent="0.15">
      <c r="G65" s="295"/>
    </row>
    <row r="66" spans="2:7" ht="15" customHeight="1" x14ac:dyDescent="0.15">
      <c r="B66" s="54" t="s">
        <v>191</v>
      </c>
      <c r="C66" s="7"/>
      <c r="D66" s="7"/>
      <c r="E66" s="55"/>
    </row>
    <row r="67" spans="2:7" ht="15" customHeight="1" x14ac:dyDescent="0.15">
      <c r="B67" s="106" t="s">
        <v>192</v>
      </c>
      <c r="C67" s="107"/>
      <c r="D67" s="107"/>
      <c r="E67" s="108"/>
    </row>
    <row r="68" spans="2:7" ht="15" customHeight="1" x14ac:dyDescent="0.15">
      <c r="B68" s="109" t="s">
        <v>193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15">
      <c r="B69" s="109" t="str">
        <f t="shared" ref="B69:B77" si="9">C69&amp;", "&amp;D69&amp;"y"</f>
        <v>Information Technology Like, 6.6y</v>
      </c>
      <c r="C69" s="107" t="s">
        <v>194</v>
      </c>
      <c r="D69" s="107">
        <v>6.6</v>
      </c>
      <c r="E69" s="110">
        <f t="shared" si="8"/>
        <v>0.22448979591836735</v>
      </c>
    </row>
    <row r="70" spans="2:7" ht="15" customHeight="1" x14ac:dyDescent="0.15">
      <c r="B70" s="109" t="str">
        <f t="shared" si="9"/>
        <v>Healthcare, 11.4y</v>
      </c>
      <c r="C70" s="107" t="s">
        <v>195</v>
      </c>
      <c r="D70" s="107">
        <v>11.4</v>
      </c>
      <c r="E70" s="110">
        <f t="shared" si="8"/>
        <v>0.38775510204081637</v>
      </c>
    </row>
    <row r="71" spans="2:7" ht="15" customHeight="1" x14ac:dyDescent="0.15">
      <c r="B71" s="109" t="str">
        <f t="shared" si="9"/>
        <v>Consumer Discretionary, 12.4y</v>
      </c>
      <c r="C71" s="107" t="s">
        <v>196</v>
      </c>
      <c r="D71" s="107">
        <v>12.4</v>
      </c>
      <c r="E71" s="110">
        <f t="shared" si="8"/>
        <v>0.42176870748299322</v>
      </c>
    </row>
    <row r="72" spans="2:7" ht="15" customHeight="1" x14ac:dyDescent="0.15">
      <c r="B72" s="109" t="str">
        <f t="shared" si="9"/>
        <v>Consumer Staples, 15.1y</v>
      </c>
      <c r="C72" s="107" t="s">
        <v>197</v>
      </c>
      <c r="D72" s="107">
        <v>15.1</v>
      </c>
      <c r="E72" s="110">
        <f t="shared" si="8"/>
        <v>0.51360544217687076</v>
      </c>
    </row>
    <row r="73" spans="2:7" ht="15" customHeight="1" x14ac:dyDescent="0.15">
      <c r="B73" s="109" t="str">
        <f t="shared" si="9"/>
        <v>Industrials, 15.4y</v>
      </c>
      <c r="C73" s="107" t="s">
        <v>198</v>
      </c>
      <c r="D73" s="107">
        <v>15.4</v>
      </c>
      <c r="E73" s="110">
        <f t="shared" si="8"/>
        <v>0.52380952380952384</v>
      </c>
    </row>
    <row r="74" spans="2:7" ht="15" customHeight="1" x14ac:dyDescent="0.15">
      <c r="B74" s="109" t="str">
        <f t="shared" si="9"/>
        <v>Telecommunication Services, 16.1y</v>
      </c>
      <c r="C74" s="107" t="s">
        <v>199</v>
      </c>
      <c r="D74" s="107">
        <v>16.100000000000001</v>
      </c>
      <c r="E74" s="110">
        <f t="shared" si="8"/>
        <v>0.54761904761904767</v>
      </c>
    </row>
    <row r="75" spans="2:7" ht="15" customHeight="1" x14ac:dyDescent="0.15">
      <c r="B75" s="109" t="str">
        <f t="shared" si="9"/>
        <v>Energy, 17.6y</v>
      </c>
      <c r="C75" s="107" t="s">
        <v>200</v>
      </c>
      <c r="D75" s="107">
        <v>17.600000000000001</v>
      </c>
      <c r="E75" s="110">
        <f t="shared" si="8"/>
        <v>0.59863945578231303</v>
      </c>
    </row>
    <row r="76" spans="2:7" ht="15" customHeight="1" x14ac:dyDescent="0.15">
      <c r="B76" s="109" t="str">
        <f t="shared" si="9"/>
        <v>Materials, 18.6y</v>
      </c>
      <c r="C76" s="107" t="s">
        <v>201</v>
      </c>
      <c r="D76" s="107">
        <v>18.600000000000001</v>
      </c>
      <c r="E76" s="110">
        <f t="shared" si="8"/>
        <v>0.63265306122448983</v>
      </c>
    </row>
    <row r="77" spans="2:7" ht="15" customHeight="1" x14ac:dyDescent="0.15">
      <c r="B77" s="111" t="str">
        <f t="shared" si="9"/>
        <v>Utilities, 29.4y</v>
      </c>
      <c r="C77" s="112" t="s">
        <v>202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Microsoft Office User</cp:lastModifiedBy>
  <cp:revision/>
  <cp:lastPrinted>2023-02-17T02:44:16Z</cp:lastPrinted>
  <dcterms:created xsi:type="dcterms:W3CDTF">2022-08-10T03:52:42Z</dcterms:created>
  <dcterms:modified xsi:type="dcterms:W3CDTF">2023-03-28T10:49:54Z</dcterms:modified>
  <cp:category/>
  <cp:contentStatus/>
</cp:coreProperties>
</file>