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E2E10B28-575C-4A44-8829-C05F96ABB7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5" i="1"/>
  <c r="F42" i="1"/>
  <c r="E42" i="1" s="1"/>
  <c r="F40" i="1"/>
  <c r="I36" i="1" l="1"/>
  <c r="B16" i="1"/>
  <c r="E6" i="7"/>
  <c r="E5" i="7"/>
  <c r="C13" i="7"/>
  <c r="E13" i="7" s="1"/>
  <c r="C7" i="7"/>
  <c r="D6" i="7" s="1"/>
  <c r="C36" i="3"/>
  <c r="C17" i="3"/>
  <c r="C36" i="1"/>
  <c r="E2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E16" i="1"/>
  <c r="D5" i="7" l="1"/>
  <c r="E7" i="7"/>
  <c r="E9" i="7" s="1"/>
  <c r="D4" i="7"/>
  <c r="D20" i="2"/>
  <c r="E20" i="2"/>
  <c r="F20" i="2"/>
  <c r="G20" i="2"/>
  <c r="H20" i="2"/>
  <c r="I20" i="2"/>
  <c r="J20" i="2"/>
  <c r="K20" i="2"/>
  <c r="L20" i="2"/>
  <c r="M20" i="2"/>
  <c r="C20" i="2"/>
  <c r="E12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1" i="7" l="1"/>
  <c r="E16" i="7" s="1"/>
  <c r="E17" i="7" s="1"/>
  <c r="E19" i="7" s="1"/>
  <c r="E18" i="7" s="1"/>
  <c r="G9" i="7"/>
  <c r="D52" i="3"/>
  <c r="C20" i="4" s="1"/>
  <c r="D20" i="4" s="1"/>
  <c r="I53" i="3"/>
  <c r="C44" i="3"/>
  <c r="C25" i="3"/>
  <c r="I7" i="3" s="1"/>
  <c r="E15" i="7" l="1"/>
  <c r="G11" i="7"/>
  <c r="G16" i="7" s="1"/>
  <c r="I15" i="7" s="1"/>
  <c r="I3" i="7" s="1"/>
  <c r="F3" i="4" s="1"/>
  <c r="G4" i="4" s="1"/>
  <c r="B24" i="4" s="1"/>
  <c r="G2" i="4" s="1"/>
  <c r="D4" i="4"/>
  <c r="E14" i="7"/>
  <c r="C45" i="3"/>
  <c r="E12" i="3"/>
  <c r="G15" i="7" l="1"/>
  <c r="G17" i="7"/>
  <c r="I17" i="7" s="1"/>
  <c r="I19" i="7" s="1"/>
  <c r="I18" i="7" s="1"/>
  <c r="G14" i="7"/>
  <c r="D7" i="4"/>
  <c r="D8" i="4" s="1"/>
  <c r="D9" i="4" s="1"/>
  <c r="D10" i="4" s="1"/>
  <c r="D5" i="4"/>
  <c r="D53" i="5"/>
  <c r="F4" i="4" l="1"/>
  <c r="F8" i="4" s="1"/>
  <c r="F9" i="4" s="1"/>
  <c r="G19" i="7"/>
  <c r="E4" i="4" s="1"/>
  <c r="E35" i="3"/>
  <c r="G18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C33" i="2" s="1"/>
  <c r="I6" i="3"/>
  <c r="E58" i="3"/>
  <c r="D58" i="3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D33" i="2" l="1"/>
  <c r="D34" i="2" s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C30" i="1" l="1"/>
  <c r="C35" i="1"/>
  <c r="B18" i="1" s="1"/>
  <c r="C31" i="1"/>
  <c r="I31" i="1" s="1"/>
  <c r="I32" i="1" s="1"/>
  <c r="I33" i="1" s="1"/>
  <c r="E20" i="4"/>
  <c r="J16" i="1"/>
  <c r="C27" i="1" l="1"/>
  <c r="I27" i="1" s="1"/>
  <c r="E32" i="1"/>
  <c r="E33" i="1" s="1"/>
  <c r="J10" i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F41" i="1"/>
  <c r="D8" i="5"/>
  <c r="E8" i="5" s="1"/>
  <c r="E5" i="5"/>
  <c r="F39" i="1" l="1"/>
  <c r="F48" i="1" s="1"/>
  <c r="C30" i="4"/>
  <c r="C33" i="4" s="1"/>
  <c r="H14" i="1" s="1"/>
  <c r="B17" i="1" s="1"/>
  <c r="D14" i="1"/>
  <c r="F46" i="1" s="1"/>
  <c r="F14" i="1"/>
  <c r="D30" i="4" l="1"/>
  <c r="F49" i="1"/>
  <c r="E50" i="1" s="1"/>
  <c r="F50" i="1" s="1"/>
  <c r="E49" i="1"/>
  <c r="F33" i="4"/>
  <c r="D18" i="1"/>
  <c r="E33" i="4"/>
  <c r="D17" i="1" l="1"/>
  <c r="J25" i="1" s="1"/>
  <c r="D16" i="1"/>
  <c r="J17" i="1"/>
  <c r="F17" i="1"/>
</calcChain>
</file>

<file path=xl/sharedStrings.xml><?xml version="1.0" encoding="utf-8"?>
<sst xmlns="http://schemas.openxmlformats.org/spreadsheetml/2006/main" count="410" uniqueCount="346">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</sst>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173" fontId="1" fillId="0" borderId="2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65" fontId="4" fillId="9" borderId="13" xfId="0" applyNumberFormat="1" applyFont="1" applyFill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E14" sqref="E14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89" t="s">
        <v>320</v>
      </c>
      <c r="D3" s="390"/>
      <c r="E3" s="15"/>
      <c r="G3" s="7" t="s">
        <v>2</v>
      </c>
      <c r="I3" s="401" t="s">
        <v>3</v>
      </c>
      <c r="J3" s="402"/>
    </row>
    <row r="4" spans="1:12" ht="15.75" customHeight="1" x14ac:dyDescent="0.15">
      <c r="B4" s="5" t="s">
        <v>4</v>
      </c>
      <c r="C4" s="391" t="s">
        <v>321</v>
      </c>
      <c r="D4" s="392"/>
      <c r="E4" s="6"/>
      <c r="G4" s="5" t="s">
        <v>5</v>
      </c>
      <c r="I4" s="32">
        <v>2.4500000000000002</v>
      </c>
      <c r="J4" s="33" t="s">
        <v>6</v>
      </c>
      <c r="K4" s="152"/>
    </row>
    <row r="5" spans="1:12" ht="15.75" customHeight="1" x14ac:dyDescent="0.15">
      <c r="B5" s="5" t="s">
        <v>7</v>
      </c>
      <c r="C5" s="393">
        <v>44771</v>
      </c>
      <c r="D5" s="392"/>
      <c r="E5" s="122" t="str">
        <f ca="1">IF(C5+30&gt;=TODAY(),"Patience Premium","")</f>
        <v/>
      </c>
      <c r="G5" s="5" t="s">
        <v>8</v>
      </c>
      <c r="I5" s="385">
        <v>1826710016</v>
      </c>
      <c r="J5" s="386"/>
      <c r="K5" s="151"/>
      <c r="L5" s="85"/>
    </row>
    <row r="6" spans="1:12" ht="15.75" customHeight="1" x14ac:dyDescent="0.15">
      <c r="B6" s="12" t="s">
        <v>251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3">
        <f>I4*I5/1000000</f>
        <v>4475.4395392000006</v>
      </c>
      <c r="J6" s="404"/>
      <c r="K6" s="151"/>
    </row>
    <row r="7" spans="1:12" ht="15.75" customHeight="1" x14ac:dyDescent="0.15">
      <c r="B7" s="139" t="s">
        <v>10</v>
      </c>
      <c r="C7" s="145">
        <f>(Data!C39*Exchange_Rate)/I4</f>
        <v>0.14093096208216116</v>
      </c>
      <c r="D7" s="145">
        <f>(Data!C40*Exchange_Rate)/I4</f>
        <v>4.9217512172977313E-3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9.7756934364030723</v>
      </c>
      <c r="J9" s="48">
        <f>IF(I9="NNI","NNI",1/I9)</f>
        <v>0.10229453352906553</v>
      </c>
    </row>
    <row r="10" spans="1:12" ht="15.75" customHeight="1" x14ac:dyDescent="0.15">
      <c r="B10" s="3" t="s">
        <v>268</v>
      </c>
      <c r="C10" s="299" t="s">
        <v>322</v>
      </c>
      <c r="D10" s="299">
        <v>3.8159999999999999E-2</v>
      </c>
      <c r="E10" s="5"/>
      <c r="G10" s="5" t="s">
        <v>14</v>
      </c>
      <c r="I10" s="138">
        <f>I4/(Data!C28*I12*Data!C4/Common_Shares)</f>
        <v>0.85007555702022231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2">
      <c r="B11" s="312" t="s">
        <v>271</v>
      </c>
      <c r="C11" s="415">
        <f ca="1">C12-D10</f>
        <v>2.1839999999999998E-2</v>
      </c>
      <c r="D11" s="416"/>
      <c r="E11" s="13"/>
      <c r="G11" s="5" t="s">
        <v>15</v>
      </c>
      <c r="H11" s="6"/>
      <c r="I11" s="413" t="s">
        <v>6</v>
      </c>
      <c r="J11" s="414"/>
    </row>
    <row r="12" spans="1:12" ht="15.75" customHeight="1" thickTop="1" x14ac:dyDescent="0.15">
      <c r="B12" s="313" t="s">
        <v>145</v>
      </c>
      <c r="C12" s="417">
        <f ca="1">IF(C10="CN",8%,6%)*IF($C$5+30&gt;=TODAY(),1.2,1)</f>
        <v>0.06</v>
      </c>
      <c r="D12" s="41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15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2.4500000000000002</v>
      </c>
      <c r="C16" s="424">
        <v>0.1</v>
      </c>
      <c r="D16" s="159" t="str">
        <f ca="1">IF(B17='FCFF Model'!G19,"Asset Play", H14/B16-1-C16)</f>
        <v>Asset Play</v>
      </c>
      <c r="E16" s="421">
        <f>'FCFF Model'!D11*Exchange_Rate</f>
        <v>0</v>
      </c>
      <c r="F16" s="161">
        <f>E16/B16</f>
        <v>0</v>
      </c>
      <c r="G16" s="408" t="s">
        <v>25</v>
      </c>
      <c r="H16" s="405">
        <f>('FCFF Model'!G19)*Exchange_Rate</f>
        <v>1.7388053570895838</v>
      </c>
      <c r="I16" s="408" t="s">
        <v>26</v>
      </c>
      <c r="J16" s="206">
        <f>B16-$H$16</f>
        <v>0.71119464291041634</v>
      </c>
    </row>
    <row r="17" spans="1:10" ht="15.75" customHeight="1" x14ac:dyDescent="0.15">
      <c r="B17" s="289">
        <f ca="1">MAX(H14/(1+C16),'FCFF Model'!G19*Exchange_Rate)</f>
        <v>1.7388053570895838</v>
      </c>
      <c r="C17" s="425"/>
      <c r="D17" s="288" t="str">
        <f ca="1">IF(B17='FCFF Model'!G19,"Asset Play",H14/B17-1-C16)</f>
        <v>Asset Play</v>
      </c>
      <c r="E17" s="422"/>
      <c r="F17" s="162">
        <f ca="1">E16/B17</f>
        <v>0</v>
      </c>
      <c r="G17" s="409"/>
      <c r="H17" s="406"/>
      <c r="I17" s="409"/>
      <c r="J17" s="205">
        <f ca="1">B17-$H$16</f>
        <v>0</v>
      </c>
    </row>
    <row r="18" spans="1:10" ht="15.75" customHeight="1" x14ac:dyDescent="0.15">
      <c r="B18" s="355">
        <f>C35</f>
        <v>1.86</v>
      </c>
      <c r="C18" s="426"/>
      <c r="D18" s="160" t="str">
        <f ca="1">IF(B17='FCFF Model'!G19,"Asset Play", H14/B18-1-C16)</f>
        <v>Asset Play</v>
      </c>
      <c r="E18" s="423"/>
      <c r="F18" s="163">
        <f>E16/B18</f>
        <v>0</v>
      </c>
      <c r="G18" s="410"/>
      <c r="H18" s="407"/>
      <c r="I18" s="410"/>
      <c r="J18" s="207">
        <f>B18-$H$16</f>
        <v>0.12119464291041626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249</v>
      </c>
      <c r="D20" s="290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396" t="s">
        <v>323</v>
      </c>
      <c r="D21" s="397"/>
      <c r="E21" s="397"/>
      <c r="F21" s="397"/>
      <c r="G21" s="397"/>
      <c r="H21" s="397"/>
      <c r="I21" s="397"/>
      <c r="J21" s="398"/>
    </row>
    <row r="22" spans="1:10" ht="52.5" customHeight="1" x14ac:dyDescent="0.15">
      <c r="A22" s="6"/>
      <c r="B22" s="24" t="s">
        <v>29</v>
      </c>
      <c r="C22" s="412" t="s">
        <v>325</v>
      </c>
      <c r="D22" s="377"/>
      <c r="E22" s="377"/>
      <c r="F22" s="377"/>
      <c r="G22" s="412" t="s">
        <v>326</v>
      </c>
      <c r="H22" s="412"/>
      <c r="I22" s="377"/>
      <c r="J22" s="377"/>
    </row>
    <row r="23" spans="1:10" ht="52.5" customHeight="1" x14ac:dyDescent="0.15">
      <c r="A23" s="6"/>
      <c r="B23" s="25" t="s">
        <v>30</v>
      </c>
      <c r="C23" s="399" t="s">
        <v>327</v>
      </c>
      <c r="D23" s="400"/>
      <c r="E23" s="400"/>
      <c r="F23" s="400"/>
      <c r="G23" s="399" t="s">
        <v>328</v>
      </c>
      <c r="H23" s="399"/>
      <c r="I23" s="400"/>
      <c r="J23" s="400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1.7388053570895838</v>
      </c>
    </row>
    <row r="26" spans="1:10" ht="15.75" customHeight="1" x14ac:dyDescent="0.15">
      <c r="B26" s="23" t="s">
        <v>33</v>
      </c>
      <c r="C26" s="394"/>
      <c r="D26" s="395"/>
      <c r="E26" s="430" t="str">
        <f>IF(C26="","","Action_Planning")</f>
        <v/>
      </c>
      <c r="F26" s="431"/>
      <c r="G26" s="431"/>
      <c r="H26" s="432"/>
      <c r="I26" s="411" t="s">
        <v>34</v>
      </c>
      <c r="J26" s="411"/>
    </row>
    <row r="27" spans="1:10" ht="15.75" customHeight="1" x14ac:dyDescent="0.15">
      <c r="B27" s="23" t="s">
        <v>35</v>
      </c>
      <c r="C27" s="420">
        <f>C31/D25</f>
        <v>0.24179999999999999</v>
      </c>
      <c r="D27" s="375"/>
      <c r="E27" s="419">
        <f>E31/D25</f>
        <v>0</v>
      </c>
      <c r="F27" s="375"/>
      <c r="G27" s="428">
        <f>G31/D25</f>
        <v>0</v>
      </c>
      <c r="H27" s="429"/>
      <c r="I27" s="427">
        <f>C27+E27+G27</f>
        <v>0.24179999999999999</v>
      </c>
      <c r="J27" s="427"/>
    </row>
    <row r="28" spans="1:10" ht="15.75" customHeight="1" x14ac:dyDescent="0.15">
      <c r="B28" s="23" t="s">
        <v>36</v>
      </c>
      <c r="C28" s="376">
        <v>78000</v>
      </c>
      <c r="D28" s="377"/>
      <c r="E28" s="376"/>
      <c r="F28" s="377"/>
      <c r="G28" s="385"/>
      <c r="H28" s="386"/>
      <c r="I28" s="365">
        <f>C28+E28+G28</f>
        <v>78000</v>
      </c>
      <c r="J28" s="365"/>
    </row>
    <row r="29" spans="1:10" ht="15.75" customHeight="1" x14ac:dyDescent="0.15">
      <c r="B29" s="23" t="s">
        <v>37</v>
      </c>
      <c r="C29" s="378">
        <v>1.86</v>
      </c>
      <c r="D29" s="377"/>
      <c r="E29" s="378"/>
      <c r="F29" s="377"/>
      <c r="G29" s="379"/>
      <c r="H29" s="380"/>
      <c r="I29" s="387"/>
      <c r="J29" s="387"/>
    </row>
    <row r="30" spans="1:10" ht="15.75" customHeight="1" x14ac:dyDescent="0.15">
      <c r="B30" s="23" t="s">
        <v>38</v>
      </c>
      <c r="C30" s="363">
        <f>C29*$I$5/1000000</f>
        <v>3397.6806297600001</v>
      </c>
      <c r="D30" s="370"/>
      <c r="E30" s="363">
        <f>E29*$I$5/1000000</f>
        <v>0</v>
      </c>
      <c r="F30" s="370"/>
      <c r="G30" s="381">
        <f>G29*$I$5/1000000</f>
        <v>0</v>
      </c>
      <c r="H30" s="382"/>
      <c r="I30" s="388"/>
      <c r="J30" s="388"/>
    </row>
    <row r="31" spans="1:10" ht="15.75" customHeight="1" x14ac:dyDescent="0.15">
      <c r="B31" s="2" t="s">
        <v>39</v>
      </c>
      <c r="C31" s="371">
        <f>C28*C29</f>
        <v>145080</v>
      </c>
      <c r="D31" s="372"/>
      <c r="E31" s="364">
        <f>E28*E29</f>
        <v>0</v>
      </c>
      <c r="F31" s="373"/>
      <c r="G31" s="383">
        <f>G28*G29</f>
        <v>0</v>
      </c>
      <c r="H31" s="384"/>
      <c r="I31" s="364">
        <f>C31+E31+G31</f>
        <v>145080</v>
      </c>
      <c r="J31" s="364"/>
    </row>
    <row r="32" spans="1:10" ht="15.75" customHeight="1" x14ac:dyDescent="0.15">
      <c r="B32" s="1" t="s">
        <v>40</v>
      </c>
      <c r="C32" s="366"/>
      <c r="D32" s="367"/>
      <c r="E32" s="374">
        <f>IF(C31=0,"-",(C31+E31)/(C28+E28))</f>
        <v>1.86</v>
      </c>
      <c r="F32" s="375"/>
      <c r="G32" s="117"/>
      <c r="H32" s="117"/>
      <c r="I32" s="374">
        <f>IF(I31=0,"",I31/I28)</f>
        <v>1.86</v>
      </c>
      <c r="J32" s="374"/>
    </row>
    <row r="33" spans="2:11" ht="15.75" customHeight="1" x14ac:dyDescent="0.15">
      <c r="B33" s="1" t="s">
        <v>41</v>
      </c>
      <c r="C33" s="368"/>
      <c r="D33" s="369"/>
      <c r="E33" s="363">
        <f>IF(E32="-","-",E32*$I$5/1000000)</f>
        <v>3397.6806297600001</v>
      </c>
      <c r="F33" s="370"/>
      <c r="G33" s="118"/>
      <c r="H33" s="118"/>
      <c r="I33" s="363">
        <f>IF(I32="","",I32*$I$5/1000000)</f>
        <v>3397.6806297600001</v>
      </c>
      <c r="J33" s="363"/>
    </row>
    <row r="34" spans="2:11" ht="15.75" customHeight="1" x14ac:dyDescent="0.15"/>
    <row r="35" spans="2:11" ht="15.75" customHeight="1" x14ac:dyDescent="0.15">
      <c r="B35" s="146" t="s">
        <v>308</v>
      </c>
      <c r="C35" s="433">
        <f>C29</f>
        <v>1.86</v>
      </c>
      <c r="D35" s="434"/>
      <c r="G35" s="438" t="s">
        <v>310</v>
      </c>
      <c r="H35" s="439"/>
      <c r="I35" s="433">
        <v>2.8</v>
      </c>
      <c r="J35" s="434"/>
    </row>
    <row r="36" spans="2:11" ht="15.75" customHeight="1" x14ac:dyDescent="0.15">
      <c r="B36" s="146" t="s">
        <v>309</v>
      </c>
      <c r="C36" s="376">
        <f>C28</f>
        <v>78000</v>
      </c>
      <c r="D36" s="435"/>
      <c r="G36" s="440" t="s">
        <v>332</v>
      </c>
      <c r="H36" s="440"/>
      <c r="I36" s="441">
        <f>IF(C26="",0,I35/C29-1)</f>
        <v>0</v>
      </c>
      <c r="J36" s="442"/>
    </row>
    <row r="37" spans="2:11" ht="15.75" customHeight="1" x14ac:dyDescent="0.15"/>
    <row r="38" spans="2:11" ht="15.75" customHeight="1" x14ac:dyDescent="0.15">
      <c r="B38" s="21" t="s">
        <v>333</v>
      </c>
      <c r="G38" s="72" t="s">
        <v>136</v>
      </c>
      <c r="J38" s="436"/>
      <c r="K38" s="437"/>
    </row>
    <row r="39" spans="2:11" ht="15.75" customHeight="1" x14ac:dyDescent="0.15">
      <c r="B39" s="3" t="s">
        <v>334</v>
      </c>
      <c r="F39" s="214">
        <f>'Qualitative Analysis'!E8</f>
        <v>0.61</v>
      </c>
    </row>
    <row r="40" spans="2:11" ht="15.75" customHeight="1" x14ac:dyDescent="0.15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15">
      <c r="B41" s="3" t="s">
        <v>336</v>
      </c>
      <c r="E41" s="356"/>
      <c r="F41" s="357">
        <f>'Qualitative Analysis'!E64</f>
        <v>0.56599489795918378</v>
      </c>
    </row>
    <row r="42" spans="2:11" ht="15.75" customHeight="1" x14ac:dyDescent="0.15">
      <c r="B42" s="3" t="s">
        <v>343</v>
      </c>
      <c r="E42" s="356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 x14ac:dyDescent="0.15">
      <c r="B43" s="3" t="s">
        <v>344</v>
      </c>
      <c r="F43" s="361">
        <v>0.8</v>
      </c>
    </row>
    <row r="44" spans="2:11" ht="15.75" customHeight="1" x14ac:dyDescent="0.15"/>
    <row r="45" spans="2:11" ht="15.75" customHeight="1" x14ac:dyDescent="0.15">
      <c r="B45" s="3" t="s">
        <v>337</v>
      </c>
      <c r="F45" s="357">
        <f>I35/C29-1</f>
        <v>0.50537634408602128</v>
      </c>
    </row>
    <row r="46" spans="2:11" ht="15.75" customHeight="1" x14ac:dyDescent="0.15">
      <c r="B46" s="3" t="s">
        <v>338</v>
      </c>
      <c r="F46" s="357">
        <f ca="1">D14/C29-1</f>
        <v>-0.19114773042746414</v>
      </c>
    </row>
    <row r="47" spans="2:11" ht="15.75" customHeight="1" x14ac:dyDescent="0.15"/>
    <row r="48" spans="2:11" ht="15.75" customHeight="1" x14ac:dyDescent="0.15">
      <c r="B48" s="3" t="s">
        <v>342</v>
      </c>
      <c r="F48" s="214">
        <f>IF(F45&lt;=0,0,AVERAGE(F39:F41,1-F43,E42))</f>
        <v>0.63519897959183669</v>
      </c>
    </row>
    <row r="49" spans="2:8" ht="15.75" customHeight="1" x14ac:dyDescent="0.15">
      <c r="B49" s="3" t="s">
        <v>339</v>
      </c>
      <c r="E49" s="362">
        <f ca="1">F45/ABS(F46)</f>
        <v>2.643904497091579</v>
      </c>
      <c r="F49" s="358">
        <f ca="1">IF(F46&gt;=0,100,F45/ABS(F46))</f>
        <v>2.643904497091579</v>
      </c>
    </row>
    <row r="50" spans="2:8" ht="15.75" customHeight="1" x14ac:dyDescent="0.15">
      <c r="B50" s="3" t="s">
        <v>340</v>
      </c>
      <c r="E50" s="107">
        <f ca="1">MAX(F48-ABS((1-F48)/F49),0)/2</f>
        <v>0.24861042063523917</v>
      </c>
      <c r="F50" s="359">
        <f ca="1">MIN(E50,H50)</f>
        <v>0.24861042063523917</v>
      </c>
      <c r="G50" s="360" t="s">
        <v>341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5">
    <mergeCell ref="C35:D35"/>
    <mergeCell ref="C36:D36"/>
    <mergeCell ref="I35:J35"/>
    <mergeCell ref="J38:K38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J38:K38">
    <cfRule type="containsBlanks" priority="7">
      <formula>LEN(TRIM(J38))=0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293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15">
      <c r="B3" s="5" t="s">
        <v>254</v>
      </c>
      <c r="C3" s="6"/>
      <c r="D3" s="273">
        <v>4494199</v>
      </c>
      <c r="E3" s="156" t="str">
        <f>IF((C46-I46)=D3,"", "Error!")</f>
        <v/>
      </c>
      <c r="F3" s="6"/>
      <c r="G3" s="6"/>
      <c r="H3" s="274" t="s">
        <v>255</v>
      </c>
      <c r="I3" s="275">
        <v>4494199</v>
      </c>
      <c r="K3" s="74"/>
    </row>
    <row r="4" spans="1:11" ht="15" customHeight="1" x14ac:dyDescent="0.15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3416630.5116700004</v>
      </c>
      <c r="E6" s="14">
        <f>1-D6/D3</f>
        <v>0.23976875263645414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2">
      <c r="B7" s="53" t="s">
        <v>85</v>
      </c>
      <c r="D7" s="61">
        <f>MAX((D6*Exchange_Rate*Data!C4)/Dashboard!I5,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15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2">
      <c r="A9" s="4"/>
      <c r="B9" s="268" t="s">
        <v>250</v>
      </c>
      <c r="C9" s="255"/>
      <c r="D9" s="271">
        <v>44926</v>
      </c>
      <c r="E9" s="290" t="s">
        <v>345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 x14ac:dyDescent="0.15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15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15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15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15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15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 x14ac:dyDescent="0.15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15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 x14ac:dyDescent="0.15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 x14ac:dyDescent="0.15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15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 x14ac:dyDescent="0.15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15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15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15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15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129</v>
      </c>
      <c r="C48" s="21"/>
      <c r="D48" s="52"/>
    </row>
    <row r="49" spans="2:9" ht="14" x14ac:dyDescent="0.15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261</v>
      </c>
      <c r="C52" s="5"/>
      <c r="D52" s="443">
        <f>D53+D54+D55</f>
        <v>105237</v>
      </c>
      <c r="E52" s="444"/>
      <c r="F52" s="53"/>
      <c r="G52" s="53"/>
    </row>
    <row r="53" spans="2:9" thickTop="1" x14ac:dyDescent="0.15">
      <c r="B53" s="58" t="s">
        <v>231</v>
      </c>
      <c r="C53" s="6"/>
      <c r="D53" s="446">
        <f>SUM(I11:I13)+SUM(I28:I30)</f>
        <v>105237</v>
      </c>
      <c r="E53" s="372"/>
      <c r="F53" s="5"/>
      <c r="G53" s="5"/>
      <c r="H53" s="3" t="s">
        <v>317</v>
      </c>
      <c r="I53" s="14">
        <f>D53/I3</f>
        <v>2.3416186065637057E-2</v>
      </c>
    </row>
    <row r="54" spans="2:9" ht="14" x14ac:dyDescent="0.15">
      <c r="B54" s="58" t="s">
        <v>131</v>
      </c>
      <c r="C54" s="6"/>
      <c r="D54" s="451">
        <v>0</v>
      </c>
      <c r="E54" s="377"/>
      <c r="F54" s="6" t="s">
        <v>132</v>
      </c>
      <c r="G54" s="6"/>
    </row>
    <row r="55" spans="2:9" ht="12.75" customHeight="1" x14ac:dyDescent="0.15">
      <c r="B55" s="58" t="s">
        <v>130</v>
      </c>
      <c r="C55" s="6"/>
      <c r="D55" s="451">
        <v>0</v>
      </c>
      <c r="E55" s="377"/>
      <c r="F55" s="5" t="s">
        <v>133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134</v>
      </c>
      <c r="C57" s="5"/>
      <c r="D57" s="445"/>
      <c r="E57" s="445"/>
      <c r="F57" s="19"/>
      <c r="G57" s="19"/>
    </row>
    <row r="58" spans="2:9" ht="15" customHeight="1" x14ac:dyDescent="0.15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 x14ac:dyDescent="0.15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 x14ac:dyDescent="0.15">
      <c r="B60" s="53" t="s">
        <v>135</v>
      </c>
      <c r="C60" s="6"/>
      <c r="D60" s="449">
        <f>((Dashboard!I6*Data!C4)+D52+E50-C58-C59)</f>
        <v>445897.53920000046</v>
      </c>
      <c r="E60" s="450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260</v>
      </c>
    </row>
    <row r="63" spans="2:9" ht="15" customHeight="1" x14ac:dyDescent="0.15">
      <c r="B63" s="3" t="s">
        <v>263</v>
      </c>
      <c r="D63" s="441">
        <f>((C26-C11-C12-C14-C15-C16*G16-C19*G19-C20*G20)-I26)/Data!C7</f>
        <v>-3.5242098265593776E-2</v>
      </c>
      <c r="E63" s="442"/>
    </row>
    <row r="64" spans="2:9" ht="15" customHeight="1" x14ac:dyDescent="0.15">
      <c r="B64" s="3" t="s">
        <v>262</v>
      </c>
      <c r="D64" s="447">
        <v>1.4E-2</v>
      </c>
      <c r="E64" s="448"/>
      <c r="F64" s="266" t="s">
        <v>247</v>
      </c>
    </row>
    <row r="65" spans="2:5" ht="15" customHeight="1" x14ac:dyDescent="0.15">
      <c r="B65" s="291" t="s">
        <v>264</v>
      </c>
      <c r="D65" s="447">
        <v>1.4E-2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F6790E13-CE52-4DCD-AD5F-B7D9EC1ABC6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4" sqref="C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244</v>
      </c>
      <c r="C2" s="285" t="s">
        <v>258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1000HKD)</v>
      </c>
      <c r="C3" s="277">
        <f>Dashboard!E6</f>
        <v>44926</v>
      </c>
      <c r="D3" s="28" t="s">
        <v>246</v>
      </c>
      <c r="E3" s="277">
        <f>EOMONTH(EDATE(C3,12),0)</f>
        <v>45291</v>
      </c>
      <c r="F3" s="28" t="s">
        <v>246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15">
      <c r="B4" s="292" t="s">
        <v>329</v>
      </c>
      <c r="C4" s="293">
        <v>904</v>
      </c>
      <c r="D4" s="260">
        <f>C4/C7</f>
        <v>1.5465072714924309E-3</v>
      </c>
      <c r="E4" s="293">
        <v>0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330</v>
      </c>
      <c r="C5" s="293">
        <v>549346</v>
      </c>
      <c r="D5" s="260">
        <f>C5/C7</f>
        <v>0.93978714996159396</v>
      </c>
      <c r="E5" s="293">
        <f>C5*0.7</f>
        <v>384542.19999999995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292" t="s">
        <v>331</v>
      </c>
      <c r="C6" s="293">
        <v>34293</v>
      </c>
      <c r="D6" s="260">
        <f>C6/C7</f>
        <v>5.866634276691364E-2</v>
      </c>
      <c r="E6" s="293">
        <f>C6*0.7</f>
        <v>24005.1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15">
      <c r="B7" s="5" t="s">
        <v>138</v>
      </c>
      <c r="C7" s="180">
        <f>C4+C5+C6</f>
        <v>584543</v>
      </c>
      <c r="D7" s="259"/>
      <c r="E7" s="337">
        <f>SUM(E4:E6)</f>
        <v>408547.29999999993</v>
      </c>
      <c r="F7" s="259"/>
      <c r="G7" s="337"/>
      <c r="H7" s="259"/>
      <c r="I7" s="228"/>
      <c r="J7" s="287"/>
      <c r="K7" s="6"/>
      <c r="L7" s="74" t="s">
        <v>265</v>
      </c>
      <c r="M7" s="57"/>
    </row>
    <row r="8" spans="1:13" ht="15.75" customHeight="1" x14ac:dyDescent="0.15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15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15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15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15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15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15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15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15">
      <c r="B16" s="134" t="s">
        <v>242</v>
      </c>
      <c r="C16" s="319">
        <f>C11-C13</f>
        <v>-117911</v>
      </c>
      <c r="D16" s="320"/>
      <c r="E16" s="319">
        <f>E11-E13</f>
        <v>-217849.98833000005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15">
      <c r="B17" s="315" t="s">
        <v>143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15">
      <c r="B18" s="324" t="s">
        <v>300</v>
      </c>
      <c r="C18" s="264">
        <f>C19/C9</f>
        <v>-0.46680787046201355</v>
      </c>
      <c r="D18" s="326"/>
      <c r="E18" s="325">
        <f>E19/E9</f>
        <v>-1.2340448104199209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15">
      <c r="B19" s="321" t="s">
        <v>80</v>
      </c>
      <c r="C19" s="322">
        <f>IF(C16&lt;=0,C16,C16*(1-C17))</f>
        <v>-117911</v>
      </c>
      <c r="D19" s="322"/>
      <c r="E19" s="323">
        <f>IF(E16="","",IF(E16&lt;=0,E16,E16*(1-E17)))</f>
        <v>-217849.98833000005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15"/>
    <row r="21" spans="2:10" ht="15.75" customHeight="1" x14ac:dyDescent="0.15"/>
    <row r="22" spans="2:10" ht="15.75" customHeight="1" x14ac:dyDescent="0.15"/>
    <row r="23" spans="2:10" ht="15.75" customHeight="1" x14ac:dyDescent="0.15"/>
    <row r="24" spans="2:10" ht="15.75" customHeight="1" x14ac:dyDescent="0.15"/>
    <row r="25" spans="2:10" ht="15.75" customHeight="1" x14ac:dyDescent="0.15"/>
    <row r="26" spans="2:10" ht="15.75" customHeight="1" x14ac:dyDescent="0.15"/>
    <row r="27" spans="2:10" ht="15.75" customHeight="1" x14ac:dyDescent="0.15"/>
    <row r="28" spans="2:10" ht="15.75" customHeight="1" x14ac:dyDescent="0.15"/>
    <row r="29" spans="2:10" ht="15.75" customHeight="1" x14ac:dyDescent="0.15"/>
    <row r="30" spans="2:10" ht="15.75" customHeight="1" x14ac:dyDescent="0.15"/>
    <row r="31" spans="2:10" ht="15.75" customHeight="1" x14ac:dyDescent="0.15"/>
    <row r="32" spans="2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priority="11">
      <formula>LEN(TRIM(G8))=0</formula>
    </cfRule>
    <cfRule type="containsBlanks" dxfId="4" priority="10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priority="7">
      <formula>LEN(TRIM(I8))=0</formula>
    </cfRule>
    <cfRule type="containsBlanks" dxfId="2" priority="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220</v>
      </c>
      <c r="C2" s="285" t="s">
        <v>258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256</v>
      </c>
      <c r="I3" s="72" t="s">
        <v>136</v>
      </c>
    </row>
    <row r="4" spans="1:10" ht="15.75" customHeight="1" x14ac:dyDescent="0.15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15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0.05</v>
      </c>
      <c r="D6" s="226">
        <v>0.05</v>
      </c>
      <c r="E6" s="65"/>
      <c r="F6" s="308"/>
      <c r="G6" s="199"/>
      <c r="H6" s="6"/>
      <c r="I6" s="77"/>
    </row>
    <row r="7" spans="1:10" ht="15" customHeight="1" thickBot="1" x14ac:dyDescent="0.2">
      <c r="B7" s="81" t="s">
        <v>266</v>
      </c>
      <c r="C7" s="309">
        <f>C4*C6</f>
        <v>-5895.55</v>
      </c>
      <c r="D7" s="309">
        <f>D4*D6</f>
        <v>-10892.499416500003</v>
      </c>
      <c r="E7" s="310"/>
      <c r="F7" s="310"/>
      <c r="G7" s="200"/>
      <c r="H7" s="82"/>
      <c r="I7" s="56"/>
      <c r="J7" s="56"/>
    </row>
    <row r="8" spans="1:10" ht="15.75" customHeight="1" thickTop="1" x14ac:dyDescent="0.15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15">
      <c r="B9" s="203" t="s">
        <v>213</v>
      </c>
      <c r="C9" s="193">
        <f>C8/(Common_Shares/Data!$C$4)</f>
        <v>-6.1320871413013588E-2</v>
      </c>
      <c r="D9" s="305">
        <f>D8/(Common_Shares/Data!$C$4)</f>
        <v>-0.11329520673822158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-0.11329520673822158</v>
      </c>
      <c r="H9" s="82"/>
      <c r="I9" s="56"/>
      <c r="J9" s="56"/>
    </row>
    <row r="10" spans="1:10" ht="15.75" customHeight="1" x14ac:dyDescent="0.15">
      <c r="B10" s="234" t="s">
        <v>243</v>
      </c>
      <c r="C10" s="311">
        <f>C11/C9</f>
        <v>-0.55446048329940212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257</v>
      </c>
      <c r="C11" s="283">
        <v>3.4000000000000002E-2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273</v>
      </c>
      <c r="C12" s="236">
        <v>0</v>
      </c>
      <c r="D12" s="236">
        <v>0</v>
      </c>
      <c r="E12" s="345"/>
      <c r="F12" s="345"/>
      <c r="G12" s="230">
        <f>G9*D27</f>
        <v>-1.1329520673822158</v>
      </c>
      <c r="H12" s="82"/>
      <c r="I12" s="56"/>
      <c r="J12" s="56"/>
    </row>
    <row r="13" spans="1:10" ht="15.75" customHeight="1" x14ac:dyDescent="0.15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2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15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15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15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15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4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15">
      <c r="B21" s="85" t="s">
        <v>235</v>
      </c>
      <c r="C21" s="84">
        <f>-Asset_Model!E50</f>
        <v>0</v>
      </c>
      <c r="D21" s="219">
        <f>C21/(Dashboard!I5/Data!C4)</f>
        <v>0</v>
      </c>
      <c r="E21" s="454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219</v>
      </c>
      <c r="C23" s="194" t="str">
        <f>B3</f>
        <v>(Numbers in 1000HKD)</v>
      </c>
      <c r="E23" s="458" t="s">
        <v>226</v>
      </c>
      <c r="F23" s="458"/>
      <c r="G23" s="458"/>
    </row>
    <row r="24" spans="1:9" ht="15.75" customHeight="1" x14ac:dyDescent="0.15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15">
      <c r="B25" s="30" t="s">
        <v>294</v>
      </c>
      <c r="C25" s="14">
        <f>1/D25</f>
        <v>0.125</v>
      </c>
      <c r="D25" s="297">
        <v>8</v>
      </c>
      <c r="E25" s="206">
        <f ca="1">G9*D25/G14</f>
        <v>-0.80665864534155618</v>
      </c>
      <c r="F25" s="455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15">
      <c r="B26" s="30" t="s">
        <v>295</v>
      </c>
      <c r="C26" s="349">
        <f>1/D26</f>
        <v>0.1111111111111111</v>
      </c>
      <c r="D26" s="350">
        <v>9</v>
      </c>
      <c r="E26" s="351">
        <f ca="1">G9*D26/G14</f>
        <v>-0.90749097600925066</v>
      </c>
      <c r="F26" s="456"/>
      <c r="G26" s="351">
        <f ca="1">$F$25+E26+$G$19</f>
        <v>0.83131438108033318</v>
      </c>
      <c r="I26" s="74"/>
    </row>
    <row r="27" spans="1:9" ht="15.75" customHeight="1" x14ac:dyDescent="0.15">
      <c r="B27" s="301" t="s">
        <v>302</v>
      </c>
      <c r="C27" s="302">
        <f t="shared" ref="C27" si="0">1/D27</f>
        <v>0.1</v>
      </c>
      <c r="D27" s="314">
        <v>10</v>
      </c>
      <c r="E27" s="207">
        <f ca="1">G9*D27/G14</f>
        <v>-1.0083233066769453</v>
      </c>
      <c r="F27" s="457"/>
      <c r="G27" s="207">
        <f ca="1">$F$25+E27+$G$19</f>
        <v>0.73048205041263858</v>
      </c>
      <c r="I27" s="74"/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2" t="s">
        <v>148</v>
      </c>
      <c r="D32" s="453"/>
      <c r="E32" s="30" t="s">
        <v>214</v>
      </c>
      <c r="F32" s="30" t="s">
        <v>18</v>
      </c>
      <c r="G32" s="30"/>
      <c r="H32" s="6"/>
    </row>
    <row r="33" spans="2:9" ht="15.75" customHeight="1" x14ac:dyDescent="0.15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15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0">
        <f>Dashboard!D10+4.5%</f>
        <v>8.3159999999999998E-2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15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 x14ac:dyDescent="0.15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 x14ac:dyDescent="0.15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15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153</v>
      </c>
      <c r="C10" s="20"/>
      <c r="D10" s="20"/>
      <c r="E10" s="12"/>
      <c r="G10" s="294"/>
    </row>
    <row r="11" spans="1:7" ht="15" customHeight="1" x14ac:dyDescent="0.15">
      <c r="B11" s="99" t="s">
        <v>154</v>
      </c>
      <c r="C11" s="93"/>
      <c r="E11" s="6"/>
      <c r="G11" s="294"/>
    </row>
    <row r="12" spans="1:7" ht="15" customHeight="1" x14ac:dyDescent="0.15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304</v>
      </c>
    </row>
    <row r="13" spans="1:7" ht="15" customHeight="1" x14ac:dyDescent="0.15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4"/>
    </row>
    <row r="14" spans="1:7" ht="15" customHeight="1" x14ac:dyDescent="0.15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4"/>
    </row>
    <row r="15" spans="1:7" ht="15" customHeight="1" x14ac:dyDescent="0.15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4"/>
    </row>
    <row r="16" spans="1:7" ht="15" customHeight="1" x14ac:dyDescent="0.15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4"/>
    </row>
    <row r="17" spans="2:7" ht="15" customHeight="1" x14ac:dyDescent="0.15">
      <c r="B17" s="99" t="s">
        <v>161</v>
      </c>
      <c r="D17" s="38"/>
      <c r="E17" s="23"/>
      <c r="G17" s="294"/>
    </row>
    <row r="18" spans="2:7" ht="15" customHeight="1" x14ac:dyDescent="0.15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4"/>
    </row>
    <row r="20" spans="2:7" ht="15" customHeight="1" x14ac:dyDescent="0.15">
      <c r="B20" s="53" t="s">
        <v>163</v>
      </c>
      <c r="D20" s="100">
        <f t="shared" si="1"/>
        <v>2</v>
      </c>
      <c r="E20" s="31" t="s">
        <v>150</v>
      </c>
      <c r="F20" s="6"/>
      <c r="G20" s="294"/>
    </row>
    <row r="21" spans="2:7" ht="15" customHeight="1" x14ac:dyDescent="0.15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15">
      <c r="B22" s="53" t="s">
        <v>165</v>
      </c>
      <c r="D22" s="100">
        <f t="shared" si="1"/>
        <v>4</v>
      </c>
      <c r="E22" s="31" t="s">
        <v>160</v>
      </c>
      <c r="F22" s="6"/>
      <c r="G22" s="294"/>
    </row>
    <row r="23" spans="2:7" ht="15" customHeight="1" x14ac:dyDescent="0.15">
      <c r="B23" s="99" t="s">
        <v>166</v>
      </c>
      <c r="D23" s="38"/>
      <c r="E23" s="23"/>
      <c r="G23" s="294"/>
    </row>
    <row r="24" spans="2:7" ht="15" customHeight="1" x14ac:dyDescent="0.15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/>
    </row>
    <row r="25" spans="2:7" ht="15" customHeight="1" x14ac:dyDescent="0.15">
      <c r="B25" s="53" t="s">
        <v>168</v>
      </c>
      <c r="D25" s="100">
        <f t="shared" si="2"/>
        <v>3</v>
      </c>
      <c r="E25" s="31" t="s">
        <v>151</v>
      </c>
      <c r="F25" s="6"/>
      <c r="G25" s="294"/>
    </row>
    <row r="26" spans="2:7" ht="15" customHeight="1" x14ac:dyDescent="0.15">
      <c r="B26" s="53" t="s">
        <v>280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15">
      <c r="B27" s="53" t="s">
        <v>281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15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15">
      <c r="B29" s="99" t="s">
        <v>170</v>
      </c>
      <c r="D29" s="38"/>
      <c r="E29" s="23"/>
      <c r="G29" s="294"/>
    </row>
    <row r="30" spans="2:7" ht="15" customHeight="1" x14ac:dyDescent="0.15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 x14ac:dyDescent="0.15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4"/>
    </row>
    <row r="32" spans="2:7" ht="15" customHeight="1" x14ac:dyDescent="0.15">
      <c r="B32" s="53" t="s">
        <v>282</v>
      </c>
      <c r="D32" s="100">
        <f t="shared" si="3"/>
        <v>1</v>
      </c>
      <c r="E32" s="31" t="s">
        <v>158</v>
      </c>
      <c r="F32" s="6"/>
      <c r="G32" s="294"/>
    </row>
    <row r="33" spans="2:7" ht="15" customHeight="1" x14ac:dyDescent="0.15">
      <c r="B33" s="53" t="s">
        <v>283</v>
      </c>
      <c r="D33" s="100">
        <f t="shared" si="3"/>
        <v>0</v>
      </c>
      <c r="E33" s="31" t="s">
        <v>173</v>
      </c>
      <c r="F33" s="6"/>
      <c r="G33" s="294"/>
    </row>
    <row r="34" spans="2:7" ht="15" customHeight="1" x14ac:dyDescent="0.15">
      <c r="B34" s="53" t="s">
        <v>284</v>
      </c>
      <c r="D34" s="100">
        <f t="shared" si="3"/>
        <v>0</v>
      </c>
      <c r="E34" s="31" t="s">
        <v>173</v>
      </c>
      <c r="F34" s="6"/>
      <c r="G34" s="294"/>
    </row>
    <row r="35" spans="2:7" ht="15" customHeight="1" x14ac:dyDescent="0.15">
      <c r="B35" s="53" t="s">
        <v>301</v>
      </c>
      <c r="D35" s="100">
        <f t="shared" si="3"/>
        <v>2</v>
      </c>
      <c r="E35" s="31" t="s">
        <v>150</v>
      </c>
      <c r="G35" s="294"/>
    </row>
    <row r="36" spans="2:7" ht="15" customHeight="1" x14ac:dyDescent="0.15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15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4"/>
    </row>
    <row r="38" spans="2:7" ht="15" customHeight="1" x14ac:dyDescent="0.15">
      <c r="B38" s="53" t="s">
        <v>285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15">
      <c r="B39" s="53" t="s">
        <v>286</v>
      </c>
      <c r="D39" s="100">
        <f t="shared" si="4"/>
        <v>0</v>
      </c>
      <c r="E39" s="31" t="s">
        <v>173</v>
      </c>
      <c r="F39" s="6"/>
      <c r="G39" s="294"/>
    </row>
    <row r="40" spans="2:7" ht="15" customHeight="1" x14ac:dyDescent="0.15">
      <c r="B40" s="53" t="s">
        <v>287</v>
      </c>
      <c r="D40" s="100">
        <f t="shared" si="4"/>
        <v>4</v>
      </c>
      <c r="E40" s="31" t="s">
        <v>160</v>
      </c>
      <c r="F40" s="6"/>
      <c r="G40" s="294"/>
    </row>
    <row r="41" spans="2:7" ht="15" customHeight="1" x14ac:dyDescent="0.15">
      <c r="B41" s="53" t="s">
        <v>288</v>
      </c>
      <c r="D41" s="100">
        <f t="shared" si="4"/>
        <v>4</v>
      </c>
      <c r="E41" s="31" t="s">
        <v>160</v>
      </c>
      <c r="G41" s="294"/>
    </row>
    <row r="42" spans="2:7" ht="15" customHeight="1" x14ac:dyDescent="0.15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4"/>
    </row>
    <row r="43" spans="2:7" ht="15" customHeight="1" x14ac:dyDescent="0.15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4"/>
    </row>
    <row r="44" spans="2:7" ht="15" customHeight="1" x14ac:dyDescent="0.15">
      <c r="B44" s="53" t="s">
        <v>178</v>
      </c>
      <c r="D44" s="100">
        <f t="shared" si="5"/>
        <v>0</v>
      </c>
      <c r="E44" s="31" t="s">
        <v>173</v>
      </c>
      <c r="F44" s="6"/>
      <c r="G44" s="294"/>
    </row>
    <row r="45" spans="2:7" ht="15" customHeight="1" x14ac:dyDescent="0.15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15">
      <c r="B46" s="53" t="s">
        <v>180</v>
      </c>
      <c r="D46" s="100">
        <f t="shared" si="5"/>
        <v>2</v>
      </c>
      <c r="E46" s="31" t="s">
        <v>150</v>
      </c>
      <c r="F46" s="6"/>
      <c r="G46" s="294" t="s">
        <v>305</v>
      </c>
    </row>
    <row r="47" spans="2:7" ht="15" customHeight="1" x14ac:dyDescent="0.15">
      <c r="B47" s="53" t="s">
        <v>181</v>
      </c>
      <c r="D47" s="100">
        <f t="shared" si="5"/>
        <v>3</v>
      </c>
      <c r="E47" s="31" t="s">
        <v>151</v>
      </c>
      <c r="F47" s="6"/>
      <c r="G47" s="294"/>
    </row>
    <row r="48" spans="2:7" ht="15" customHeight="1" x14ac:dyDescent="0.15">
      <c r="B48" s="53" t="s">
        <v>207</v>
      </c>
      <c r="D48" s="100">
        <f t="shared" si="5"/>
        <v>0</v>
      </c>
      <c r="E48" s="31" t="s">
        <v>173</v>
      </c>
      <c r="F48" s="6"/>
      <c r="G48" s="294"/>
    </row>
    <row r="49" spans="2:8" ht="15" customHeight="1" x14ac:dyDescent="0.15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15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4"/>
    </row>
    <row r="51" spans="2:8" ht="15" customHeight="1" x14ac:dyDescent="0.15">
      <c r="B51" s="53" t="s">
        <v>184</v>
      </c>
      <c r="D51" s="100">
        <f t="shared" si="6"/>
        <v>0</v>
      </c>
      <c r="E51" s="31" t="s">
        <v>173</v>
      </c>
      <c r="F51" s="6"/>
      <c r="G51" s="294"/>
    </row>
    <row r="52" spans="2:8" ht="15" customHeight="1" x14ac:dyDescent="0.15">
      <c r="B52" s="53" t="s">
        <v>289</v>
      </c>
      <c r="D52" s="100">
        <f t="shared" si="6"/>
        <v>2</v>
      </c>
      <c r="E52" s="31" t="s">
        <v>150</v>
      </c>
      <c r="G52" s="294"/>
    </row>
    <row r="53" spans="2:8" ht="15" customHeight="1" x14ac:dyDescent="0.15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4"/>
      <c r="H53" s="53"/>
    </row>
    <row r="54" spans="2:8" ht="15" customHeight="1" x14ac:dyDescent="0.15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4"/>
      <c r="H54" s="53"/>
    </row>
    <row r="55" spans="2:8" ht="15" customHeight="1" x14ac:dyDescent="0.15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15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4"/>
      <c r="H56" s="53"/>
    </row>
    <row r="57" spans="2:8" ht="15" customHeight="1" x14ac:dyDescent="0.15">
      <c r="B57" s="53" t="s">
        <v>187</v>
      </c>
      <c r="D57" s="100">
        <f t="shared" si="7"/>
        <v>1</v>
      </c>
      <c r="E57" s="31" t="s">
        <v>158</v>
      </c>
      <c r="F57" s="53"/>
      <c r="G57" s="294"/>
      <c r="H57" s="53"/>
    </row>
    <row r="58" spans="2:8" ht="15" customHeight="1" x14ac:dyDescent="0.15">
      <c r="B58" s="53" t="s">
        <v>208</v>
      </c>
      <c r="D58" s="100">
        <f t="shared" si="7"/>
        <v>1</v>
      </c>
      <c r="E58" s="31" t="s">
        <v>158</v>
      </c>
      <c r="F58" s="53"/>
      <c r="G58" s="294"/>
      <c r="H58" s="53"/>
    </row>
    <row r="59" spans="2:8" ht="15" customHeight="1" x14ac:dyDescent="0.15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15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15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4"/>
      <c r="H61" s="53"/>
    </row>
    <row r="62" spans="2:8" ht="15" customHeight="1" x14ac:dyDescent="0.15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190</v>
      </c>
      <c r="C66" s="7"/>
      <c r="D66" s="7"/>
      <c r="E66" s="55"/>
    </row>
    <row r="67" spans="2:7" ht="15" customHeight="1" x14ac:dyDescent="0.15">
      <c r="B67" s="106" t="s">
        <v>191</v>
      </c>
      <c r="C67" s="107"/>
      <c r="D67" s="107"/>
      <c r="E67" s="108"/>
    </row>
    <row r="68" spans="2:7" ht="15" customHeight="1" x14ac:dyDescent="0.15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2023-03-28T10:50:35Z</dcterms:modified>
  <cp:category/>
  <cp:contentStatus/>
</cp:coreProperties>
</file>