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manl/PycharmProjects/Invest_Proc/financial_models/Opportunities/"/>
    </mc:Choice>
  </mc:AlternateContent>
  <xr:revisionPtr revIDLastSave="0" documentId="8_{95464DAF-2BD7-2246-82D1-D21ED012837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6" i="1" l="1"/>
  <c r="C3" i="7" s="1"/>
  <c r="F43" i="1"/>
  <c r="F40" i="1"/>
  <c r="E26" i="1" l="1"/>
  <c r="C36" i="1"/>
  <c r="B18" i="1"/>
  <c r="E7" i="3"/>
  <c r="C26" i="4"/>
  <c r="E12" i="7"/>
  <c r="E8" i="7"/>
  <c r="E6" i="7"/>
  <c r="C15" i="3"/>
  <c r="I28" i="3"/>
  <c r="C33" i="3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E9" i="7" l="1"/>
  <c r="E11" i="7"/>
  <c r="D4" i="7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C29" i="4" l="1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C58" i="3" l="1"/>
  <c r="D3" i="4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I7" i="3" s="1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D65" i="3" s="1"/>
  <c r="I6" i="3"/>
  <c r="E58" i="3"/>
  <c r="D58" i="3" s="1"/>
  <c r="D36" i="5"/>
  <c r="C33" i="2"/>
  <c r="E33" i="2"/>
  <c r="E34" i="2" s="1"/>
  <c r="D33" i="2"/>
  <c r="D34" i="2" s="1"/>
  <c r="D6" i="5"/>
  <c r="D55" i="5"/>
  <c r="E32" i="1"/>
  <c r="E33" i="1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G15" i="4" l="1"/>
  <c r="F34" i="4" l="1"/>
  <c r="E34" i="4" l="1"/>
  <c r="C11" i="1" l="1"/>
  <c r="D12" i="5" l="1"/>
  <c r="E64" i="5" l="1"/>
  <c r="D5" i="5"/>
  <c r="D64" i="5" l="1"/>
  <c r="E7" i="5" s="1"/>
  <c r="D7" i="5" s="1"/>
  <c r="F41" i="1"/>
  <c r="D8" i="5"/>
  <c r="E8" i="5" s="1"/>
  <c r="F39" i="1" s="1"/>
  <c r="E5" i="5"/>
  <c r="C30" i="4" l="1"/>
  <c r="D30" i="4" s="1"/>
  <c r="D14" i="1" l="1"/>
  <c r="F46" i="1" s="1"/>
  <c r="F14" i="1"/>
  <c r="I35" i="1" s="1"/>
  <c r="C33" i="4"/>
  <c r="H14" i="1" s="1"/>
  <c r="J25" i="1" s="1"/>
  <c r="I36" i="1" l="1"/>
  <c r="F45" i="1"/>
  <c r="F42" i="1" s="1"/>
  <c r="E42" i="1" s="1"/>
  <c r="F48" i="1" s="1"/>
  <c r="F33" i="4"/>
  <c r="D16" i="1"/>
  <c r="B17" i="1"/>
  <c r="J17" i="1" s="1"/>
  <c r="D18" i="1"/>
  <c r="E33" i="4"/>
  <c r="E49" i="1" l="1"/>
  <c r="F49" i="1"/>
  <c r="E50" i="1" s="1"/>
  <c r="F50" i="1" s="1"/>
  <c r="D17" i="1"/>
  <c r="F17" i="1"/>
</calcChain>
</file>

<file path=xl/sharedStrings.xml><?xml version="1.0" encoding="utf-8"?>
<sst xmlns="http://schemas.openxmlformats.org/spreadsheetml/2006/main" count="411" uniqueCount="348">
  <si>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</si>
  <si>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</si>
  <si>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</si>
  <si>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</si>
  <si>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</si>
  <si>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</si>
  <si>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</si>
  <si>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</si>
  <si>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</si>
  <si>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</si>
  <si>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</si>
  <si>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</si>
  <si>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</si>
  <si>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</si>
  <si>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</si>
  <si>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</si>
  <si>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</si>
  <si>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</si>
  <si>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</si>
  <si>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</si>
  <si>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</si>
  <si>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</si>
  <si>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</si>
  <si>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</si>
  <si>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</si>
  <si>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</si>
  <si>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</si>
  <si>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</si>
  <si>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</si>
  <si>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</si>
  <si>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</si>
  <si>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</si>
  <si>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</si>
  <si>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</si>
  <si>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</si>
  <si>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</si>
  <si>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</si>
  <si>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</si>
  <si>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</si>
  <si>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</si>
  <si>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</si>
  <si>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</si>
  <si>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</si>
  <si>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</si>
  <si>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</si>
  <si>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</si>
  <si>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</si>
  <si>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</si>
  <si>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</si>
  <si>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</si>
  <si>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</si>
  <si>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</si>
  <si>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</si>
  <si>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</si>
  <si>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</si>
  <si>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</si>
  <si>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</si>
  <si>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</si>
  <si>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</si>
  <si>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</si>
  <si>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</si>
  <si>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</si>
  <si>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</si>
  <si>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</si>
  <si>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</si>
  <si>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</si>
  <si>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</si>
  <si>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</si>
  <si>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</si>
  <si>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</si>
  <si>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</si>
  <si>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</si>
  <si>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</si>
  <si>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</si>
  <si>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</si>
  <si>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</si>
  <si>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</si>
  <si>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</si>
  <si>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</si>
  <si>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</si>
  <si>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</si>
  <si>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</si>
  <si>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</si>
  <si>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</si>
  <si>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</si>
  <si>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</si>
  <si>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</si>
  <si>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</si>
  <si>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</si>
  <si>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</si>
  <si>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</si>
  <si>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</si>
  <si>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</si>
  <si>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</si>
  <si>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</si>
  <si>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</si>
  <si>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</si>
  <si>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</si>
  <si>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</si>
  <si>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</si>
  <si>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</si>
  <si>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</si>
  <si>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</si>
  <si>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</si>
  <si>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</si>
  <si>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</si>
  <si>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</si>
  <si>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</si>
  <si>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</si>
  <si>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</si>
  <si>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</si>
  <si>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</si>
  <si>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</si>
  <si>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</si>
  <si>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</si>
  <si>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</si>
  <si>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</si>
  <si>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</si>
  <si>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</si>
  <si>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</si>
  <si>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</si>
  <si>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</si>
  <si>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</si>
  <si>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</si>
  <si>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</si>
  <si>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</si>
  <si>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</si>
  <si>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</si>
  <si>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</si>
  <si>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</si>
  <si>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</si>
  <si>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</si>
  <si>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</si>
  <si>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</si>
  <si>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</si>
  <si>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</si>
  <si>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</si>
  <si>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</si>
  <si>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</si>
  <si>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</si>
  <si>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</si>
  <si>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</si>
  <si>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</si>
  <si>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</si>
  <si>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</si>
  <si>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</si>
  <si>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</si>
  <si>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</si>
  <si>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</si>
  <si>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</si>
  <si>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</si>
  <si>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</si>
  <si>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</si>
  <si>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</si>
  <si>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</si>
  <si>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</si>
  <si>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</si>
  <si>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</si>
  <si>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</si>
  <si>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</si>
  <si>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</si>
  <si>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</si>
  <si>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</si>
  <si>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</si>
  <si>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</si>
  <si>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</si>
  <si>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</si>
  <si>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</si>
  <si>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</si>
  <si>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</si>
  <si>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</si>
  <si>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</si>
  <si>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</si>
  <si>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</si>
  <si>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</si>
  <si>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</si>
  <si>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</si>
  <si>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</si>
  <si>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</si>
  <si>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</si>
  <si>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</si>
  <si>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</si>
  <si>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</si>
  <si>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</si>
  <si>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</si>
  <si>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</si>
  <si>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</si>
  <si>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</si>
  <si>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</si>
  <si>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</si>
  <si>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</si>
  <si>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</si>
  <si>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</si>
  <si>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</si>
  <si>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</si>
  <si>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</si>
  <si>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</si>
  <si>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</si>
  <si>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</si>
  <si>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</si>
  <si>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</si>
  <si>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</si>
  <si>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</si>
  <si>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</si>
  <si>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</si>
  <si>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</si>
  <si>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</si>
  <si>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</si>
  <si>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</si>
  <si>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</si>
  <si>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</si>
  <si>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</si>
  <si>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</si>
  <si>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</si>
  <si>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</si>
  <si>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</si>
  <si>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</si>
  <si>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</si>
  <si>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</si>
  <si>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</si>
  <si>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</si>
  <si>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</si>
  <si>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</si>
  <si>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</si>
  <si>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</si>
  <si>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</si>
  <si>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</si>
  <si>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</si>
  <si>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</si>
  <si>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</si>
  <si>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</si>
  <si>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</si>
  <si>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</si>
  <si>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</si>
  <si>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</si>
  <si>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</si>
  <si>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</si>
  <si>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</si>
  <si>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</si>
  <si>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</si>
  <si>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</si>
  <si>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</si>
  <si>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</si>
  <si>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</si>
  <si>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</si>
  <si>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</si>
  <si>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</si>
  <si>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</si>
  <si>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</si>
  <si>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</si>
  <si>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</si>
  <si>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</si>
  <si>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</si>
  <si>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</si>
  <si>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</si>
  <si>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</si>
  <si>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</si>
  <si>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</si>
  <si>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</si>
  <si>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</si>
  <si>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</si>
  <si>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</si>
  <si>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</si>
  <si>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</si>
  <si>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</si>
  <si>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</si>
  <si>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</si>
  <si>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</si>
  <si>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</si>
  <si>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</si>
  <si>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</si>
  <si>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</si>
  <si>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</si>
  <si>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</si>
  <si>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</si>
  <si>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</si>
  <si>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</si>
  <si>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</si>
  <si>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</si>
  <si>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</si>
  <si>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</si>
  <si>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</si>
  <si>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</si>
  <si>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</si>
  <si>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</si>
  <si>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</si>
  <si>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</si>
  <si>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</si>
  <si>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</si>
  <si>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</si>
  <si>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</si>
  <si>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</si>
  <si>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</si>
  <si>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</si>
  <si>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</si>
  <si>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</si>
  <si>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</si>
  <si>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</si>
  <si>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</si>
  <si>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</si>
  <si>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</si>
  <si>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</si>
  <si>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</si>
  <si>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</si>
  <si>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</si>
  <si>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</si>
  <si>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</si>
  <si>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</si>
  <si>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</si>
  <si>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</si>
  <si>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</si>
  <si>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</si>
  <si>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</si>
  <si>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</si>
  <si>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</si>
  <si>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</si>
  <si>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</si>
  <si>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</si>
  <si>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</si>
  <si>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</si>
  <si>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</si>
  <si>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</si>
  <si>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</si>
  <si>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</si>
  <si>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</si>
  <si>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</si>
  <si>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</si>
  <si>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</si>
  <si>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</si>
  <si>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</si>
  <si>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</si>
  <si>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</si>
  <si>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</si>
  <si>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</si>
  <si>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</si>
  <si>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</si>
  <si>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</si>
  <si>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</si>
  <si>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</si>
  <si>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</si>
  <si>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</si>
  <si>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</si>
  <si>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</si>
  <si>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</si>
  <si>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</si>
  <si>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</si>
  <si>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</si>
  <si>
    <t>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</si>
</sst>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&quot;Discount rate = &quot;0.00%"/>
    <numFmt numFmtId="183" formatCode="#,##0.00;[Red]#,##0.00"/>
    <numFmt numFmtId="184" formatCode="&quot;in&quot;\ 0\ &quot;Months&quot;"/>
    <numFmt numFmtId="185" formatCode="&quot;Breakeven Price = &quot;0.00"/>
    <numFmt numFmtId="186" formatCode="&quot;Next Buy Price = &quot;0.00"/>
    <numFmt numFmtId="187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64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6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9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9" fontId="1" fillId="0" borderId="41" xfId="0" applyNumberFormat="1" applyFont="1" applyBorder="1" applyAlignment="1">
      <alignment horizontal="center"/>
    </xf>
    <xf numFmtId="168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9" fontId="1" fillId="0" borderId="44" xfId="0" applyNumberFormat="1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8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9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4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8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3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8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4" fontId="2" fillId="8" borderId="47" xfId="0" applyNumberFormat="1" applyFont="1" applyFill="1" applyBorder="1" applyAlignment="1">
      <alignment horizontal="center"/>
    </xf>
    <xf numFmtId="166" fontId="7" fillId="0" borderId="89" xfId="0" applyNumberFormat="1" applyFont="1" applyBorder="1" applyAlignment="1">
      <alignment horizontal="center"/>
    </xf>
    <xf numFmtId="180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80" fontId="15" fillId="7" borderId="2" xfId="0" applyNumberFormat="1" applyFont="1" applyFill="1" applyBorder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23" xfId="0" applyNumberFormat="1" applyFont="1" applyFill="1" applyBorder="1" applyAlignment="1">
      <alignment horizontal="center"/>
    </xf>
    <xf numFmtId="182" fontId="7" fillId="16" borderId="59" xfId="0" applyNumberFormat="1" applyFont="1" applyFill="1" applyBorder="1" applyAlignment="1">
      <alignment horizontal="center"/>
    </xf>
    <xf numFmtId="178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5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80" fontId="15" fillId="7" borderId="94" xfId="0" applyNumberFormat="1" applyFont="1" applyFill="1" applyBorder="1" applyAlignment="1">
      <alignment horizontal="center"/>
    </xf>
    <xf numFmtId="175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5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5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80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6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7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71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70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7" fontId="1" fillId="0" borderId="13" xfId="0" applyNumberFormat="1" applyFont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72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6" fontId="2" fillId="9" borderId="16" xfId="0" applyNumberFormat="1" applyFont="1" applyFill="1" applyBorder="1" applyAlignment="1">
      <alignment horizontal="center"/>
    </xf>
    <xf numFmtId="180" fontId="2" fillId="9" borderId="17" xfId="0" applyNumberFormat="1" applyFont="1" applyFill="1" applyBorder="1" applyAlignment="1">
      <alignment horizontal="center"/>
    </xf>
    <xf numFmtId="180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7" fontId="5" fillId="0" borderId="47" xfId="0" applyNumberFormat="1" applyFont="1" applyBorder="1" applyAlignment="1">
      <alignment horizontal="center"/>
    </xf>
    <xf numFmtId="167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65" fontId="4" fillId="9" borderId="21" xfId="0" applyNumberFormat="1" applyFont="1" applyFill="1" applyBorder="1" applyAlignment="1">
      <alignment horizontal="center"/>
    </xf>
    <xf numFmtId="165" fontId="4" fillId="9" borderId="22" xfId="0" applyNumberFormat="1" applyFont="1" applyFill="1" applyBorder="1" applyAlignment="1">
      <alignment horizontal="center"/>
    </xf>
    <xf numFmtId="173" fontId="1" fillId="0" borderId="27" xfId="0" applyNumberFormat="1" applyFont="1" applyBorder="1" applyAlignment="1">
      <alignment horizontal="center"/>
    </xf>
    <xf numFmtId="173" fontId="1" fillId="0" borderId="28" xfId="0" applyNumberFormat="1" applyFont="1" applyBorder="1" applyAlignment="1">
      <alignment horizontal="center"/>
    </xf>
    <xf numFmtId="164" fontId="3" fillId="0" borderId="45" xfId="0" applyNumberFormat="1" applyFont="1" applyBorder="1" applyAlignment="1">
      <alignment horizontal="center"/>
    </xf>
    <xf numFmtId="164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3" fontId="1" fillId="0" borderId="20" xfId="0" applyNumberFormat="1" applyFont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164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165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D8" sqref="D8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10" width="14.83203125" style="3" customWidth="1"/>
    <col min="11" max="11" width="14.5" style="3" bestFit="1" customWidth="1"/>
    <col min="12" max="16384" width="12.5" style="3"/>
  </cols>
  <sheetData>
    <row r="1" spans="1:12" ht="15" customHeight="1" x14ac:dyDescent="0.15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2">
      <c r="A2" s="10"/>
      <c r="B2" s="11" t="s">
        <v>0</v>
      </c>
      <c r="C2" s="307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15">
      <c r="B3" s="16" t="s">
        <v>1</v>
      </c>
      <c r="C3" s="396" t="s">
        <v>309</v>
      </c>
      <c r="D3" s="397"/>
      <c r="E3" s="15"/>
      <c r="G3" s="7" t="s">
        <v>2</v>
      </c>
      <c r="I3" s="406" t="s">
        <v>3</v>
      </c>
      <c r="J3" s="407"/>
    </row>
    <row r="4" spans="1:12" ht="15.75" customHeight="1" x14ac:dyDescent="0.15">
      <c r="B4" s="5" t="s">
        <v>4</v>
      </c>
      <c r="C4" s="398" t="s">
        <v>310</v>
      </c>
      <c r="D4" s="399"/>
      <c r="E4" s="6"/>
      <c r="G4" s="5" t="s">
        <v>5</v>
      </c>
      <c r="I4" s="32">
        <v>17.68</v>
      </c>
      <c r="J4" s="33" t="s">
        <v>6</v>
      </c>
      <c r="K4" s="152"/>
    </row>
    <row r="5" spans="1:12" ht="15.75" customHeight="1" x14ac:dyDescent="0.15">
      <c r="B5" s="5" t="s">
        <v>7</v>
      </c>
      <c r="C5" s="400">
        <v>44987</v>
      </c>
      <c r="D5" s="399"/>
      <c r="E5" s="122" t="str">
        <f ca="1">IF(C5+30&gt;=TODAY(),"Patience Premium","")</f>
        <v>Patience Premium</v>
      </c>
      <c r="G5" s="5" t="s">
        <v>8</v>
      </c>
      <c r="I5" s="408">
        <v>7913203590</v>
      </c>
      <c r="J5" s="409"/>
      <c r="K5" s="151"/>
      <c r="L5" s="85"/>
    </row>
    <row r="6" spans="1:12" ht="15.75" customHeight="1" x14ac:dyDescent="0.15">
      <c r="B6" s="12" t="s">
        <v>256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0">
        <f>I4*I5/1000000</f>
        <v>139905.43947120002</v>
      </c>
      <c r="J6" s="411"/>
      <c r="K6" s="151"/>
    </row>
    <row r="7" spans="1:12" ht="15.75" customHeight="1" x14ac:dyDescent="0.15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15">
      <c r="C8" s="96"/>
      <c r="E8" s="6"/>
      <c r="G8" s="21" t="s">
        <v>11</v>
      </c>
      <c r="H8" s="132"/>
      <c r="I8" s="6"/>
      <c r="J8" s="6"/>
    </row>
    <row r="9" spans="1:12" ht="15.75" customHeight="1" x14ac:dyDescent="0.15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10.473652518992989</v>
      </c>
      <c r="J9" s="48">
        <f>IF(I9="NNI","NNI",1/I9)</f>
        <v>9.5477675833391798E-2</v>
      </c>
    </row>
    <row r="10" spans="1:12" ht="15.75" customHeight="1" x14ac:dyDescent="0.15">
      <c r="B10" s="3" t="s">
        <v>274</v>
      </c>
      <c r="C10" s="299" t="s">
        <v>275</v>
      </c>
      <c r="D10" s="299">
        <v>2.8999999999999998E-2</v>
      </c>
      <c r="E10" s="5"/>
      <c r="G10" s="5" t="s">
        <v>14</v>
      </c>
      <c r="I10" s="138">
        <f>I4/(Data!C28*I12*Data!C4/Common_Shares)</f>
        <v>0.70064998212618235</v>
      </c>
      <c r="J10" s="130">
        <f>IF(Asset_Model!D60/'FCFF Model'!C4&lt;0,"Negative EV",Asset_Model!D60/'FCFF Model'!C4)</f>
        <v>235.84142307098679</v>
      </c>
    </row>
    <row r="11" spans="1:12" ht="15.75" customHeight="1" thickBot="1" x14ac:dyDescent="0.2">
      <c r="B11" s="312" t="s">
        <v>278</v>
      </c>
      <c r="C11" s="420">
        <f ca="1">C12-D10</f>
        <v>6.7000000000000004E-2</v>
      </c>
      <c r="D11" s="421"/>
      <c r="E11" s="13"/>
      <c r="G11" s="5" t="s">
        <v>15</v>
      </c>
      <c r="H11" s="6"/>
      <c r="I11" s="418" t="s">
        <v>311</v>
      </c>
      <c r="J11" s="419"/>
    </row>
    <row r="12" spans="1:12" ht="15.75" customHeight="1" thickTop="1" x14ac:dyDescent="0.15">
      <c r="B12" s="313" t="s">
        <v>150</v>
      </c>
      <c r="C12" s="374">
        <f ca="1">IF(C10="CN",8%,6%)*IF($C$5+30&gt;=TODAY(),1.2,1)</f>
        <v>9.6000000000000002E-2</v>
      </c>
      <c r="D12" s="375"/>
      <c r="G12" s="134" t="s">
        <v>16</v>
      </c>
      <c r="H12" s="133"/>
      <c r="I12" s="135">
        <v>7.8496100107828779</v>
      </c>
      <c r="J12" s="136" t="str">
        <f>IF(I11=Dashboard!J4,J4,I11&amp;"/"&amp;Dashboard!J4)</f>
        <v>USD/HKD</v>
      </c>
    </row>
    <row r="13" spans="1:12" ht="15.75" customHeight="1" x14ac:dyDescent="0.15"/>
    <row r="14" spans="1:12" ht="15.75" customHeight="1" x14ac:dyDescent="0.15">
      <c r="A14" s="10"/>
      <c r="B14" s="20" t="s">
        <v>17</v>
      </c>
      <c r="C14" s="127" t="s">
        <v>217</v>
      </c>
      <c r="D14" s="184">
        <f ca="1">MIN('FCFF Model'!C30,'FCFF Model'!E30)</f>
        <v>7.2227480450621648</v>
      </c>
      <c r="E14" s="127" t="s">
        <v>234</v>
      </c>
      <c r="F14" s="184">
        <f ca="1">MAX('FCFF Model'!C30,'FCFF Model'!E30)</f>
        <v>27.060723123569986</v>
      </c>
      <c r="G14" s="185" t="s">
        <v>24</v>
      </c>
      <c r="H14" s="193">
        <f ca="1">IF('FCFF Model'!C33&lt;0, "Error", 'FCFF Model'!C33)</f>
        <v>19.682548344796388</v>
      </c>
      <c r="I14" s="133"/>
      <c r="J14" s="133"/>
    </row>
    <row r="15" spans="1:12" ht="15.75" customHeight="1" x14ac:dyDescent="0.15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15">
      <c r="B16" s="131">
        <f>I4</f>
        <v>17.68</v>
      </c>
      <c r="C16" s="384">
        <v>0.1</v>
      </c>
      <c r="D16" s="159">
        <f ca="1">H14/B16-1-C16</f>
        <v>1.3266309094818268E-2</v>
      </c>
      <c r="E16" s="379">
        <f>'FCFF Model'!D11*Exchange_Rate</f>
        <v>0</v>
      </c>
      <c r="F16" s="161">
        <f>E16/B16</f>
        <v>0</v>
      </c>
      <c r="G16" s="387" t="s">
        <v>25</v>
      </c>
      <c r="H16" s="412">
        <f>('FCFF Model'!G19)*Exchange_Rate</f>
        <v>-2.3086794342355326</v>
      </c>
      <c r="I16" s="387" t="s">
        <v>26</v>
      </c>
      <c r="J16" s="206">
        <f>B16-$H$16</f>
        <v>19.988679434235532</v>
      </c>
    </row>
    <row r="17" spans="1:10" ht="15.75" customHeight="1" x14ac:dyDescent="0.15">
      <c r="B17" s="289">
        <f ca="1">H14/(1+C16)</f>
        <v>17.893225767996714</v>
      </c>
      <c r="C17" s="385"/>
      <c r="D17" s="288">
        <f ca="1">H14/B17-1-C16</f>
        <v>0</v>
      </c>
      <c r="E17" s="380"/>
      <c r="F17" s="162">
        <f ca="1">E16/B17</f>
        <v>0</v>
      </c>
      <c r="G17" s="388"/>
      <c r="H17" s="413"/>
      <c r="I17" s="388"/>
      <c r="J17" s="205">
        <f ca="1">B17-$H$16</f>
        <v>20.201905202232247</v>
      </c>
    </row>
    <row r="18" spans="1:10" ht="15.75" customHeight="1" x14ac:dyDescent="0.15">
      <c r="B18" s="355">
        <f>C35</f>
        <v>15</v>
      </c>
      <c r="C18" s="386"/>
      <c r="D18" s="160">
        <f ca="1">H14/B18-1-C16</f>
        <v>0.21216988965309244</v>
      </c>
      <c r="E18" s="381"/>
      <c r="F18" s="163">
        <f>E16/B18</f>
        <v>0</v>
      </c>
      <c r="G18" s="389"/>
      <c r="H18" s="414"/>
      <c r="I18" s="389"/>
      <c r="J18" s="207">
        <f>B18-$H$16</f>
        <v>17.308679434235533</v>
      </c>
    </row>
    <row r="19" spans="1:10" ht="15.75" customHeight="1" x14ac:dyDescent="0.15">
      <c r="E19" s="6"/>
      <c r="H19" s="6"/>
    </row>
    <row r="20" spans="1:10" ht="15.75" customHeight="1" x14ac:dyDescent="0.15">
      <c r="A20" s="4"/>
      <c r="B20" s="20" t="s">
        <v>27</v>
      </c>
      <c r="C20" s="5" t="s">
        <v>254</v>
      </c>
      <c r="D20" s="290" t="s">
        <v>312</v>
      </c>
      <c r="E20" s="266" t="s">
        <v>264</v>
      </c>
      <c r="G20" s="6"/>
      <c r="H20" s="6"/>
      <c r="I20" s="6"/>
      <c r="J20" s="6"/>
    </row>
    <row r="21" spans="1:10" ht="15.75" customHeight="1" x14ac:dyDescent="0.15">
      <c r="A21" s="6"/>
      <c r="B21" s="24" t="s">
        <v>28</v>
      </c>
      <c r="C21" s="403"/>
      <c r="D21" s="404"/>
      <c r="E21" s="404"/>
      <c r="F21" s="404"/>
      <c r="G21" s="404"/>
      <c r="H21" s="404"/>
      <c r="I21" s="404"/>
      <c r="J21" s="405"/>
    </row>
    <row r="22" spans="1:10" ht="52.5" customHeight="1" x14ac:dyDescent="0.15">
      <c r="A22" s="6"/>
      <c r="B22" s="24" t="s">
        <v>29</v>
      </c>
      <c r="C22" s="416"/>
      <c r="D22" s="417"/>
      <c r="E22" s="417"/>
      <c r="F22" s="417"/>
      <c r="G22" s="416"/>
      <c r="H22" s="416"/>
      <c r="I22" s="417"/>
      <c r="J22" s="417"/>
    </row>
    <row r="23" spans="1:10" ht="52.5" customHeight="1" x14ac:dyDescent="0.15">
      <c r="A23" s="6"/>
      <c r="B23" s="25" t="s">
        <v>30</v>
      </c>
      <c r="C23" s="382"/>
      <c r="D23" s="383"/>
      <c r="E23" s="383"/>
      <c r="F23" s="383"/>
      <c r="G23" s="382"/>
      <c r="H23" s="382"/>
      <c r="I23" s="383"/>
      <c r="J23" s="383"/>
    </row>
    <row r="24" spans="1:10" ht="15.75" customHeight="1" x14ac:dyDescent="0.15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15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3">
        <v>0.15</v>
      </c>
      <c r="I25" s="30" t="s">
        <v>325</v>
      </c>
      <c r="J25" s="354">
        <f ca="1">H14/(H25+C16+1)</f>
        <v>15.746038675837109</v>
      </c>
    </row>
    <row r="26" spans="1:10" ht="15.75" customHeight="1" x14ac:dyDescent="0.15">
      <c r="B26" s="23" t="s">
        <v>33</v>
      </c>
      <c r="C26" s="401">
        <v>44987</v>
      </c>
      <c r="D26" s="402"/>
      <c r="E26" s="393" t="str">
        <f>IF(C26="","","Action_Planning")</f>
        <v>Action_Planning</v>
      </c>
      <c r="F26" s="394"/>
      <c r="G26" s="394"/>
      <c r="H26" s="395"/>
      <c r="I26" s="415" t="s">
        <v>34</v>
      </c>
      <c r="J26" s="415"/>
    </row>
    <row r="27" spans="1:10" ht="15.75" customHeight="1" x14ac:dyDescent="0.15">
      <c r="B27" s="23" t="s">
        <v>35</v>
      </c>
      <c r="C27" s="378">
        <f>C31/D25</f>
        <v>5.5E-2</v>
      </c>
      <c r="D27" s="377"/>
      <c r="E27" s="376">
        <f>E31/D25</f>
        <v>2.75E-2</v>
      </c>
      <c r="F27" s="377"/>
      <c r="G27" s="391">
        <f>G31/D25</f>
        <v>0</v>
      </c>
      <c r="H27" s="392"/>
      <c r="I27" s="390">
        <f>C27+E27+G27</f>
        <v>8.2500000000000004E-2</v>
      </c>
      <c r="J27" s="390"/>
    </row>
    <row r="28" spans="1:10" ht="15.75" customHeight="1" x14ac:dyDescent="0.15">
      <c r="B28" s="23" t="s">
        <v>36</v>
      </c>
      <c r="C28" s="367">
        <v>2000</v>
      </c>
      <c r="D28" s="417"/>
      <c r="E28" s="367">
        <v>1000</v>
      </c>
      <c r="F28" s="417"/>
      <c r="G28" s="408"/>
      <c r="H28" s="409"/>
      <c r="I28" s="432">
        <f>C28+E28+G28</f>
        <v>3000</v>
      </c>
      <c r="J28" s="432"/>
    </row>
    <row r="29" spans="1:10" ht="15.75" customHeight="1" x14ac:dyDescent="0.15">
      <c r="B29" s="23" t="s">
        <v>37</v>
      </c>
      <c r="C29" s="442">
        <v>16.5</v>
      </c>
      <c r="D29" s="417"/>
      <c r="E29" s="442">
        <v>16.5</v>
      </c>
      <c r="F29" s="417"/>
      <c r="G29" s="422"/>
      <c r="H29" s="423"/>
      <c r="I29" s="428"/>
      <c r="J29" s="428"/>
    </row>
    <row r="30" spans="1:10" ht="15.75" customHeight="1" x14ac:dyDescent="0.15">
      <c r="B30" s="23" t="s">
        <v>38</v>
      </c>
      <c r="C30" s="430">
        <f>C29*$I$5/1000000</f>
        <v>130567.859235</v>
      </c>
      <c r="D30" s="437"/>
      <c r="E30" s="430">
        <f>E29*$I$5/1000000</f>
        <v>130567.859235</v>
      </c>
      <c r="F30" s="437"/>
      <c r="G30" s="424">
        <f>G29*$I$5/1000000</f>
        <v>0</v>
      </c>
      <c r="H30" s="425"/>
      <c r="I30" s="429"/>
      <c r="J30" s="429"/>
    </row>
    <row r="31" spans="1:10" ht="15.75" customHeight="1" x14ac:dyDescent="0.15">
      <c r="B31" s="2" t="s">
        <v>39</v>
      </c>
      <c r="C31" s="438">
        <f>C28*C29</f>
        <v>33000</v>
      </c>
      <c r="D31" s="439"/>
      <c r="E31" s="431">
        <f>E28*E29</f>
        <v>16500</v>
      </c>
      <c r="F31" s="440"/>
      <c r="G31" s="426">
        <f>G28*G29</f>
        <v>0</v>
      </c>
      <c r="H31" s="427"/>
      <c r="I31" s="431">
        <f>C31+E31+G31</f>
        <v>49500</v>
      </c>
      <c r="J31" s="431"/>
    </row>
    <row r="32" spans="1:10" ht="15.75" customHeight="1" x14ac:dyDescent="0.15">
      <c r="B32" s="1" t="s">
        <v>40</v>
      </c>
      <c r="C32" s="433"/>
      <c r="D32" s="434"/>
      <c r="E32" s="441">
        <f>IF(C31=0,"-",(C31+E31)/(C28+E28))</f>
        <v>16.5</v>
      </c>
      <c r="F32" s="377"/>
      <c r="G32" s="117"/>
      <c r="H32" s="117"/>
      <c r="I32" s="441">
        <f>IF(I31=0,"",I31/I28)</f>
        <v>16.5</v>
      </c>
      <c r="J32" s="441"/>
    </row>
    <row r="33" spans="2:11" ht="15.75" customHeight="1" x14ac:dyDescent="0.15">
      <c r="B33" s="1" t="s">
        <v>41</v>
      </c>
      <c r="C33" s="435"/>
      <c r="D33" s="436"/>
      <c r="E33" s="430">
        <f>IF(E32="-","-",E32*$I$5/1000000)</f>
        <v>130567.859235</v>
      </c>
      <c r="F33" s="437"/>
      <c r="G33" s="118"/>
      <c r="H33" s="118"/>
      <c r="I33" s="430">
        <f>IF(I32="","",I32*$I$5/1000000)</f>
        <v>130567.859235</v>
      </c>
      <c r="J33" s="430"/>
    </row>
    <row r="34" spans="2:11" ht="15.75" customHeight="1" x14ac:dyDescent="0.15"/>
    <row r="35" spans="2:11" ht="15.75" customHeight="1" x14ac:dyDescent="0.15">
      <c r="B35" s="146" t="s">
        <v>326</v>
      </c>
      <c r="C35" s="365">
        <v>15</v>
      </c>
      <c r="D35" s="366"/>
      <c r="G35" s="369" t="s">
        <v>328</v>
      </c>
      <c r="H35" s="370"/>
      <c r="I35" s="365">
        <f ca="1">F14</f>
        <v>27.060723123569986</v>
      </c>
      <c r="J35" s="366"/>
    </row>
    <row r="36" spans="2:11" ht="15.75" customHeight="1" x14ac:dyDescent="0.15">
      <c r="B36" s="146" t="s">
        <v>327</v>
      </c>
      <c r="C36" s="367">
        <f>E28</f>
        <v>1000</v>
      </c>
      <c r="D36" s="368"/>
      <c r="G36" s="371" t="s">
        <v>332</v>
      </c>
      <c r="H36" s="371"/>
      <c r="I36" s="372">
        <f ca="1">I35/C29-1</f>
        <v>0.64004382567090823</v>
      </c>
      <c r="J36" s="373"/>
    </row>
    <row r="37" spans="2:11" ht="15.75" customHeight="1" x14ac:dyDescent="0.15"/>
    <row r="38" spans="2:11" ht="15.75" customHeight="1" x14ac:dyDescent="0.15">
      <c r="B38" s="21" t="s">
        <v>333</v>
      </c>
      <c r="G38" s="346" t="s">
        <v>141</v>
      </c>
      <c r="H38" s="133"/>
      <c r="I38" s="133"/>
      <c r="J38" s="133"/>
      <c r="K38" s="356"/>
    </row>
    <row r="39" spans="2:11" ht="15.75" customHeight="1" x14ac:dyDescent="0.15">
      <c r="B39" s="3" t="s">
        <v>334</v>
      </c>
      <c r="F39" s="214">
        <f>'Qualitative Analysis'!E8</f>
        <v>0.6</v>
      </c>
      <c r="G39" s="357"/>
      <c r="H39" s="116"/>
      <c r="I39" s="116"/>
      <c r="J39" s="116"/>
    </row>
    <row r="40" spans="2:11" ht="15.75" customHeight="1" x14ac:dyDescent="0.15">
      <c r="B40" s="3" t="s">
        <v>335</v>
      </c>
      <c r="F40" s="214">
        <f>80%-(5%*IF(LEFT(D20,2)="St",1,IF(LEFT(D20,2)="Sl",2,IF(LEFT(D20,2)="Cy",3,IF(LEFT(D20,2)="Fa",4,IF(LEFT(D20,2)="Tu",5,0))))))</f>
        <v>0.60000000000000009</v>
      </c>
      <c r="G40" s="74"/>
      <c r="H40" s="74"/>
      <c r="I40" s="74"/>
      <c r="J40" s="74"/>
    </row>
    <row r="41" spans="2:11" ht="15.75" customHeight="1" x14ac:dyDescent="0.15">
      <c r="B41" s="3" t="s">
        <v>336</v>
      </c>
      <c r="E41" s="358"/>
      <c r="F41" s="359">
        <f>'Qualitative Analysis'!E64</f>
        <v>0.62807823129251705</v>
      </c>
      <c r="G41" s="357" t="s">
        <v>337</v>
      </c>
      <c r="H41" s="116"/>
      <c r="I41" s="116"/>
      <c r="J41" s="116"/>
    </row>
    <row r="42" spans="2:11" ht="15.75" customHeight="1" x14ac:dyDescent="0.15">
      <c r="B42" s="3" t="s">
        <v>345</v>
      </c>
      <c r="E42" s="358">
        <f ca="1">IF(F42="Strongly disagree",0,IF(F42="disagree",1,IF(F42="So-so",2,IF(F42="agree",3,4))))/4</f>
        <v>1</v>
      </c>
      <c r="F42" s="102" t="str">
        <f ca="1">IF(F45&lt;D10,"Strongly Disagree",IF(F45&lt;10%,"Disagree",IF(F45&gt;=30%,"Strongly Agree",IF(F45&gt;=20%,"Agree","So-so"))))</f>
        <v>Strongly Agree</v>
      </c>
      <c r="G42" s="74" t="s">
        <v>338</v>
      </c>
      <c r="H42" s="74"/>
      <c r="I42" s="74"/>
      <c r="J42" s="74"/>
    </row>
    <row r="43" spans="2:11" ht="15.75" customHeight="1" x14ac:dyDescent="0.15">
      <c r="B43" s="3" t="s">
        <v>346</v>
      </c>
      <c r="F43" s="360">
        <f>AVERAGE(80%*0.5,0.6)</f>
        <v>0.5</v>
      </c>
      <c r="G43" s="116"/>
      <c r="H43" s="116"/>
      <c r="I43" s="116"/>
      <c r="J43" s="116"/>
    </row>
    <row r="44" spans="2:11" ht="15.75" customHeight="1" x14ac:dyDescent="0.15"/>
    <row r="45" spans="2:11" ht="15.75" customHeight="1" x14ac:dyDescent="0.15">
      <c r="B45" s="3" t="s">
        <v>339</v>
      </c>
      <c r="F45" s="359">
        <f ca="1">I35/C29-1</f>
        <v>0.64004382567090823</v>
      </c>
    </row>
    <row r="46" spans="2:11" ht="15.75" customHeight="1" x14ac:dyDescent="0.15">
      <c r="B46" s="3" t="s">
        <v>340</v>
      </c>
      <c r="F46" s="359">
        <f ca="1">D14/C29-1</f>
        <v>-0.56225769423865668</v>
      </c>
    </row>
    <row r="47" spans="2:11" ht="15.75" customHeight="1" x14ac:dyDescent="0.15"/>
    <row r="48" spans="2:11" ht="15.75" customHeight="1" x14ac:dyDescent="0.15">
      <c r="B48" s="3" t="s">
        <v>341</v>
      </c>
      <c r="F48" s="214">
        <f ca="1">IF(F45&lt;=0,0,AVERAGE(F39:F41,1-F43,E42))</f>
        <v>0.66561564625850345</v>
      </c>
      <c r="G48" s="74"/>
    </row>
    <row r="49" spans="2:8" ht="15.75" customHeight="1" x14ac:dyDescent="0.15">
      <c r="B49" s="3" t="s">
        <v>342</v>
      </c>
      <c r="E49" s="361">
        <f ca="1">F45/ABS(F46)</f>
        <v>1.1383460506264487</v>
      </c>
      <c r="F49" s="362">
        <f ca="1">IF(F46&gt;=0,100,F45/ABS(F46))</f>
        <v>1.1383460506264487</v>
      </c>
      <c r="G49" s="74"/>
    </row>
    <row r="50" spans="2:8" ht="15.75" customHeight="1" x14ac:dyDescent="0.15">
      <c r="B50" s="3" t="s">
        <v>343</v>
      </c>
      <c r="E50" s="107">
        <f ca="1">MAX(F48-ABS((1-F48)/F49),0)/2</f>
        <v>0.18593493084949203</v>
      </c>
      <c r="F50" s="363">
        <f ca="1">MIN(E50,H50)</f>
        <v>0.18593493084949203</v>
      </c>
      <c r="G50" s="364" t="s">
        <v>344</v>
      </c>
      <c r="H50" s="78">
        <v>0.3</v>
      </c>
    </row>
    <row r="51" spans="2:8" ht="15.75" customHeight="1" x14ac:dyDescent="0.15"/>
    <row r="52" spans="2:8" ht="15.75" customHeight="1" x14ac:dyDescent="0.15"/>
    <row r="53" spans="2:8" ht="15.75" customHeight="1" x14ac:dyDescent="0.15"/>
    <row r="54" spans="2:8" ht="15.75" customHeight="1" x14ac:dyDescent="0.15"/>
    <row r="55" spans="2:8" ht="15.75" customHeight="1" x14ac:dyDescent="0.15"/>
    <row r="56" spans="2:8" ht="15.75" customHeight="1" x14ac:dyDescent="0.15"/>
    <row r="57" spans="2:8" ht="15.75" customHeight="1" x14ac:dyDescent="0.15"/>
    <row r="58" spans="2:8" ht="15.75" customHeight="1" x14ac:dyDescent="0.15"/>
    <row r="59" spans="2:8" ht="15.75" customHeight="1" x14ac:dyDescent="0.15"/>
    <row r="60" spans="2:8" ht="15.75" customHeight="1" x14ac:dyDescent="0.15"/>
    <row r="61" spans="2:8" ht="15.75" customHeight="1" x14ac:dyDescent="0.15"/>
    <row r="62" spans="2:8" ht="15.75" customHeight="1" x14ac:dyDescent="0.15"/>
    <row r="63" spans="2:8" ht="15.75" customHeight="1" x14ac:dyDescent="0.15"/>
    <row r="64" spans="2:8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</sheetData>
  <mergeCells count="54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5:D35"/>
    <mergeCell ref="C36:D36"/>
    <mergeCell ref="I35:J35"/>
    <mergeCell ref="G35:H35"/>
    <mergeCell ref="G36:H36"/>
    <mergeCell ref="I36:J36"/>
  </mergeCells>
  <conditionalFormatting sqref="C35:D36">
    <cfRule type="containsBlanks" priority="7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20">
      <formula>LEN(TRIM(C26))=0</formula>
    </cfRule>
  </conditionalFormatting>
  <conditionalFormatting sqref="D16 D18">
    <cfRule type="cellIs" dxfId="16" priority="16" operator="lessThan">
      <formula>0</formula>
    </cfRule>
  </conditionalFormatting>
  <conditionalFormatting sqref="E26:H26">
    <cfRule type="containsBlanks" dxfId="15" priority="3">
      <formula>LEN(TRIM(E26))=0</formula>
    </cfRule>
  </conditionalFormatting>
  <conditionalFormatting sqref="F49">
    <cfRule type="cellIs" dxfId="14" priority="1" operator="lessThan">
      <formula>1</formula>
    </cfRule>
  </conditionalFormatting>
  <conditionalFormatting sqref="H14">
    <cfRule type="cellIs" dxfId="13" priority="8" operator="greaterThan">
      <formula>$B$16</formula>
    </cfRule>
  </conditionalFormatting>
  <conditionalFormatting sqref="H16">
    <cfRule type="cellIs" dxfId="12" priority="11" operator="greaterThan">
      <formula>$B$16</formula>
    </cfRule>
  </conditionalFormatting>
  <conditionalFormatting sqref="I16">
    <cfRule type="cellIs" dxfId="11" priority="26" operator="lessThan">
      <formula>0</formula>
    </cfRule>
  </conditionalFormatting>
  <conditionalFormatting sqref="I35:J36">
    <cfRule type="containsBlanks" priority="2">
      <formula>LEN(TRIM(I35))=0</formula>
    </cfRule>
  </conditionalFormatting>
  <conditionalFormatting sqref="K38">
    <cfRule type="containsBlanks" priority="5">
      <formula>LEN(TRIM(K38))=0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C7C166B3-BD53-4EF0-BA4B-F2AAA7BD96F9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8" sqref="D18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36"/>
      <c r="B1" s="37"/>
      <c r="C1" s="38"/>
      <c r="D1" s="38"/>
      <c r="E1" s="38"/>
      <c r="F1" s="38"/>
    </row>
    <row r="2" spans="1:14" ht="15.75" customHeight="1" x14ac:dyDescent="0.2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15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15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15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15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15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15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15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15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15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15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15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15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15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15">
      <c r="A18" s="9"/>
      <c r="B18" s="44" t="s">
        <v>257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15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15">
      <c r="A20" s="9"/>
      <c r="B20" s="44" t="s">
        <v>272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15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15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15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15">
      <c r="A24" s="9"/>
      <c r="B24" s="141" t="s">
        <v>60</v>
      </c>
      <c r="C24" s="272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15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15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15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15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15">
      <c r="A29" s="9"/>
      <c r="B29" s="141" t="s">
        <v>211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15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15">
      <c r="A31" s="9"/>
      <c r="B31" s="44" t="s">
        <v>235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15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15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15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15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15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15">
      <c r="A37" s="9"/>
      <c r="B37" s="168" t="s">
        <v>258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15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15">
      <c r="A39" s="9"/>
      <c r="B39" s="142" t="s">
        <v>207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15">
      <c r="A40" s="9"/>
      <c r="B40" s="169" t="s">
        <v>208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15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15">
      <c r="A43" s="9"/>
      <c r="B43" s="44" t="s">
        <v>253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15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15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15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1" t="s">
        <v>76</v>
      </c>
      <c r="C48" s="52"/>
      <c r="D48" s="52"/>
      <c r="E48" s="52"/>
      <c r="F48" s="52"/>
    </row>
    <row r="49" spans="1:13" ht="15" customHeight="1" x14ac:dyDescent="0.15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15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15">
      <c r="A51" s="9"/>
      <c r="B51" s="339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15">
      <c r="A52" s="9"/>
      <c r="B52" s="340" t="s">
        <v>300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15">
      <c r="A53" s="9"/>
      <c r="B53" s="53"/>
      <c r="C53" s="56"/>
      <c r="D53" s="56"/>
    </row>
    <row r="54" spans="1:13" ht="15.75" customHeight="1" x14ac:dyDescent="0.15">
      <c r="A54" s="9"/>
      <c r="B54" s="53"/>
      <c r="C54" s="56"/>
      <c r="D54" s="56"/>
    </row>
    <row r="55" spans="1:13" ht="15.75" customHeight="1" x14ac:dyDescent="0.15">
      <c r="A55" s="9"/>
      <c r="B55" s="53"/>
      <c r="C55" s="56"/>
      <c r="D55" s="56"/>
    </row>
    <row r="56" spans="1:13" ht="15.75" customHeight="1" x14ac:dyDescent="0.15">
      <c r="A56" s="9"/>
      <c r="B56" s="53"/>
      <c r="C56" s="57"/>
      <c r="D56" s="57"/>
    </row>
    <row r="57" spans="1:13" ht="15.75" customHeight="1" x14ac:dyDescent="0.15">
      <c r="A57" s="9"/>
      <c r="B57" s="53"/>
      <c r="C57" s="56"/>
      <c r="D57" s="56"/>
    </row>
    <row r="58" spans="1:13" ht="15.75" customHeight="1" x14ac:dyDescent="0.15">
      <c r="A58" s="9"/>
      <c r="B58" s="53"/>
      <c r="C58" s="57"/>
      <c r="D58" s="57"/>
    </row>
    <row r="59" spans="1:13" ht="15.75" customHeight="1" x14ac:dyDescent="0.15">
      <c r="A59" s="9"/>
    </row>
    <row r="60" spans="1:13" ht="15.75" customHeight="1" x14ac:dyDescent="0.15">
      <c r="A60" s="9"/>
    </row>
    <row r="61" spans="1:13" ht="15.75" customHeight="1" x14ac:dyDescent="0.15">
      <c r="A61" s="9"/>
    </row>
    <row r="62" spans="1:13" ht="15.75" customHeight="1" x14ac:dyDescent="0.15">
      <c r="A62" s="9"/>
    </row>
    <row r="63" spans="1:13" ht="15.75" customHeight="1" x14ac:dyDescent="0.15">
      <c r="A63" s="9"/>
    </row>
    <row r="64" spans="1:13" ht="15.75" customHeight="1" x14ac:dyDescent="0.15">
      <c r="A64" s="9"/>
    </row>
    <row r="65" spans="1:1" ht="15.75" customHeight="1" x14ac:dyDescent="0.15">
      <c r="A65" s="9"/>
    </row>
    <row r="66" spans="1:1" ht="15.75" customHeight="1" x14ac:dyDescent="0.15">
      <c r="A66" s="9"/>
    </row>
    <row r="67" spans="1:1" ht="15.75" customHeight="1" x14ac:dyDescent="0.15">
      <c r="A67" s="9"/>
    </row>
    <row r="68" spans="1:1" ht="15.75" customHeight="1" x14ac:dyDescent="0.15">
      <c r="A68" s="9"/>
    </row>
    <row r="69" spans="1:1" ht="15.75" customHeight="1" x14ac:dyDescent="0.15">
      <c r="A69" s="9"/>
    </row>
    <row r="70" spans="1:1" ht="15.75" customHeight="1" x14ac:dyDescent="0.15">
      <c r="A70" s="9"/>
    </row>
    <row r="71" spans="1:1" ht="15.75" customHeight="1" x14ac:dyDescent="0.15">
      <c r="A71" s="9"/>
    </row>
    <row r="72" spans="1:1" ht="15.75" customHeight="1" x14ac:dyDescent="0.15">
      <c r="A72" s="9"/>
    </row>
    <row r="73" spans="1:1" ht="15.75" customHeight="1" x14ac:dyDescent="0.15">
      <c r="A73" s="9"/>
    </row>
    <row r="74" spans="1:1" ht="15.75" customHeight="1" x14ac:dyDescent="0.15">
      <c r="A74" s="9"/>
    </row>
    <row r="75" spans="1:1" ht="15.75" customHeight="1" x14ac:dyDescent="0.15">
      <c r="A75" s="9"/>
    </row>
    <row r="76" spans="1:1" ht="15.75" customHeight="1" x14ac:dyDescent="0.15">
      <c r="A76" s="9"/>
    </row>
    <row r="77" spans="1:1" ht="15.75" customHeight="1" x14ac:dyDescent="0.15">
      <c r="A77" s="9"/>
    </row>
    <row r="78" spans="1:1" ht="15.75" customHeight="1" x14ac:dyDescent="0.15">
      <c r="A78" s="9"/>
    </row>
    <row r="79" spans="1:1" ht="15.75" customHeight="1" x14ac:dyDescent="0.15">
      <c r="A79" s="9"/>
    </row>
    <row r="80" spans="1:1" ht="15.75" customHeight="1" x14ac:dyDescent="0.15">
      <c r="A80" s="9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/>
    <row r="260" spans="1:1" ht="15.75" customHeight="1" x14ac:dyDescent="0.15"/>
    <row r="261" spans="1:1" ht="15.75" customHeight="1" x14ac:dyDescent="0.15"/>
    <row r="262" spans="1:1" ht="15.75" customHeight="1" x14ac:dyDescent="0.15"/>
    <row r="263" spans="1:1" ht="15.75" customHeight="1" x14ac:dyDescent="0.15"/>
    <row r="264" spans="1:1" ht="15.75" customHeight="1" x14ac:dyDescent="0.15"/>
    <row r="265" spans="1:1" ht="15.75" customHeight="1" x14ac:dyDescent="0.15"/>
    <row r="266" spans="1:1" ht="15.75" customHeight="1" x14ac:dyDescent="0.15"/>
    <row r="267" spans="1:1" ht="15.75" customHeight="1" x14ac:dyDescent="0.15"/>
    <row r="268" spans="1:1" ht="15.75" customHeight="1" x14ac:dyDescent="0.15"/>
    <row r="269" spans="1:1" ht="15.75" customHeight="1" x14ac:dyDescent="0.15"/>
    <row r="270" spans="1:1" ht="15.75" customHeight="1" x14ac:dyDescent="0.15"/>
    <row r="271" spans="1:1" ht="15.75" customHeight="1" x14ac:dyDescent="0.15"/>
    <row r="272" spans="1:1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</sheetData>
  <conditionalFormatting sqref="B51:M52">
    <cfRule type="expression" dxfId="10" priority="1">
      <formula>$C$49="No"</formula>
    </cfRule>
  </conditionalFormatting>
  <conditionalFormatting sqref="C7:M35 D42:M46">
    <cfRule type="containsBlanks" dxfId="9" priority="3">
      <formula>LEN(TRIM(C7))=0</formula>
    </cfRule>
  </conditionalFormatting>
  <conditionalFormatting sqref="C37:M40">
    <cfRule type="containsBlanks" dxfId="8" priority="5">
      <formula>LEN(TRIM(C37))=0</formula>
    </cfRule>
  </conditionalFormatting>
  <conditionalFormatting sqref="D17:M18">
    <cfRule type="containsBlanks" dxfId="7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B40" sqref="B40"/>
    </sheetView>
  </sheetViews>
  <sheetFormatPr baseColWidth="10" defaultColWidth="12.5" defaultRowHeight="15" customHeight="1" x14ac:dyDescent="0.15"/>
  <cols>
    <col min="1" max="1" width="2.5" style="3" customWidth="1"/>
    <col min="2" max="2" width="27" style="3" customWidth="1"/>
    <col min="3" max="5" width="17.5" style="3" customWidth="1"/>
    <col min="6" max="6" width="7.5" style="3" customWidth="1"/>
    <col min="7" max="7" width="2.1640625" style="3" customWidth="1"/>
    <col min="8" max="8" width="18.5" style="3" bestFit="1" customWidth="1"/>
    <col min="9" max="9" width="13.33203125" style="3" bestFit="1" customWidth="1"/>
    <col min="10" max="10" width="4.6640625" style="3" customWidth="1"/>
    <col min="11" max="11" width="38.83203125" style="3" customWidth="1"/>
    <col min="12" max="16384" width="12.5" style="3"/>
  </cols>
  <sheetData>
    <row r="2" spans="1:11" ht="15" customHeight="1" x14ac:dyDescent="0.2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141</v>
      </c>
    </row>
    <row r="3" spans="1:11" ht="15" customHeight="1" x14ac:dyDescent="0.15">
      <c r="B3" s="5" t="s">
        <v>259</v>
      </c>
      <c r="C3" s="6"/>
      <c r="D3" s="273">
        <v>28961421</v>
      </c>
      <c r="E3" s="156" t="str">
        <f>IF((C46-I46)=D3,"", "Error!")</f>
        <v/>
      </c>
      <c r="F3" s="6"/>
      <c r="G3" s="6"/>
      <c r="H3" s="274" t="s">
        <v>260</v>
      </c>
      <c r="I3" s="275">
        <v>19149976</v>
      </c>
      <c r="K3" s="74"/>
    </row>
    <row r="4" spans="1:11" ht="15" customHeight="1" x14ac:dyDescent="0.15">
      <c r="B4" s="5" t="s">
        <v>226</v>
      </c>
      <c r="C4" s="6"/>
      <c r="D4" s="276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18.996079350948669</v>
      </c>
      <c r="K4" s="74"/>
    </row>
    <row r="5" spans="1:11" ht="15" customHeight="1" x14ac:dyDescent="0.15">
      <c r="D5" s="6"/>
      <c r="E5" s="23" t="s">
        <v>83</v>
      </c>
      <c r="I5" s="6"/>
      <c r="K5" s="74"/>
    </row>
    <row r="6" spans="1:11" ht="15" customHeight="1" x14ac:dyDescent="0.15">
      <c r="B6" s="58" t="s">
        <v>84</v>
      </c>
      <c r="C6" s="6"/>
      <c r="D6" s="59">
        <f>E46-I46-E50+MIN('FCFF Model'!D4,0)</f>
        <v>1369375.2100000009</v>
      </c>
      <c r="E6" s="14">
        <f>1-D6/D3</f>
        <v>0.95271726446019345</v>
      </c>
      <c r="F6" s="6"/>
      <c r="G6" s="6"/>
      <c r="H6" s="3" t="s">
        <v>329</v>
      </c>
      <c r="I6" s="69">
        <f>C26/I26</f>
        <v>2.3678467070628044</v>
      </c>
      <c r="J6" s="6"/>
      <c r="K6" s="74"/>
    </row>
    <row r="7" spans="1:11" ht="15" customHeight="1" x14ac:dyDescent="0.15">
      <c r="B7" s="53" t="s">
        <v>85</v>
      </c>
      <c r="D7" s="61">
        <f>MAX((D6*Exchange_Rate*Data!C4)/Dashboard!I5, 0)</f>
        <v>1.358370378656454</v>
      </c>
      <c r="E7" s="49" t="str">
        <f>Dashboard!J4</f>
        <v>HKD</v>
      </c>
      <c r="H7" s="3" t="s">
        <v>330</v>
      </c>
      <c r="I7" s="69">
        <f>C25/I26</f>
        <v>2.0753728614196669</v>
      </c>
      <c r="J7" s="6"/>
      <c r="K7" s="116"/>
    </row>
    <row r="8" spans="1:11" ht="15" customHeight="1" x14ac:dyDescent="0.15">
      <c r="D8" s="6"/>
      <c r="H8" s="3" t="s">
        <v>331</v>
      </c>
      <c r="I8" s="69">
        <f>C24/I26</f>
        <v>1.1367089973436031</v>
      </c>
      <c r="K8" s="74"/>
    </row>
    <row r="9" spans="1:11" ht="15" customHeight="1" x14ac:dyDescent="0.2">
      <c r="A9" s="4"/>
      <c r="B9" s="268" t="s">
        <v>255</v>
      </c>
      <c r="C9" s="255"/>
      <c r="D9" s="271">
        <v>44926</v>
      </c>
      <c r="E9" s="290" t="s">
        <v>347</v>
      </c>
      <c r="F9" s="133"/>
      <c r="G9" s="133"/>
      <c r="H9" s="133"/>
      <c r="I9" s="133"/>
      <c r="K9" s="74"/>
    </row>
    <row r="10" spans="1:11" ht="15" customHeight="1" x14ac:dyDescent="0.15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15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 x14ac:dyDescent="0.15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 x14ac:dyDescent="0.15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15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 x14ac:dyDescent="0.15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 x14ac:dyDescent="0.15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15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 x14ac:dyDescent="0.15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 x14ac:dyDescent="0.15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243</v>
      </c>
      <c r="G19" s="94">
        <f>IF(F19="Y",0,1)</f>
        <v>0</v>
      </c>
      <c r="H19" s="5"/>
      <c r="I19" s="154"/>
    </row>
    <row r="20" spans="2:10" ht="14" x14ac:dyDescent="0.15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243</v>
      </c>
      <c r="G20" s="94">
        <f>IF(F20="Y",0,1)</f>
        <v>0</v>
      </c>
      <c r="H20" s="5"/>
      <c r="I20" s="154"/>
    </row>
    <row r="21" spans="2:10" ht="14" x14ac:dyDescent="0.15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15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15">
      <c r="C23" s="6"/>
      <c r="D23" s="6"/>
      <c r="E23" s="6"/>
      <c r="F23" s="6"/>
      <c r="G23" s="6"/>
    </row>
    <row r="24" spans="2:10" ht="15" customHeight="1" x14ac:dyDescent="0.15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108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15">
      <c r="B25" s="66" t="s">
        <v>109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110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15">
      <c r="B26" s="5" t="s">
        <v>111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15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15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f>6718304+598379</f>
        <v>7316683</v>
      </c>
      <c r="J28" s="6"/>
    </row>
    <row r="29" spans="2:10" ht="15" customHeight="1" x14ac:dyDescent="0.15">
      <c r="B29" s="5" t="s">
        <v>114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115</v>
      </c>
      <c r="I29" s="64">
        <v>57682</v>
      </c>
      <c r="J29" s="6"/>
    </row>
    <row r="30" spans="2:10" ht="15" customHeight="1" x14ac:dyDescent="0.15">
      <c r="B30" s="5" t="s">
        <v>116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118</v>
      </c>
      <c r="I30" s="64">
        <v>0</v>
      </c>
      <c r="J30" s="6"/>
    </row>
    <row r="31" spans="2:10" ht="14" x14ac:dyDescent="0.15">
      <c r="B31" s="3" t="s">
        <v>117</v>
      </c>
      <c r="C31" s="64">
        <v>32958</v>
      </c>
      <c r="D31" s="65">
        <v>0.5</v>
      </c>
      <c r="E31" s="27">
        <f t="shared" si="3"/>
        <v>16479</v>
      </c>
      <c r="F31" s="204" t="s">
        <v>243</v>
      </c>
      <c r="G31" s="94">
        <f>IF(F31="Y",0,1)</f>
        <v>0</v>
      </c>
      <c r="H31" s="3" t="s">
        <v>117</v>
      </c>
      <c r="I31" s="64">
        <v>0</v>
      </c>
      <c r="J31" s="6"/>
    </row>
    <row r="32" spans="2:10" ht="14" x14ac:dyDescent="0.15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5">
        <f>I42-SUM(I28:I31)</f>
        <v>447069</v>
      </c>
      <c r="J32" s="6"/>
    </row>
    <row r="33" spans="2:10" ht="14" x14ac:dyDescent="0.15">
      <c r="B33" s="5" t="s">
        <v>121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244</v>
      </c>
      <c r="G33" s="94">
        <f>IF(F33="Y",0,1)</f>
        <v>1</v>
      </c>
      <c r="J33" s="6"/>
    </row>
    <row r="34" spans="2:10" ht="14" x14ac:dyDescent="0.15">
      <c r="B34" s="5" t="s">
        <v>122</v>
      </c>
      <c r="C34" s="64">
        <v>0</v>
      </c>
      <c r="D34" s="65">
        <v>0.7</v>
      </c>
      <c r="E34" s="220">
        <f t="shared" si="3"/>
        <v>0</v>
      </c>
      <c r="F34" s="204" t="s">
        <v>243</v>
      </c>
      <c r="G34" s="94">
        <f>IF(F34="Y",0,1)</f>
        <v>0</v>
      </c>
    </row>
    <row r="35" spans="2:10" ht="14" x14ac:dyDescent="0.15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243</v>
      </c>
      <c r="G35" s="94">
        <f>IF(F35="Y",0,1)</f>
        <v>0</v>
      </c>
    </row>
    <row r="36" spans="2:10" ht="15" customHeight="1" x14ac:dyDescent="0.15">
      <c r="B36" s="5" t="s">
        <v>304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 x14ac:dyDescent="0.15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15">
      <c r="B38" s="5" t="s">
        <v>123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15">
      <c r="B39" s="5" t="s">
        <v>124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15">
      <c r="B40" s="5" t="s">
        <v>125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15">
      <c r="C41" s="6"/>
      <c r="D41" s="6"/>
      <c r="E41" s="6"/>
      <c r="I41" s="6"/>
    </row>
    <row r="42" spans="2:10" ht="14" x14ac:dyDescent="0.15">
      <c r="B42" s="5" t="s">
        <v>126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127</v>
      </c>
      <c r="I42" s="64">
        <v>7821434</v>
      </c>
      <c r="J42" s="6"/>
    </row>
    <row r="43" spans="2:10" ht="15" customHeight="1" x14ac:dyDescent="0.15">
      <c r="C43" s="6"/>
      <c r="D43" s="6"/>
      <c r="E43" s="6"/>
      <c r="I43" s="6"/>
    </row>
    <row r="44" spans="2:10" ht="15" customHeight="1" x14ac:dyDescent="0.15">
      <c r="B44" s="66" t="s">
        <v>128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129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15">
      <c r="B45" s="66" t="s">
        <v>130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131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15">
      <c r="B46" s="5" t="s">
        <v>132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133</v>
      </c>
      <c r="I46" s="155">
        <f>I26+I42</f>
        <v>14846363</v>
      </c>
      <c r="J46" s="6"/>
    </row>
    <row r="47" spans="2:10" ht="15" customHeight="1" x14ac:dyDescent="0.15">
      <c r="C47" s="6"/>
      <c r="D47" s="6"/>
      <c r="E47" s="6"/>
      <c r="I47" s="6"/>
    </row>
    <row r="48" spans="2:10" ht="14" x14ac:dyDescent="0.15">
      <c r="B48" s="21" t="s">
        <v>134</v>
      </c>
      <c r="C48" s="21"/>
      <c r="D48" s="52"/>
    </row>
    <row r="49" spans="2:9" ht="14" x14ac:dyDescent="0.15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 x14ac:dyDescent="0.15">
      <c r="B50" s="5" t="s">
        <v>209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15">
      <c r="C51" s="6"/>
      <c r="D51" s="6"/>
      <c r="E51" s="6"/>
    </row>
    <row r="52" spans="2:9" thickBot="1" x14ac:dyDescent="0.2">
      <c r="B52" s="75" t="s">
        <v>266</v>
      </c>
      <c r="C52" s="5"/>
      <c r="D52" s="443">
        <f>D53+D54+D55</f>
        <v>8694432</v>
      </c>
      <c r="E52" s="444"/>
      <c r="F52" s="53"/>
      <c r="G52" s="53"/>
    </row>
    <row r="53" spans="2:9" thickTop="1" x14ac:dyDescent="0.15">
      <c r="B53" s="58" t="s">
        <v>236</v>
      </c>
      <c r="C53" s="6"/>
      <c r="D53" s="446">
        <f>SUM(I11:I13)+SUM(I28:I30)</f>
        <v>8694432</v>
      </c>
      <c r="E53" s="439"/>
      <c r="F53" s="5"/>
      <c r="G53" s="5"/>
      <c r="H53" s="3" t="s">
        <v>273</v>
      </c>
      <c r="I53" s="14">
        <f>D53/I3</f>
        <v>0.45401790581878537</v>
      </c>
    </row>
    <row r="54" spans="2:9" ht="14" x14ac:dyDescent="0.15">
      <c r="B54" s="58" t="s">
        <v>136</v>
      </c>
      <c r="C54" s="6"/>
      <c r="D54" s="451">
        <v>0</v>
      </c>
      <c r="E54" s="417"/>
      <c r="F54" s="6" t="s">
        <v>137</v>
      </c>
      <c r="G54" s="6"/>
    </row>
    <row r="55" spans="2:9" ht="12.75" customHeight="1" x14ac:dyDescent="0.15">
      <c r="B55" s="58" t="s">
        <v>135</v>
      </c>
      <c r="C55" s="6"/>
      <c r="D55" s="451">
        <v>0</v>
      </c>
      <c r="E55" s="417"/>
      <c r="F55" s="5" t="s">
        <v>138</v>
      </c>
      <c r="G55" s="5"/>
    </row>
    <row r="56" spans="2:9" ht="15" customHeight="1" x14ac:dyDescent="0.15">
      <c r="D56" s="6"/>
      <c r="E56" s="6"/>
    </row>
    <row r="57" spans="2:9" ht="14" x14ac:dyDescent="0.15">
      <c r="B57" s="75" t="s">
        <v>139</v>
      </c>
      <c r="C57" s="5"/>
      <c r="D57" s="445"/>
      <c r="E57" s="445"/>
      <c r="F57" s="19"/>
      <c r="G57" s="19"/>
    </row>
    <row r="58" spans="2:9" ht="15" customHeight="1" x14ac:dyDescent="0.15">
      <c r="B58" s="53" t="s">
        <v>237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 x14ac:dyDescent="0.15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 x14ac:dyDescent="0.15">
      <c r="B60" s="53" t="s">
        <v>140</v>
      </c>
      <c r="C60" s="6"/>
      <c r="D60" s="449">
        <f>((Dashboard!I6*Data!C4)+D52+E50-C58-C59)</f>
        <v>137598435.47120002</v>
      </c>
      <c r="E60" s="450"/>
      <c r="F60" s="6"/>
      <c r="G60" s="6"/>
    </row>
    <row r="61" spans="2:9" ht="15" customHeight="1" x14ac:dyDescent="0.15">
      <c r="D61" s="6"/>
      <c r="E61" s="6"/>
    </row>
    <row r="62" spans="2:9" ht="15" customHeight="1" x14ac:dyDescent="0.15">
      <c r="B62" s="291" t="s">
        <v>265</v>
      </c>
    </row>
    <row r="63" spans="2:9" ht="15" customHeight="1" x14ac:dyDescent="0.15">
      <c r="B63" s="3" t="s">
        <v>268</v>
      </c>
      <c r="D63" s="372">
        <f>((C26-C11-C12-C14-C15-C16*G16-C19*G19-C20*G20)-I26)/Data!C7</f>
        <v>-0.64687443506582265</v>
      </c>
      <c r="E63" s="373"/>
    </row>
    <row r="64" spans="2:9" ht="15" customHeight="1" x14ac:dyDescent="0.15">
      <c r="B64" s="3" t="s">
        <v>267</v>
      </c>
      <c r="D64" s="447">
        <v>6.3399999999999998E-2</v>
      </c>
      <c r="E64" s="448"/>
      <c r="F64" s="266" t="s">
        <v>252</v>
      </c>
    </row>
    <row r="65" spans="2:5" ht="15" customHeight="1" x14ac:dyDescent="0.15">
      <c r="B65" s="291" t="s">
        <v>269</v>
      </c>
      <c r="D65" s="447">
        <f>D63</f>
        <v>-0.64687443506582265</v>
      </c>
      <c r="E65" s="448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E1E596CF-4722-4837-A6B9-F8766C2AC2AB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C4" sqref="C4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3" width="22.6640625" style="3" customWidth="1"/>
    <col min="4" max="4" width="6.83203125" style="3" customWidth="1"/>
    <col min="5" max="5" width="22.6640625" style="3" customWidth="1"/>
    <col min="6" max="6" width="6.83203125" style="3" customWidth="1"/>
    <col min="7" max="7" width="22.6640625" style="3" customWidth="1"/>
    <col min="8" max="8" width="6.83203125" style="3" customWidth="1"/>
    <col min="9" max="9" width="22.6640625" style="3" customWidth="1"/>
    <col min="10" max="10" width="6.83203125" style="3" customWidth="1"/>
    <col min="11" max="11" width="2.5" style="3" customWidth="1"/>
    <col min="12" max="12" width="87.5" style="3" customWidth="1"/>
    <col min="13" max="16384" width="12.5" style="3"/>
  </cols>
  <sheetData>
    <row r="1" spans="1:13" ht="15" customHeight="1" x14ac:dyDescent="0.15">
      <c r="C1" s="6"/>
      <c r="D1" s="6"/>
      <c r="E1" s="6"/>
      <c r="F1" s="6"/>
      <c r="G1" s="6"/>
      <c r="H1" s="6"/>
    </row>
    <row r="2" spans="1:13" ht="15.5" customHeight="1" x14ac:dyDescent="0.15">
      <c r="A2" s="4"/>
      <c r="B2" s="92" t="s">
        <v>249</v>
      </c>
      <c r="C2" s="285" t="s">
        <v>263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15">
      <c r="B3" s="29" t="str">
        <f>'FCFF Model'!B3</f>
        <v>(Numbers in 1000USD)</v>
      </c>
      <c r="C3" s="277">
        <f>Dashboard!E6</f>
        <v>44926</v>
      </c>
      <c r="D3" s="28" t="s">
        <v>251</v>
      </c>
      <c r="E3" s="277">
        <f>EOMONTH(EDATE(C3,12),0)</f>
        <v>45291</v>
      </c>
      <c r="F3" s="28" t="s">
        <v>251</v>
      </c>
      <c r="G3" s="277" t="str">
        <f>IF(G7="","",EOMONTH(EDATE(E3,12),0))</f>
        <v/>
      </c>
      <c r="H3" s="28"/>
      <c r="I3" s="277" t="str">
        <f>IF(I14="","",EOMONTH(EDATE(G3,12),0))</f>
        <v/>
      </c>
      <c r="J3" s="296"/>
      <c r="L3" s="72" t="s">
        <v>141</v>
      </c>
    </row>
    <row r="4" spans="1:13" ht="15.75" customHeight="1" x14ac:dyDescent="0.15">
      <c r="B4" s="292" t="s">
        <v>313</v>
      </c>
      <c r="C4" s="293">
        <v>4982237</v>
      </c>
      <c r="D4" s="260">
        <f>C4/C6</f>
        <v>0.91532876780782757</v>
      </c>
      <c r="E4" s="293"/>
      <c r="F4" s="260"/>
      <c r="G4" s="222"/>
      <c r="H4" s="260"/>
      <c r="I4" s="222"/>
      <c r="J4" s="286"/>
      <c r="K4" s="6"/>
      <c r="L4" s="74"/>
      <c r="M4" s="57"/>
    </row>
    <row r="5" spans="1:13" ht="15.75" customHeight="1" x14ac:dyDescent="0.15">
      <c r="B5" s="292" t="s">
        <v>314</v>
      </c>
      <c r="C5" s="293">
        <v>460875</v>
      </c>
      <c r="D5" s="260">
        <f>C5/C6</f>
        <v>8.4671232192172416E-2</v>
      </c>
      <c r="E5" s="293"/>
      <c r="F5" s="260"/>
      <c r="G5" s="222"/>
      <c r="H5" s="260"/>
      <c r="I5" s="222"/>
      <c r="J5" s="286"/>
      <c r="K5" s="6"/>
      <c r="L5" s="74"/>
      <c r="M5" s="57"/>
    </row>
    <row r="6" spans="1:13" ht="15.75" customHeight="1" x14ac:dyDescent="0.15">
      <c r="B6" s="5" t="s">
        <v>143</v>
      </c>
      <c r="C6" s="180">
        <f>C4+C5</f>
        <v>5443112</v>
      </c>
      <c r="D6" s="259"/>
      <c r="E6" s="337">
        <f>1621300+1907000+3745058</f>
        <v>7273358</v>
      </c>
      <c r="F6" s="259"/>
      <c r="G6" s="337"/>
      <c r="H6" s="259"/>
      <c r="I6" s="228"/>
      <c r="J6" s="287"/>
      <c r="K6" s="6"/>
      <c r="L6" s="74" t="s">
        <v>270</v>
      </c>
      <c r="M6" s="57"/>
    </row>
    <row r="7" spans="1:13" ht="15.75" customHeight="1" x14ac:dyDescent="0.15">
      <c r="B7" s="17" t="s">
        <v>142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7"/>
      <c r="K7" s="6"/>
      <c r="L7" s="74"/>
      <c r="M7" s="57"/>
    </row>
    <row r="8" spans="1:13" ht="15.75" customHeight="1" x14ac:dyDescent="0.15">
      <c r="B8" s="8" t="s">
        <v>144</v>
      </c>
      <c r="C8" s="181">
        <f>Data!C9</f>
        <v>3767342</v>
      </c>
      <c r="D8" s="262"/>
      <c r="E8" s="227">
        <f>1102581+1164740+2244315</f>
        <v>4511636</v>
      </c>
      <c r="F8" s="262"/>
      <c r="G8" s="281" t="str">
        <f>IF(G6="","",G6*(1-G9))</f>
        <v/>
      </c>
      <c r="H8" s="262"/>
      <c r="I8" s="281" t="str">
        <f>IF(I6="","",I6*(1-I9))</f>
        <v/>
      </c>
      <c r="J8" s="328"/>
      <c r="K8" s="6"/>
      <c r="L8" s="116"/>
      <c r="M8" s="1"/>
    </row>
    <row r="9" spans="1:13" ht="15.75" customHeight="1" x14ac:dyDescent="0.15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29"/>
      <c r="K9" s="6"/>
      <c r="L9" s="74"/>
    </row>
    <row r="10" spans="1:13" ht="15.75" customHeight="1" x14ac:dyDescent="0.15">
      <c r="B10" s="5" t="s">
        <v>145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15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0"/>
      <c r="K11" s="6"/>
      <c r="L11" s="74"/>
    </row>
    <row r="12" spans="1:13" ht="15.75" customHeight="1" x14ac:dyDescent="0.15">
      <c r="B12" s="8" t="s">
        <v>146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1"/>
      <c r="K12" s="6"/>
      <c r="L12" s="74"/>
    </row>
    <row r="13" spans="1:13" ht="15.75" customHeight="1" x14ac:dyDescent="0.15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15">
      <c r="B14" s="17" t="s">
        <v>147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2"/>
      <c r="K14" s="6"/>
      <c r="L14" s="77"/>
      <c r="M14" s="78"/>
    </row>
    <row r="15" spans="1:13" ht="15.75" customHeight="1" x14ac:dyDescent="0.15">
      <c r="B15" s="134" t="s">
        <v>247</v>
      </c>
      <c r="C15" s="319">
        <f>C10-C12</f>
        <v>777915</v>
      </c>
      <c r="D15" s="320"/>
      <c r="E15" s="319">
        <f>E10-E12</f>
        <v>1675981</v>
      </c>
      <c r="F15" s="320"/>
      <c r="G15" s="319" t="str">
        <f>IF(G7="","",G10-G12)</f>
        <v/>
      </c>
      <c r="H15" s="320"/>
      <c r="I15" s="319" t="str">
        <f>IF(I7="","",I10-I12)</f>
        <v/>
      </c>
      <c r="J15" s="333"/>
      <c r="K15" s="6"/>
      <c r="L15" s="79"/>
      <c r="M15" s="56"/>
    </row>
    <row r="16" spans="1:13" ht="15.75" customHeight="1" x14ac:dyDescent="0.15">
      <c r="B16" s="315" t="s">
        <v>148</v>
      </c>
      <c r="C16" s="316">
        <v>0.25</v>
      </c>
      <c r="D16" s="317"/>
      <c r="E16" s="318">
        <f>IF(E15="","",C16)</f>
        <v>0.25</v>
      </c>
      <c r="F16" s="318"/>
      <c r="G16" s="318" t="str">
        <f>IF(G15="","",E16)</f>
        <v/>
      </c>
      <c r="H16" s="318"/>
      <c r="I16" s="318" t="str">
        <f>IF(I15="","",G16)</f>
        <v/>
      </c>
      <c r="J16" s="334"/>
    </row>
    <row r="17" spans="2:10" ht="15.75" customHeight="1" x14ac:dyDescent="0.15">
      <c r="B17" s="324" t="s">
        <v>307</v>
      </c>
      <c r="C17" s="264">
        <f>C18/C8</f>
        <v>0.15486681325985271</v>
      </c>
      <c r="D17" s="326"/>
      <c r="E17" s="325">
        <f>E18/E8</f>
        <v>0.27860974378252146</v>
      </c>
      <c r="F17" s="325"/>
      <c r="G17" s="325" t="str">
        <f>IF(G8="","",G18/G8)</f>
        <v/>
      </c>
      <c r="H17" s="325"/>
      <c r="I17" s="325" t="str">
        <f>IF(I8="","",I18/I8)</f>
        <v/>
      </c>
      <c r="J17" s="335"/>
    </row>
    <row r="18" spans="2:10" ht="15.75" customHeight="1" x14ac:dyDescent="0.15">
      <c r="B18" s="321" t="s">
        <v>80</v>
      </c>
      <c r="C18" s="322">
        <f>IF(C15&lt;=0,C15,C15*(1-C16))</f>
        <v>583436.25</v>
      </c>
      <c r="D18" s="322"/>
      <c r="E18" s="323">
        <f>IF(E15="","",IF(E15&lt;=0,E15,E15*(1-E16)))</f>
        <v>1256985.75</v>
      </c>
      <c r="F18" s="322"/>
      <c r="G18" s="323" t="str">
        <f>IF(G15="","",IF(G15&lt;=0,G15,G15*(1-G16)))</f>
        <v/>
      </c>
      <c r="H18" s="322"/>
      <c r="I18" s="323" t="str">
        <f>IF(I15="","",IF(I15&lt;=0,I15,I15*(1-I16)))</f>
        <v/>
      </c>
      <c r="J18" s="336"/>
    </row>
    <row r="19" spans="2:10" ht="15.75" customHeight="1" x14ac:dyDescent="0.15"/>
    <row r="20" spans="2:10" ht="15.75" customHeight="1" x14ac:dyDescent="0.15"/>
    <row r="21" spans="2:10" ht="15.75" customHeight="1" x14ac:dyDescent="0.15"/>
    <row r="22" spans="2:10" ht="15.75" customHeight="1" x14ac:dyDescent="0.15"/>
    <row r="23" spans="2:10" ht="15.75" customHeight="1" x14ac:dyDescent="0.15"/>
    <row r="24" spans="2:10" ht="15.75" customHeight="1" x14ac:dyDescent="0.15"/>
    <row r="25" spans="2:10" ht="15.75" customHeight="1" x14ac:dyDescent="0.15"/>
    <row r="26" spans="2:10" ht="15.75" customHeight="1" x14ac:dyDescent="0.15"/>
    <row r="27" spans="2:10" ht="15.75" customHeight="1" x14ac:dyDescent="0.15"/>
    <row r="28" spans="2:10" ht="15.75" customHeight="1" x14ac:dyDescent="0.15"/>
    <row r="29" spans="2:10" ht="15.75" customHeight="1" x14ac:dyDescent="0.15"/>
    <row r="30" spans="2:10" ht="15.75" customHeight="1" x14ac:dyDescent="0.15"/>
    <row r="31" spans="2:10" ht="15.75" customHeight="1" x14ac:dyDescent="0.15"/>
    <row r="32" spans="2:10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</sheetData>
  <conditionalFormatting sqref="E16:E18">
    <cfRule type="containsBlanks" dxfId="6" priority="2">
      <formula>LEN(TRIM(E16))=0</formula>
    </cfRule>
  </conditionalFormatting>
  <conditionalFormatting sqref="G18 I18">
    <cfRule type="containsBlanks" dxfId="5" priority="4">
      <formula>LEN(TRIM(G18))=0</formula>
    </cfRule>
  </conditionalFormatting>
  <conditionalFormatting sqref="G7:H11 G13:H15 H12">
    <cfRule type="containsBlanks" priority="11">
      <formula>LEN(TRIM(G7))=0</formula>
    </cfRule>
    <cfRule type="containsBlanks" dxfId="4" priority="10">
      <formula>LEN(TRIM(G7))=0</formula>
    </cfRule>
  </conditionalFormatting>
  <conditionalFormatting sqref="G7:J18">
    <cfRule type="containsBlanks" dxfId="3" priority="1">
      <formula>LEN(TRIM(G7))=0</formula>
    </cfRule>
  </conditionalFormatting>
  <conditionalFormatting sqref="I7:J15">
    <cfRule type="containsBlanks" priority="7">
      <formula>LEN(TRIM(I7))=0</formula>
    </cfRule>
    <cfRule type="containsBlanks" dxfId="2" priority="6">
      <formula>LEN(TRIM(I7))=0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28" sqref="B28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9" width="49.5" style="3" customWidth="1"/>
    <col min="10" max="16384" width="12.5" style="3"/>
  </cols>
  <sheetData>
    <row r="1" spans="1:10" ht="15" customHeight="1" x14ac:dyDescent="0.15">
      <c r="C1" s="6"/>
      <c r="D1" s="6"/>
      <c r="E1" s="6"/>
    </row>
    <row r="2" spans="1:10" ht="15.75" customHeight="1" x14ac:dyDescent="0.15">
      <c r="A2" s="4"/>
      <c r="B2" s="92" t="s">
        <v>225</v>
      </c>
      <c r="C2" s="285" t="s">
        <v>263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15">
      <c r="B3" s="29" t="str">
        <f>"(Numbers in "&amp;Data!C4&amp;Dashboard!I11&amp;")"</f>
        <v>(Numbers in 1000USD)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261</v>
      </c>
      <c r="I3" s="72" t="s">
        <v>141</v>
      </c>
    </row>
    <row r="4" spans="1:10" ht="15.75" customHeight="1" x14ac:dyDescent="0.15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3">
        <f>IF(F3="",IF(E3="",1,2),3)</f>
        <v>1</v>
      </c>
      <c r="H4" s="6"/>
      <c r="I4" s="79"/>
      <c r="J4" s="56"/>
    </row>
    <row r="5" spans="1:10" ht="15.75" customHeight="1" x14ac:dyDescent="0.15">
      <c r="B5" s="17" t="s">
        <v>279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15">
      <c r="B6" s="17" t="s">
        <v>68</v>
      </c>
      <c r="C6" s="65">
        <v>0.38619999999999999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 x14ac:dyDescent="0.2">
      <c r="B7" s="81" t="s">
        <v>271</v>
      </c>
      <c r="C7" s="309">
        <f>C4*C6</f>
        <v>225323.07975</v>
      </c>
      <c r="D7" s="309">
        <f>D4*D6</f>
        <v>485447.89665000001</v>
      </c>
      <c r="E7" s="310"/>
      <c r="F7" s="310"/>
      <c r="G7" s="200"/>
      <c r="H7" s="82"/>
      <c r="I7" s="56"/>
      <c r="J7" s="56"/>
    </row>
    <row r="8" spans="1:10" ht="15.75" customHeight="1" thickTop="1" x14ac:dyDescent="0.15">
      <c r="B8" s="17" t="s">
        <v>149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15">
      <c r="B9" s="203" t="s">
        <v>218</v>
      </c>
      <c r="C9" s="193">
        <f>C8/(Common_Shares/Data!$C$4)</f>
        <v>4.5255144288534596E-2</v>
      </c>
      <c r="D9" s="305">
        <f>D8/(Common_Shares/Data!$C$4)</f>
        <v>9.7500063605718501E-2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9.7500063605718501E-2</v>
      </c>
      <c r="H9" s="82"/>
      <c r="I9" s="56"/>
      <c r="J9" s="56"/>
    </row>
    <row r="10" spans="1:10" ht="15.75" customHeight="1" x14ac:dyDescent="0.15">
      <c r="B10" s="234" t="s">
        <v>248</v>
      </c>
      <c r="C10" s="311">
        <f>C11/C9</f>
        <v>0</v>
      </c>
      <c r="D10" s="311">
        <f>D11/D9</f>
        <v>0</v>
      </c>
      <c r="E10" s="343"/>
      <c r="F10" s="343"/>
      <c r="G10" s="235"/>
      <c r="H10" s="82"/>
      <c r="I10" s="56"/>
      <c r="J10" s="56"/>
    </row>
    <row r="11" spans="1:10" ht="15.75" customHeight="1" x14ac:dyDescent="0.15">
      <c r="B11" s="234" t="s">
        <v>262</v>
      </c>
      <c r="C11" s="283">
        <v>0</v>
      </c>
      <c r="D11" s="284">
        <v>0</v>
      </c>
      <c r="E11" s="344"/>
      <c r="F11" s="344"/>
      <c r="G11" s="282"/>
      <c r="H11" s="82"/>
      <c r="I11" s="56"/>
      <c r="J11" s="56"/>
    </row>
    <row r="12" spans="1:10" ht="15.75" customHeight="1" x14ac:dyDescent="0.15">
      <c r="B12" s="19" t="s">
        <v>280</v>
      </c>
      <c r="C12" s="236">
        <v>0</v>
      </c>
      <c r="D12" s="236">
        <v>0</v>
      </c>
      <c r="E12" s="345"/>
      <c r="F12" s="345"/>
      <c r="G12" s="230">
        <f>G9*D27</f>
        <v>5.3625034983145179</v>
      </c>
      <c r="H12" s="82"/>
      <c r="I12" s="56"/>
      <c r="J12" s="56"/>
    </row>
    <row r="13" spans="1:10" ht="15.75" customHeight="1" x14ac:dyDescent="0.15">
      <c r="B13" s="17" t="s">
        <v>150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2">
      <c r="B14" s="83" t="s">
        <v>151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15">
      <c r="B15" s="8" t="s">
        <v>303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4.4642291630435462</v>
      </c>
      <c r="H15" s="80"/>
      <c r="I15" s="56"/>
      <c r="J15" s="56"/>
    </row>
    <row r="16" spans="1:10" ht="15.75" customHeight="1" x14ac:dyDescent="0.15">
      <c r="F16" s="6"/>
      <c r="G16" s="115"/>
    </row>
    <row r="17" spans="1:9" ht="15.75" customHeight="1" x14ac:dyDescent="0.15">
      <c r="B17" s="26" t="s">
        <v>221</v>
      </c>
      <c r="C17" s="194" t="str">
        <f>B3</f>
        <v>(Numbers in 1000USD)</v>
      </c>
      <c r="E17" s="72" t="s">
        <v>222</v>
      </c>
    </row>
    <row r="18" spans="1:9" ht="15.75" customHeight="1" x14ac:dyDescent="0.15">
      <c r="B18" s="58" t="s">
        <v>241</v>
      </c>
      <c r="C18" s="84">
        <f>Asset_Model!E59</f>
        <v>7595985.2599999998</v>
      </c>
      <c r="D18" s="219">
        <f>C18/(Dashboard!I5/Data!C4)</f>
        <v>0.95991278040655081</v>
      </c>
      <c r="E18" s="85" t="s">
        <v>238</v>
      </c>
      <c r="G18" s="137">
        <f>C18+C19+C20+C21</f>
        <v>-2327383.1899999995</v>
      </c>
    </row>
    <row r="19" spans="1:9" ht="15.75" customHeight="1" x14ac:dyDescent="0.15">
      <c r="B19" s="58" t="s">
        <v>245</v>
      </c>
      <c r="C19" s="84">
        <f>Asset_Model!E58</f>
        <v>8582508.5500000007</v>
      </c>
      <c r="D19" s="219">
        <f>C19/(Dashboard!I5/Data!C4)</f>
        <v>1.0845807835458459</v>
      </c>
      <c r="E19" s="85" t="s">
        <v>239</v>
      </c>
      <c r="G19" s="197">
        <f>(G18+MIN(D4,0))*Data!C$4/Dashboard!I5</f>
        <v>-0.29411390260970138</v>
      </c>
    </row>
    <row r="20" spans="1:9" ht="15.75" customHeight="1" x14ac:dyDescent="0.15">
      <c r="B20" s="58" t="s">
        <v>223</v>
      </c>
      <c r="C20" s="84">
        <f>-Asset_Model!D52</f>
        <v>-8694432</v>
      </c>
      <c r="D20" s="219">
        <f>C20/(Dashboard!I5/Data!C4)</f>
        <v>-1.0987246696126012</v>
      </c>
      <c r="E20" s="454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15">
      <c r="B21" s="85" t="s">
        <v>240</v>
      </c>
      <c r="C21" s="84">
        <f>-Asset_Model!E50</f>
        <v>-9811445</v>
      </c>
      <c r="D21" s="219">
        <f>C21/(Dashboard!I5/Data!C4)</f>
        <v>-1.239882796949497</v>
      </c>
      <c r="E21" s="454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15">
      <c r="F22" s="6"/>
      <c r="G22" s="6"/>
    </row>
    <row r="23" spans="1:9" ht="15.75" customHeight="1" x14ac:dyDescent="0.15">
      <c r="B23" s="26" t="s">
        <v>224</v>
      </c>
      <c r="C23" s="194" t="str">
        <f>B3</f>
        <v>(Numbers in 1000USD)</v>
      </c>
      <c r="E23" s="458" t="s">
        <v>231</v>
      </c>
      <c r="F23" s="458"/>
      <c r="G23" s="458"/>
    </row>
    <row r="24" spans="1:9" ht="15.75" customHeight="1" x14ac:dyDescent="0.15">
      <c r="B24" s="127" t="str">
        <f>"Exit after Year "&amp;G4</f>
        <v>Exit after Year 1</v>
      </c>
      <c r="C24" s="127" t="s">
        <v>227</v>
      </c>
      <c r="D24" s="202" t="s">
        <v>220</v>
      </c>
      <c r="E24" s="304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15">
      <c r="B25" s="30" t="s">
        <v>301</v>
      </c>
      <c r="C25" s="14">
        <f>1/D25</f>
        <v>0.05</v>
      </c>
      <c r="D25" s="297">
        <v>20</v>
      </c>
      <c r="E25" s="206">
        <f ca="1">G9*D25/G14</f>
        <v>1.6233560592885623</v>
      </c>
      <c r="F25" s="455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15">
      <c r="B26" s="30" t="s">
        <v>302</v>
      </c>
      <c r="C26" s="349">
        <f>1/D26</f>
        <v>2.2222222222222223E-2</v>
      </c>
      <c r="D26" s="350">
        <v>45</v>
      </c>
      <c r="E26" s="351">
        <f ca="1">G9*D26/G14</f>
        <v>3.6525511333992653</v>
      </c>
      <c r="F26" s="456"/>
      <c r="G26" s="351">
        <f ca="1">$F$25+E26+$G$19</f>
        <v>3.447397142838577</v>
      </c>
      <c r="I26" s="74" t="s">
        <v>317</v>
      </c>
    </row>
    <row r="27" spans="1:9" ht="15.75" customHeight="1" x14ac:dyDescent="0.15">
      <c r="B27" s="301" t="s">
        <v>315</v>
      </c>
      <c r="C27" s="302">
        <f t="shared" ref="C27" si="0">1/D27</f>
        <v>1.8181818181818181E-2</v>
      </c>
      <c r="D27" s="314">
        <v>55</v>
      </c>
      <c r="E27" s="207">
        <f ca="1">G9*D27/G14</f>
        <v>4.4642291630435462</v>
      </c>
      <c r="F27" s="457"/>
      <c r="G27" s="207">
        <f ca="1">$F$25+E27+$G$19</f>
        <v>4.2590751724828584</v>
      </c>
      <c r="I27" s="74" t="s">
        <v>316</v>
      </c>
    </row>
    <row r="28" spans="1:9" ht="15.75" customHeight="1" x14ac:dyDescent="0.15">
      <c r="C28" s="6"/>
      <c r="D28" s="6"/>
      <c r="E28" s="6"/>
      <c r="F28" s="6"/>
      <c r="G28" s="6"/>
    </row>
    <row r="29" spans="1:9" ht="15.75" customHeight="1" x14ac:dyDescent="0.2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15">
      <c r="A30" s="6"/>
      <c r="B30" s="71" t="s">
        <v>152</v>
      </c>
      <c r="C30" s="252">
        <f ca="1">MIN(Asset_Model!D7,G25*Exchange_Rate)+(ABS(Asset_Model!D7-G25*Exchange_Rate)*'Qualitative Analysis'!E8)</f>
        <v>7.2227480450621648</v>
      </c>
      <c r="D30" s="23" t="str">
        <f ca="1">IF(C30&lt;E30,"&lt;",IF(C30=E30,"=","&gt;"))</f>
        <v>&lt;</v>
      </c>
      <c r="E30" s="251">
        <f ca="1">G26*Exchange_Rate</f>
        <v>27.060723123569986</v>
      </c>
      <c r="F30" s="30"/>
      <c r="H30" s="6"/>
      <c r="I30" s="6"/>
    </row>
    <row r="31" spans="1:9" ht="15.75" customHeight="1" x14ac:dyDescent="0.15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15">
      <c r="C32" s="452" t="s">
        <v>153</v>
      </c>
      <c r="D32" s="453"/>
      <c r="E32" s="30" t="s">
        <v>219</v>
      </c>
      <c r="F32" s="30" t="s">
        <v>18</v>
      </c>
      <c r="G32" s="30"/>
      <c r="H32" s="6"/>
    </row>
    <row r="33" spans="2:9" ht="15.75" customHeight="1" x14ac:dyDescent="0.15">
      <c r="B33" s="256" t="s">
        <v>233</v>
      </c>
      <c r="C33" s="253">
        <f ca="1">MIN(C30,E30)+ABS(C30-E30)*'Qualitative Analysis'!$E$64</f>
        <v>19.682548344796388</v>
      </c>
      <c r="D33" s="119" t="str">
        <f>Dashboard!J4</f>
        <v>HKD</v>
      </c>
      <c r="E33" s="120">
        <f ca="1">(C33-G19)/C9</f>
        <v>441.42301524972009</v>
      </c>
      <c r="F33" s="158">
        <f ca="1">C33/(Data!C28*Exchange_Rate*Data!C4/Common_Shares)</f>
        <v>0.78001001956896543</v>
      </c>
      <c r="G33" s="87"/>
      <c r="H33" s="6"/>
      <c r="I33" s="74"/>
    </row>
    <row r="34" spans="2:9" ht="15.75" customHeight="1" x14ac:dyDescent="0.15">
      <c r="B34" s="255" t="s">
        <v>232</v>
      </c>
      <c r="C34" s="254">
        <f ca="1">MAX(Asset_Model!D7,(G12/(1+G34)^G4+F25+G19)*Exchange_Rate)</f>
        <v>37.582881091838338</v>
      </c>
      <c r="D34" s="208" t="str">
        <f>D33</f>
        <v>HKD</v>
      </c>
      <c r="E34" s="120">
        <f ca="1">(C34-G19)/C9</f>
        <v>836.96551165442179</v>
      </c>
      <c r="F34" s="158">
        <f ca="1">C34/(Data!C28*Exchange_Rate*Data!C4/Common_Shares)</f>
        <v>1.4893916835546928</v>
      </c>
      <c r="G34" s="280">
        <f>Dashboard!D10+4.5%</f>
        <v>7.3999999999999996E-2</v>
      </c>
    </row>
    <row r="35" spans="2:9" ht="15.75" customHeight="1" x14ac:dyDescent="0.15"/>
    <row r="36" spans="2:9" ht="15.75" customHeight="1" x14ac:dyDescent="0.15"/>
    <row r="37" spans="2:9" ht="15.75" customHeight="1" x14ac:dyDescent="0.15"/>
    <row r="38" spans="2:9" ht="15.75" customHeight="1" x14ac:dyDescent="0.15"/>
    <row r="39" spans="2:9" ht="15.75" customHeight="1" x14ac:dyDescent="0.15"/>
    <row r="40" spans="2:9" ht="15.75" customHeight="1" x14ac:dyDescent="0.15"/>
    <row r="41" spans="2:9" ht="15.75" customHeight="1" x14ac:dyDescent="0.15"/>
    <row r="42" spans="2:9" ht="15.75" customHeight="1" x14ac:dyDescent="0.15"/>
    <row r="43" spans="2:9" ht="15.75" customHeight="1" x14ac:dyDescent="0.15"/>
    <row r="44" spans="2:9" ht="15.75" customHeight="1" x14ac:dyDescent="0.15"/>
    <row r="45" spans="2:9" ht="15.75" customHeight="1" x14ac:dyDescent="0.15"/>
    <row r="46" spans="2:9" ht="15.75" customHeight="1" x14ac:dyDescent="0.15"/>
    <row r="47" spans="2:9" ht="15.75" customHeight="1" x14ac:dyDescent="0.15"/>
    <row r="48" spans="2:9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</sheetData>
  <mergeCells count="4">
    <mergeCell ref="C32:D32"/>
    <mergeCell ref="E20:E21"/>
    <mergeCell ref="F25:F27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3" width="28.6640625" style="3" customWidth="1"/>
    <col min="4" max="4" width="10.6640625" style="3" customWidth="1"/>
    <col min="5" max="5" width="28.6640625" style="3" customWidth="1"/>
    <col min="6" max="6" width="5.6640625" style="3" customWidth="1"/>
    <col min="7" max="7" width="73.83203125" style="3" customWidth="1"/>
    <col min="8" max="16384" width="12.5" style="3"/>
  </cols>
  <sheetData>
    <row r="2" spans="1:7" ht="16" x14ac:dyDescent="0.2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15">
      <c r="B3" s="6" t="s">
        <v>284</v>
      </c>
      <c r="C3" s="96"/>
      <c r="D3" s="94">
        <f>IF(E3="Strongly disagree",0,IF(E3="disagree",1,IF(E3="unclear",2,IF(E3="agree",3,4))))</f>
        <v>2</v>
      </c>
      <c r="E3" s="31" t="s">
        <v>155</v>
      </c>
      <c r="G3" s="79" t="s">
        <v>318</v>
      </c>
    </row>
    <row r="4" spans="1:7" ht="14" x14ac:dyDescent="0.15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/>
    </row>
    <row r="5" spans="1:7" ht="14" x14ac:dyDescent="0.15">
      <c r="B5" s="6" t="s">
        <v>281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15">
      <c r="B6" s="6" t="s">
        <v>282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15">
      <c r="B7" s="6" t="s">
        <v>283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15">
      <c r="B8" s="97" t="s">
        <v>157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15">
      <c r="B9" s="96"/>
      <c r="C9" s="96"/>
      <c r="E9" s="6"/>
      <c r="G9" s="77"/>
    </row>
    <row r="10" spans="1:7" ht="15" customHeight="1" x14ac:dyDescent="0.2">
      <c r="A10" s="4"/>
      <c r="B10" s="11" t="s">
        <v>158</v>
      </c>
      <c r="C10" s="20"/>
      <c r="D10" s="20"/>
      <c r="E10" s="12"/>
      <c r="G10" s="294"/>
    </row>
    <row r="11" spans="1:7" ht="15" customHeight="1" x14ac:dyDescent="0.15">
      <c r="B11" s="99" t="s">
        <v>159</v>
      </c>
      <c r="C11" s="93"/>
      <c r="E11" s="6"/>
      <c r="G11" s="294"/>
    </row>
    <row r="12" spans="1:7" ht="15" customHeight="1" x14ac:dyDescent="0.15">
      <c r="B12" s="53" t="s">
        <v>285</v>
      </c>
      <c r="D12" s="100">
        <f>IF(E12="Strongly disagree",0,IF(E12="disagree",1,IF(E12="unclear",2,IF(E12="agree",3,4))))</f>
        <v>3</v>
      </c>
      <c r="E12" s="31" t="s">
        <v>156</v>
      </c>
      <c r="F12" s="6"/>
      <c r="G12" s="294" t="s">
        <v>319</v>
      </c>
    </row>
    <row r="13" spans="1:7" ht="15" customHeight="1" x14ac:dyDescent="0.15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4"/>
    </row>
    <row r="14" spans="1:7" ht="15" customHeight="1" x14ac:dyDescent="0.15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4"/>
    </row>
    <row r="15" spans="1:7" ht="15" customHeight="1" x14ac:dyDescent="0.15">
      <c r="B15" s="53" t="s">
        <v>162</v>
      </c>
      <c r="D15" s="100">
        <f>IF(E15="Strongly disagree",0,IF(E15="disagree",1,IF(E15="unclear",2,IF(E15="agree",3,4))))</f>
        <v>0</v>
      </c>
      <c r="E15" s="31" t="s">
        <v>178</v>
      </c>
      <c r="F15" s="6"/>
      <c r="G15" s="294"/>
    </row>
    <row r="16" spans="1:7" ht="15" customHeight="1" x14ac:dyDescent="0.15">
      <c r="B16" s="53" t="s">
        <v>164</v>
      </c>
      <c r="D16" s="100">
        <f>IF(E16="Strongly disagree",0,IF(E16="disagree",1,IF(E16="unclear",2,IF(E16="agree",3,4))))</f>
        <v>3</v>
      </c>
      <c r="E16" s="31" t="s">
        <v>156</v>
      </c>
      <c r="F16" s="6"/>
      <c r="G16" s="294"/>
    </row>
    <row r="17" spans="2:7" ht="15" customHeight="1" x14ac:dyDescent="0.15">
      <c r="B17" s="99" t="s">
        <v>166</v>
      </c>
      <c r="D17" s="38"/>
      <c r="E17" s="23"/>
      <c r="G17" s="294"/>
    </row>
    <row r="18" spans="2:7" ht="15" customHeight="1" x14ac:dyDescent="0.15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4"/>
    </row>
    <row r="19" spans="2:7" ht="15" customHeight="1" x14ac:dyDescent="0.15">
      <c r="B19" s="53" t="s">
        <v>167</v>
      </c>
      <c r="D19" s="100">
        <f t="shared" ref="D19:D22" si="1">IF(E19="Strongly disagree",0,IF(E19="disagree",1,IF(E19="unclear",2,IF(E19="agree",3,4))))</f>
        <v>3</v>
      </c>
      <c r="E19" s="31" t="s">
        <v>156</v>
      </c>
      <c r="F19" s="6"/>
      <c r="G19" s="294" t="s">
        <v>320</v>
      </c>
    </row>
    <row r="20" spans="2:7" ht="15" customHeight="1" x14ac:dyDescent="0.15">
      <c r="B20" s="53" t="s">
        <v>168</v>
      </c>
      <c r="D20" s="100">
        <f t="shared" si="1"/>
        <v>0</v>
      </c>
      <c r="E20" s="31" t="s">
        <v>178</v>
      </c>
      <c r="F20" s="6"/>
      <c r="G20" s="294"/>
    </row>
    <row r="21" spans="2:7" ht="15" customHeight="1" x14ac:dyDescent="0.15">
      <c r="B21" s="53" t="s">
        <v>169</v>
      </c>
      <c r="D21" s="100">
        <f t="shared" si="1"/>
        <v>4</v>
      </c>
      <c r="E21" s="31" t="s">
        <v>165</v>
      </c>
      <c r="F21" s="6"/>
      <c r="G21" s="294"/>
    </row>
    <row r="22" spans="2:7" ht="15" customHeight="1" x14ac:dyDescent="0.15">
      <c r="B22" s="53" t="s">
        <v>170</v>
      </c>
      <c r="D22" s="100">
        <f t="shared" si="1"/>
        <v>3</v>
      </c>
      <c r="E22" s="31" t="s">
        <v>156</v>
      </c>
      <c r="F22" s="6"/>
      <c r="G22" s="294"/>
    </row>
    <row r="23" spans="2:7" ht="15" customHeight="1" x14ac:dyDescent="0.15">
      <c r="B23" s="99" t="s">
        <v>171</v>
      </c>
      <c r="D23" s="38"/>
      <c r="E23" s="23"/>
      <c r="G23" s="294"/>
    </row>
    <row r="24" spans="2:7" ht="15" customHeight="1" x14ac:dyDescent="0.15">
      <c r="B24" s="53" t="s">
        <v>172</v>
      </c>
      <c r="D24" s="100">
        <f t="shared" ref="D24:D28" si="2">IF(E24="Strongly disagree",0,IF(E24="disagree",1,IF(E24="unclear",2,IF(E24="agree",3,4))))</f>
        <v>2</v>
      </c>
      <c r="E24" s="31" t="s">
        <v>155</v>
      </c>
      <c r="F24" s="6"/>
      <c r="G24" s="294" t="s">
        <v>321</v>
      </c>
    </row>
    <row r="25" spans="2:7" ht="15" customHeight="1" x14ac:dyDescent="0.15">
      <c r="B25" s="53" t="s">
        <v>173</v>
      </c>
      <c r="D25" s="100">
        <f t="shared" si="2"/>
        <v>3</v>
      </c>
      <c r="E25" s="31" t="s">
        <v>156</v>
      </c>
      <c r="F25" s="6"/>
      <c r="G25" s="294" t="s">
        <v>322</v>
      </c>
    </row>
    <row r="26" spans="2:7" ht="15" customHeight="1" x14ac:dyDescent="0.15">
      <c r="B26" s="53" t="s">
        <v>287</v>
      </c>
      <c r="D26" s="100">
        <f t="shared" si="2"/>
        <v>2</v>
      </c>
      <c r="E26" s="31" t="s">
        <v>155</v>
      </c>
      <c r="F26" s="6"/>
      <c r="G26" s="294"/>
    </row>
    <row r="27" spans="2:7" ht="15" customHeight="1" x14ac:dyDescent="0.15">
      <c r="B27" s="53" t="s">
        <v>288</v>
      </c>
      <c r="D27" s="100">
        <f t="shared" si="2"/>
        <v>2</v>
      </c>
      <c r="E27" s="31" t="s">
        <v>155</v>
      </c>
      <c r="F27" s="6"/>
      <c r="G27" s="294"/>
    </row>
    <row r="28" spans="2:7" ht="15" customHeight="1" x14ac:dyDescent="0.15">
      <c r="B28" s="53" t="s">
        <v>174</v>
      </c>
      <c r="D28" s="100">
        <f t="shared" si="2"/>
        <v>2</v>
      </c>
      <c r="E28" s="31" t="s">
        <v>155</v>
      </c>
      <c r="F28" s="6"/>
      <c r="G28" s="294"/>
    </row>
    <row r="29" spans="2:7" ht="15" customHeight="1" x14ac:dyDescent="0.15">
      <c r="B29" s="99" t="s">
        <v>175</v>
      </c>
      <c r="D29" s="38"/>
      <c r="E29" s="23"/>
      <c r="G29" s="294"/>
    </row>
    <row r="30" spans="2:7" ht="15" customHeight="1" x14ac:dyDescent="0.15">
      <c r="B30" s="1" t="s">
        <v>176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4"/>
    </row>
    <row r="31" spans="2:7" ht="15" customHeight="1" x14ac:dyDescent="0.15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4"/>
    </row>
    <row r="32" spans="2:7" ht="15" customHeight="1" x14ac:dyDescent="0.15">
      <c r="B32" s="53" t="s">
        <v>289</v>
      </c>
      <c r="D32" s="100">
        <f t="shared" si="3"/>
        <v>0</v>
      </c>
      <c r="E32" s="31" t="s">
        <v>178</v>
      </c>
      <c r="F32" s="6"/>
      <c r="G32" s="294"/>
    </row>
    <row r="33" spans="2:7" ht="15" customHeight="1" x14ac:dyDescent="0.15">
      <c r="B33" s="53" t="s">
        <v>290</v>
      </c>
      <c r="D33" s="100">
        <f t="shared" si="3"/>
        <v>0</v>
      </c>
      <c r="E33" s="31" t="s">
        <v>178</v>
      </c>
      <c r="F33" s="6"/>
      <c r="G33" s="294"/>
    </row>
    <row r="34" spans="2:7" ht="15" customHeight="1" x14ac:dyDescent="0.15">
      <c r="B34" s="53" t="s">
        <v>291</v>
      </c>
      <c r="D34" s="100">
        <f t="shared" si="3"/>
        <v>0</v>
      </c>
      <c r="E34" s="31" t="s">
        <v>178</v>
      </c>
      <c r="F34" s="6"/>
      <c r="G34" s="294"/>
    </row>
    <row r="35" spans="2:7" ht="15" customHeight="1" x14ac:dyDescent="0.15">
      <c r="B35" s="53" t="s">
        <v>308</v>
      </c>
      <c r="D35" s="100">
        <f t="shared" si="3"/>
        <v>0</v>
      </c>
      <c r="E35" s="31" t="s">
        <v>178</v>
      </c>
      <c r="G35" s="294"/>
    </row>
    <row r="36" spans="2:7" ht="15" customHeight="1" x14ac:dyDescent="0.15">
      <c r="B36" s="1" t="s">
        <v>179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4"/>
    </row>
    <row r="37" spans="2:7" ht="15" customHeight="1" x14ac:dyDescent="0.15">
      <c r="B37" s="53" t="s">
        <v>180</v>
      </c>
      <c r="D37" s="100">
        <f t="shared" ref="D37:D41" si="4">IF(E37="Strongly disagree",0,IF(E37="disagree",1,IF(E37="unclear",2,IF(E37="agree",3,4))))</f>
        <v>4</v>
      </c>
      <c r="E37" s="31" t="s">
        <v>165</v>
      </c>
      <c r="F37" s="6"/>
      <c r="G37" s="294"/>
    </row>
    <row r="38" spans="2:7" ht="15" customHeight="1" x14ac:dyDescent="0.15">
      <c r="B38" s="53" t="s">
        <v>292</v>
      </c>
      <c r="D38" s="100">
        <f t="shared" si="4"/>
        <v>4</v>
      </c>
      <c r="E38" s="31" t="s">
        <v>165</v>
      </c>
      <c r="F38" s="6"/>
      <c r="G38" s="294"/>
    </row>
    <row r="39" spans="2:7" ht="15" customHeight="1" x14ac:dyDescent="0.15">
      <c r="B39" s="53" t="s">
        <v>293</v>
      </c>
      <c r="D39" s="100">
        <f t="shared" si="4"/>
        <v>4</v>
      </c>
      <c r="E39" s="31" t="s">
        <v>165</v>
      </c>
      <c r="F39" s="6"/>
      <c r="G39" s="294"/>
    </row>
    <row r="40" spans="2:7" ht="15" customHeight="1" x14ac:dyDescent="0.15">
      <c r="B40" s="53" t="s">
        <v>294</v>
      </c>
      <c r="D40" s="100">
        <f t="shared" si="4"/>
        <v>4</v>
      </c>
      <c r="E40" s="31" t="s">
        <v>165</v>
      </c>
      <c r="F40" s="6"/>
      <c r="G40" s="294"/>
    </row>
    <row r="41" spans="2:7" ht="15" customHeight="1" x14ac:dyDescent="0.15">
      <c r="B41" s="53" t="s">
        <v>295</v>
      </c>
      <c r="D41" s="100">
        <f t="shared" si="4"/>
        <v>1</v>
      </c>
      <c r="E41" s="31" t="s">
        <v>163</v>
      </c>
      <c r="G41" s="294"/>
    </row>
    <row r="42" spans="2:7" ht="15" customHeight="1" x14ac:dyDescent="0.15">
      <c r="B42" s="1" t="s">
        <v>181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15">
      <c r="B43" s="53" t="s">
        <v>182</v>
      </c>
      <c r="D43" s="100">
        <f t="shared" ref="D43:D48" si="5">IF(E43="Strongly disagree",0,IF(E43="disagree",1,IF(E43="unclear",2,IF(E43="agree",3,4))))</f>
        <v>4</v>
      </c>
      <c r="E43" s="31" t="s">
        <v>165</v>
      </c>
      <c r="F43" s="6"/>
      <c r="G43" s="294"/>
    </row>
    <row r="44" spans="2:7" ht="15" customHeight="1" x14ac:dyDescent="0.15">
      <c r="B44" s="53" t="s">
        <v>183</v>
      </c>
      <c r="D44" s="100">
        <f t="shared" si="5"/>
        <v>0</v>
      </c>
      <c r="E44" s="31" t="s">
        <v>178</v>
      </c>
      <c r="F44" s="6"/>
      <c r="G44" s="294"/>
    </row>
    <row r="45" spans="2:7" ht="15" customHeight="1" x14ac:dyDescent="0.15">
      <c r="B45" s="53" t="s">
        <v>184</v>
      </c>
      <c r="D45" s="100">
        <f t="shared" si="5"/>
        <v>0</v>
      </c>
      <c r="E45" s="31" t="s">
        <v>178</v>
      </c>
      <c r="F45" s="6"/>
      <c r="G45" s="294"/>
    </row>
    <row r="46" spans="2:7" ht="15" customHeight="1" x14ac:dyDescent="0.15">
      <c r="B46" s="53" t="s">
        <v>185</v>
      </c>
      <c r="D46" s="100">
        <f t="shared" si="5"/>
        <v>1</v>
      </c>
      <c r="E46" s="31" t="s">
        <v>163</v>
      </c>
      <c r="F46" s="6"/>
      <c r="G46" s="294" t="s">
        <v>323</v>
      </c>
    </row>
    <row r="47" spans="2:7" ht="15" customHeight="1" x14ac:dyDescent="0.15">
      <c r="B47" s="53" t="s">
        <v>186</v>
      </c>
      <c r="D47" s="100">
        <f t="shared" si="5"/>
        <v>3</v>
      </c>
      <c r="E47" s="31" t="s">
        <v>156</v>
      </c>
      <c r="F47" s="6"/>
      <c r="G47" s="294"/>
    </row>
    <row r="48" spans="2:7" ht="15" customHeight="1" x14ac:dyDescent="0.15">
      <c r="B48" s="53" t="s">
        <v>212</v>
      </c>
      <c r="D48" s="100">
        <f t="shared" si="5"/>
        <v>0</v>
      </c>
      <c r="E48" s="31" t="s">
        <v>178</v>
      </c>
      <c r="F48" s="6"/>
      <c r="G48" s="294"/>
    </row>
    <row r="49" spans="2:8" ht="15" customHeight="1" x14ac:dyDescent="0.15">
      <c r="B49" s="1" t="s">
        <v>187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4"/>
    </row>
    <row r="50" spans="2:8" ht="15" customHeight="1" x14ac:dyDescent="0.15">
      <c r="B50" s="53" t="s">
        <v>188</v>
      </c>
      <c r="D50" s="100">
        <f t="shared" ref="D50:D52" si="6">IF(E50="Strongly disagree",0,IF(E50="disagree",1,IF(E50="unclear",2,IF(E50="agree",3,4))))</f>
        <v>0</v>
      </c>
      <c r="E50" s="31" t="s">
        <v>178</v>
      </c>
      <c r="G50" s="294"/>
    </row>
    <row r="51" spans="2:8" ht="15" customHeight="1" x14ac:dyDescent="0.15">
      <c r="B51" s="53" t="s">
        <v>189</v>
      </c>
      <c r="D51" s="100">
        <f t="shared" si="6"/>
        <v>0</v>
      </c>
      <c r="E51" s="31" t="s">
        <v>178</v>
      </c>
      <c r="F51" s="6"/>
      <c r="G51" s="294"/>
    </row>
    <row r="52" spans="2:8" ht="15" customHeight="1" x14ac:dyDescent="0.15">
      <c r="B52" s="53" t="s">
        <v>296</v>
      </c>
      <c r="D52" s="100">
        <f t="shared" si="6"/>
        <v>2</v>
      </c>
      <c r="E52" s="31" t="s">
        <v>155</v>
      </c>
      <c r="G52" s="294"/>
    </row>
    <row r="53" spans="2:8" ht="15" customHeight="1" x14ac:dyDescent="0.15">
      <c r="B53" s="53" t="s">
        <v>297</v>
      </c>
      <c r="D53" s="100">
        <f>IF(E53="Strongly disagree",0,IF(E53="disagree",1,IF(E53="unclear",2,IF(E53="agree",3,4))))</f>
        <v>0</v>
      </c>
      <c r="E53" s="31" t="s">
        <v>178</v>
      </c>
      <c r="F53" s="53"/>
      <c r="G53" s="294"/>
      <c r="H53" s="53"/>
    </row>
    <row r="54" spans="2:8" ht="15" customHeight="1" x14ac:dyDescent="0.15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4"/>
      <c r="H54" s="53"/>
    </row>
    <row r="55" spans="2:8" ht="15" customHeight="1" x14ac:dyDescent="0.15">
      <c r="B55" s="1" t="s">
        <v>190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4"/>
      <c r="H55" s="53"/>
    </row>
    <row r="56" spans="2:8" ht="15" customHeight="1" x14ac:dyDescent="0.15">
      <c r="B56" s="53" t="s">
        <v>191</v>
      </c>
      <c r="D56" s="100">
        <f t="shared" ref="D56:D60" si="7">IF(E56="Strongly disagree",0,IF(E56="disagree",1,IF(E56="unclear",2,IF(E56="agree",3,4))))</f>
        <v>2</v>
      </c>
      <c r="E56" s="31" t="s">
        <v>155</v>
      </c>
      <c r="F56" s="53"/>
      <c r="G56" s="294"/>
      <c r="H56" s="53"/>
    </row>
    <row r="57" spans="2:8" ht="15" customHeight="1" x14ac:dyDescent="0.15">
      <c r="B57" s="53" t="s">
        <v>192</v>
      </c>
      <c r="D57" s="100">
        <f t="shared" si="7"/>
        <v>0</v>
      </c>
      <c r="E57" s="31" t="s">
        <v>178</v>
      </c>
      <c r="F57" s="53"/>
      <c r="G57" s="294"/>
      <c r="H57" s="53"/>
    </row>
    <row r="58" spans="2:8" ht="15" customHeight="1" x14ac:dyDescent="0.15">
      <c r="B58" s="53" t="s">
        <v>213</v>
      </c>
      <c r="D58" s="100">
        <f t="shared" si="7"/>
        <v>0</v>
      </c>
      <c r="E58" s="31" t="s">
        <v>178</v>
      </c>
      <c r="F58" s="53"/>
      <c r="G58" s="294"/>
      <c r="H58" s="53"/>
    </row>
    <row r="59" spans="2:8" ht="15" customHeight="1" x14ac:dyDescent="0.15">
      <c r="B59" s="53" t="s">
        <v>214</v>
      </c>
      <c r="D59" s="100">
        <f t="shared" si="7"/>
        <v>4</v>
      </c>
      <c r="E59" s="31" t="s">
        <v>165</v>
      </c>
      <c r="F59" s="53"/>
      <c r="G59" s="294"/>
      <c r="H59" s="53"/>
    </row>
    <row r="60" spans="2:8" ht="15" customHeight="1" x14ac:dyDescent="0.15">
      <c r="B60" s="53" t="s">
        <v>215</v>
      </c>
      <c r="D60" s="100">
        <f t="shared" si="7"/>
        <v>4</v>
      </c>
      <c r="E60" s="31" t="s">
        <v>165</v>
      </c>
      <c r="F60" s="53"/>
      <c r="G60" s="294"/>
      <c r="H60" s="53"/>
    </row>
    <row r="61" spans="2:8" ht="15" customHeight="1" x14ac:dyDescent="0.15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4"/>
      <c r="H61" s="53"/>
    </row>
    <row r="62" spans="2:8" ht="15" customHeight="1" x14ac:dyDescent="0.15">
      <c r="B62" s="146" t="s">
        <v>193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4"/>
      <c r="H62" s="53"/>
    </row>
    <row r="63" spans="2:8" ht="15" customHeight="1" x14ac:dyDescent="0.15">
      <c r="D63" s="6"/>
      <c r="G63" s="294"/>
    </row>
    <row r="64" spans="2:8" ht="15" customHeight="1" x14ac:dyDescent="0.15">
      <c r="B64" s="97" t="s">
        <v>194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4"/>
    </row>
    <row r="65" spans="2:7" ht="15" customHeight="1" x14ac:dyDescent="0.15">
      <c r="G65" s="295"/>
    </row>
    <row r="66" spans="2:7" ht="15" customHeight="1" x14ac:dyDescent="0.15">
      <c r="B66" s="54" t="s">
        <v>195</v>
      </c>
      <c r="C66" s="7"/>
      <c r="D66" s="7"/>
      <c r="E66" s="55"/>
    </row>
    <row r="67" spans="2:7" ht="15" customHeight="1" x14ac:dyDescent="0.15">
      <c r="B67" s="106" t="s">
        <v>196</v>
      </c>
      <c r="C67" s="107"/>
      <c r="D67" s="107"/>
      <c r="E67" s="108"/>
    </row>
    <row r="68" spans="2:7" ht="15" customHeight="1" x14ac:dyDescent="0.15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15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15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15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15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15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15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15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15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15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cp:lastPrinted>2023-02-17T02:44:16Z</cp:lastPrinted>
  <dcterms:created xsi:type="dcterms:W3CDTF">2022-08-10T03:52:42Z</dcterms:created>
  <dcterms:modified xsi:type="dcterms:W3CDTF">2023-03-28T10:50:09Z</dcterms:modified>
  <cp:category/>
  <cp:contentStatus/>
</cp:coreProperties>
</file>