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1CF0DEC9-FB9E-4D73-958C-F2BF22D9BB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32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C45" i="4"/>
  <c r="C29" i="4"/>
  <c r="G7" i="7"/>
  <c r="G6" i="7"/>
  <c r="G5" i="7"/>
  <c r="G4" i="7"/>
  <c r="G8" i="7" s="1"/>
  <c r="G22" i="7"/>
  <c r="I19" i="7" l="1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<sst xmlns="http://schemas.openxmlformats.org/spreadsheetml/2006/main" count="479" uniqueCount="411">
  <si>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</si>
  <si>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</si>
  <si>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</si>
  <si>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</si>
  <si>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</si>
  <si>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</si>
  <si>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</si>
  <si>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</si>
  <si>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</si>
  <si>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</si>
  <si>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</si>
  <si>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</si>
  <si>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</si>
  <si>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</si>
  <si>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</si>
  <si>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</si>
  <si>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</si>
  <si>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</si>
  <si>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</si>
  <si>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</si>
  <si>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</si>
  <si>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</si>
  <si>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</si>
  <si>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</si>
  <si>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</si>
  <si>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</si>
  <si>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</si>
  <si>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</si>
  <si>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</si>
  <si>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</si>
  <si>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</si>
  <si>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</si>
  <si>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</si>
  <si>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</si>
  <si>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</si>
  <si>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</si>
  <si>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</si>
  <si>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</si>
  <si>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</si>
  <si>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</si>
  <si>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</si>
  <si>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</si>
  <si>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</si>
  <si>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</si>
  <si>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</si>
  <si>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</si>
  <si>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</si>
  <si>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</si>
  <si>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</si>
  <si>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</si>
  <si>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</si>
  <si>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</si>
  <si>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</si>
  <si>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</si>
  <si>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</si>
  <si>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</si>
  <si>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</si>
  <si>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</si>
  <si>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</si>
  <si>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</si>
  <si>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</si>
  <si>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</si>
  <si>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</si>
  <si>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</si>
  <si>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</si>
  <si>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</si>
  <si>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</si>
  <si>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</si>
  <si>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</si>
  <si>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</si>
  <si>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</si>
  <si>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</si>
  <si>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</si>
  <si>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</si>
  <si>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</si>
  <si>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</si>
  <si>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</si>
  <si>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</si>
  <si>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</si>
  <si>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</si>
  <si>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</si>
  <si>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</si>
  <si>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</si>
  <si>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</si>
  <si>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</si>
  <si>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</si>
  <si>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</si>
  <si>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</si>
  <si>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</si>
  <si>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</si>
  <si>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</si>
  <si>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</si>
  <si>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</si>
  <si>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</si>
  <si>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</si>
  <si>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</si>
  <si>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</si>
  <si>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</si>
  <si>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</si>
  <si>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</si>
  <si>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</si>
  <si>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</si>
  <si>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</si>
  <si>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</si>
  <si>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</si>
  <si>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</si>
  <si>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</si>
  <si>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</si>
  <si>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</si>
  <si>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</si>
  <si>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</si>
  <si>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</si>
  <si>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</si>
  <si>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</si>
  <si>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</si>
  <si>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</si>
  <si>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</si>
  <si>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</si>
  <si>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</si>
  <si>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</si>
  <si>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</si>
  <si>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</si>
  <si>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</si>
  <si>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</si>
  <si>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</si>
  <si>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</si>
  <si>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</si>
  <si>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</si>
  <si>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</si>
  <si>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</si>
  <si>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</si>
  <si>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</si>
  <si>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</si>
  <si>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</si>
  <si>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</si>
  <si>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</si>
  <si>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</si>
  <si>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</si>
  <si>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</si>
  <si>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</si>
  <si>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</si>
  <si>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</si>
  <si>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</si>
  <si>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</si>
  <si>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</si>
  <si>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</si>
  <si>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</si>
  <si>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</si>
  <si>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</si>
  <si>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</si>
  <si>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</si>
  <si>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</si>
  <si>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</si>
  <si>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</si>
  <si>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</si>
  <si>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</si>
  <si>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</si>
  <si>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</si>
  <si>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</si>
  <si>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</si>
  <si>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</si>
  <si>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</si>
  <si>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</si>
  <si>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</si>
  <si>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</si>
  <si>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</si>
  <si>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</si>
  <si>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</si>
  <si>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</si>
  <si>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</si>
  <si>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</si>
  <si>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</si>
  <si>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</si>
  <si>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</si>
  <si>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</si>
  <si>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</si>
  <si>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</si>
  <si>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</si>
  <si>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</si>
  <si>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</si>
  <si>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</si>
  <si>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</si>
  <si>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</si>
  <si>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</si>
  <si>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</si>
  <si>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</si>
  <si>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</si>
  <si>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</si>
  <si>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</si>
  <si>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</si>
  <si>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</si>
  <si>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</si>
  <si>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</si>
  <si>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</si>
  <si>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</si>
  <si>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</si>
  <si>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</si>
  <si>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</si>
  <si>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</si>
  <si>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</si>
  <si>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</si>
  <si>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</si>
  <si>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</si>
  <si>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</si>
  <si>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</si>
  <si>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</si>
  <si>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</si>
  <si>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</si>
  <si>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</si>
  <si>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</si>
  <si>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</si>
  <si>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</si>
  <si>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</si>
  <si>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</si>
  <si>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</si>
  <si>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</si>
  <si>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</si>
  <si>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</si>
  <si>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</si>
  <si>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</si>
  <si>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</si>
  <si>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</si>
  <si>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</si>
  <si>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</si>
  <si>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</si>
  <si>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</si>
  <si>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</si>
  <si>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</si>
  <si>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</si>
  <si>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</si>
  <si>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</si>
  <si>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</si>
  <si>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</si>
  <si>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</si>
  <si>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</si>
  <si>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</si>
  <si>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</si>
  <si>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</si>
  <si>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</si>
  <si>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</si>
  <si>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</si>
  <si>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</si>
  <si>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</si>
  <si>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</si>
  <si>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</si>
  <si>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</si>
  <si>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</si>
  <si>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</si>
  <si>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</si>
  <si>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</si>
  <si>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</si>
  <si>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</si>
  <si>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</si>
  <si>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</si>
  <si>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</si>
  <si>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</si>
  <si>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</si>
  <si>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</si>
  <si>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</si>
  <si>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</si>
  <si>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</si>
  <si>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</si>
  <si>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</si>
  <si>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</si>
  <si>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</si>
  <si>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</si>
  <si>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</si>
  <si>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</si>
  <si>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</si>
  <si>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</si>
  <si>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</si>
  <si>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</si>
  <si>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</si>
  <si>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</si>
  <si>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</si>
  <si>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</si>
  <si>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</si>
  <si>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</si>
  <si>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</si>
  <si>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</si>
  <si>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</si>
  <si>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</si>
  <si>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</si>
  <si>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</si>
  <si>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</si>
  <si>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</si>
  <si>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</si>
  <si>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</si>
  <si>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</si>
  <si>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</si>
  <si>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</si>
  <si>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</si>
  <si>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</si>
  <si>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</si>
  <si>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</si>
  <si>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</si>
  <si>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</si>
  <si>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</si>
  <si>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</si>
  <si>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</si>
  <si>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</si>
  <si>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</si>
  <si>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</si>
  <si>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</si>
  <si>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</si>
  <si>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</si>
  <si>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</si>
  <si>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</si>
  <si>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</si>
  <si>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</si>
  <si>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</si>
  <si>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</si>
  <si>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</si>
  <si>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</si>
  <si>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</si>
  <si>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</si>
  <si>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</si>
  <si>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</si>
  <si>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</si>
  <si>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</si>
  <si>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</si>
  <si>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</si>
  <si>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</si>
  <si>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</si>
  <si>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</si>
  <si>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</si>
  <si>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</si>
  <si>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</si>
  <si>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</si>
  <si>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</si>
  <si>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</si>
  <si>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</si>
  <si>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</si>
  <si>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</si>
  <si>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</si>
  <si>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</si>
  <si>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</si>
  <si>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</si>
  <si>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</si>
  <si>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</si>
  <si>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</si>
  <si>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</si>
  <si>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</si>
  <si>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</si>
  <si>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</si>
  <si>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</si>
  <si>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</si>
  <si>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</si>
  <si>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</si>
  <si>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</si>
  <si>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</si>
  <si>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</si>
  <si>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</si>
  <si>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</si>
  <si>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</si>
  <si>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</si>
  <si>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</si>
  <si>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</si>
  <si>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</si>
  <si>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</si>
  <si>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</si>
  <si>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</si>
  <si>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</si>
  <si>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</si>
  <si>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</si>
  <si>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</si>
  <si>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</si>
  <si>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</si>
  <si>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</si>
  <si>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</si>
  <si>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</si>
  <si>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</si>
  <si>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</si>
  <si>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</si>
  <si>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</si>
  <si>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</si>
  <si>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</si>
  <si>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</si>
  <si>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</si>
  <si>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</si>
  <si>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</si>
  <si>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</si>
  <si>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</si>
  <si>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</si>
  <si>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</si>
  <si>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</si>
  <si>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</si>
  <si>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</si>
  <si>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</si>
  <si>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</si>
  <si>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CNY</t>
  </si>
  <si>
    <t>家居清潔产品生产商</t>
  </si>
  <si>
    <t>CN</t>
  </si>
  <si>
    <t>Consumer Discretionary, 12.4y</t>
  </si>
  <si>
    <t>Current Industry average PB is 1.01, while 5yrs average is 1.38</t>
  </si>
  <si>
    <t>No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</si>
  <si>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</si>
  <si>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</si>
  <si>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</si>
  <si>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</si>
  <si>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</si>
  <si>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</si>
  <si>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</si>
  <si>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</si>
  <si>
    <t>1. 家居清潔業務竞争剧烈，产能过剩价格战频发
2. 家居清潔業務高端化难度很大，进口产品竞争力强
3. 不是港股通的一员，交易量小</t>
  </si>
  <si>
    <t>1. 宠物护理市场广阔，是可持续增长的业务
2. 公司很多现金，可经济不好时通过M&amp;A快速做大宠物业务</t>
  </si>
  <si>
    <t>1. 可依托母公司立白的支持
2. 通过IPO积累大量现金，Strong Balance Sheet with no debt
3. 家居清潔業務市占第一，有一定品牌力</t>
  </si>
  <si>
    <t>朝云集团</t>
  </si>
  <si>
    <t>1. 宠物护理市场竞争大，现在公司优势很小
2. 家族企业，管理层薪水很高
3. M&amp;A的效果可能不好</t>
  </si>
  <si>
    <t>1. Yes. 就业务業務有一定品牌及(生产/研发)规模优势基础，未来经济转暖市场还有发展空间。
2. Yes. 宠物护理基数发展快，毛利高。现在经济差给了它逆势并购的机会
3. Yes. 毛利率差的主因是经济差导致市场竞争加剧</t>
  </si>
  <si>
    <t>1. 家居清潔業務竞争剧烈
2. 宠物护理市场容量及基数都较小，不足以取代家居清潔業務
3. 主要业务毛利率低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</si>
</sst>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C35" sqref="C35:D3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朝云集团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389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407</v>
      </c>
      <c r="D4" s="322"/>
      <c r="E4" s="6"/>
      <c r="G4" s="5" t="s">
        <v>5</v>
      </c>
      <c r="I4" s="221">
        <v>1.56</v>
      </c>
      <c r="J4" s="222" t="s">
        <v>6</v>
      </c>
      <c r="K4" s="92"/>
    </row>
    <row r="5" spans="1:12" ht="15.75" customHeight="1">
      <c r="B5" s="5" t="s">
        <v>7</v>
      </c>
      <c r="C5" s="354">
        <v>44931</v>
      </c>
      <c r="D5" s="322"/>
      <c r="E5" s="79" t="str">
        <f ca="1">IF(C5+30&gt;=TODAY(),"Patience Premium","")</f>
        <v/>
      </c>
      <c r="G5" s="5" t="s">
        <v>8</v>
      </c>
      <c r="I5" s="321">
        <v>1333330048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2079.9948748800002</v>
      </c>
      <c r="J6" s="361"/>
      <c r="K6" s="91"/>
    </row>
    <row r="7" spans="1:12" ht="15.75" customHeight="1">
      <c r="B7" s="86" t="s">
        <v>10</v>
      </c>
      <c r="C7" s="218">
        <f>(Data!C42*Exchange_Rate)/I4</f>
        <v>5.0008415751500022E-2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29.697766752419486</v>
      </c>
      <c r="J9" s="166">
        <f>IF(I9="NNI","NNI",1/I9)</f>
        <v>3.3672565628812129E-2</v>
      </c>
    </row>
    <row r="10" spans="1:12" ht="15.75" customHeight="1">
      <c r="B10" s="3" t="s">
        <v>226</v>
      </c>
      <c r="C10" s="122" t="s">
        <v>392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0.68173519183625375</v>
      </c>
      <c r="J10" s="223">
        <f>I4/(Data!C7*Data!C4/Common_Shares*Exchange_Rate)</f>
        <v>1.332925003074561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390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1.0820139646530151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1.9183317716068327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1.56</v>
      </c>
      <c r="C16" s="347">
        <v>0.2</v>
      </c>
      <c r="D16" s="238">
        <f ca="1">I37/B16-(1+C16)</f>
        <v>0.13991874221020506</v>
      </c>
      <c r="E16" s="341" t="s">
        <v>21</v>
      </c>
      <c r="F16" s="362">
        <f>(Val_Models!G16)*Exchange_Rate</f>
        <v>2.0300702282506133</v>
      </c>
      <c r="G16" s="341" t="s">
        <v>22</v>
      </c>
      <c r="H16" s="239">
        <f>B16-$F$16</f>
        <v>-0.47007022825061329</v>
      </c>
      <c r="I16" s="336">
        <f>0.0447+0.0251</f>
        <v>6.9800000000000001E-2</v>
      </c>
      <c r="J16" s="166">
        <f>I16/B16</f>
        <v>4.4743589743589746E-2</v>
      </c>
    </row>
    <row r="17" spans="1:10" ht="15.75" customHeight="1">
      <c r="B17" s="116">
        <f ca="1">MIN((I37+I38)/2,I37/(1+C16), IF(J20=0,E14,I37/(1+C16)))</f>
        <v>1.7418943648732665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-0.2881758633773468</v>
      </c>
      <c r="I17" s="337"/>
      <c r="J17" s="149">
        <f ca="1">I16/B17</f>
        <v>4.0071316267837158E-2</v>
      </c>
    </row>
    <row r="18" spans="1:10" ht="15.75" customHeight="1">
      <c r="B18" s="129">
        <f>C37</f>
        <v>1.2</v>
      </c>
      <c r="C18" s="349"/>
      <c r="D18" s="237">
        <f ca="1">I37/B18-(1+C16)</f>
        <v>0.54189436487326659</v>
      </c>
      <c r="E18" s="343"/>
      <c r="F18" s="364"/>
      <c r="G18" s="343"/>
      <c r="H18" s="98">
        <f>B18-$F$16</f>
        <v>-0.83007022825061338</v>
      </c>
      <c r="I18" s="338"/>
      <c r="J18" s="158">
        <f>I16/B18</f>
        <v>5.8166666666666672E-2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399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391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406</v>
      </c>
      <c r="D22" s="352"/>
      <c r="E22" s="352"/>
      <c r="F22" s="352"/>
      <c r="G22" s="366" t="s">
        <v>404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405</v>
      </c>
      <c r="D23" s="340"/>
      <c r="E23" s="340"/>
      <c r="F23" s="340"/>
      <c r="G23" s="339" t="s">
        <v>408</v>
      </c>
      <c r="H23" s="339"/>
      <c r="I23" s="340"/>
      <c r="J23" s="340"/>
    </row>
    <row r="24" spans="1:10" ht="52.5" customHeight="1">
      <c r="A24" s="6"/>
      <c r="B24" s="19" t="s">
        <v>291</v>
      </c>
      <c r="C24" s="369" t="s">
        <v>410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 t="s">
        <v>409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44932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0.22500000000000001</v>
      </c>
      <c r="D29" s="329"/>
      <c r="E29" s="334">
        <f>E33/D27</f>
        <v>9.0909090909090912E-2</v>
      </c>
      <c r="F29" s="329"/>
      <c r="G29" s="345">
        <f>G33/D27</f>
        <v>0</v>
      </c>
      <c r="H29" s="345"/>
      <c r="I29" s="344">
        <f>C29+E29+G29</f>
        <v>0.31590909090909092</v>
      </c>
      <c r="J29" s="344"/>
    </row>
    <row r="30" spans="1:10" ht="15.75" customHeight="1">
      <c r="B30" s="18" t="s">
        <v>32</v>
      </c>
      <c r="C30" s="321">
        <v>90000</v>
      </c>
      <c r="D30" s="322"/>
      <c r="E30" s="321">
        <v>50000</v>
      </c>
      <c r="F30" s="322"/>
      <c r="G30" s="321"/>
      <c r="H30" s="321"/>
      <c r="I30" s="350">
        <f>C30+E30+G30</f>
        <v>140000</v>
      </c>
      <c r="J30" s="350"/>
    </row>
    <row r="31" spans="1:10" ht="15.75" customHeight="1">
      <c r="B31" s="18" t="s">
        <v>33</v>
      </c>
      <c r="C31" s="323">
        <v>1.65</v>
      </c>
      <c r="D31" s="322"/>
      <c r="E31" s="323">
        <v>1.2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2199.9945791999999</v>
      </c>
      <c r="D32" s="329"/>
      <c r="E32" s="330">
        <f>E31*$I$5/1000000</f>
        <v>1599.9960575999999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148500</v>
      </c>
      <c r="D33" s="327"/>
      <c r="E33" s="326">
        <f>E30*E31</f>
        <v>60000</v>
      </c>
      <c r="F33" s="327"/>
      <c r="G33" s="326">
        <f>G30*G31</f>
        <v>0</v>
      </c>
      <c r="H33" s="326"/>
      <c r="I33" s="326">
        <f>C33+E33+G33</f>
        <v>208500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1.4892857142857143</v>
      </c>
      <c r="F34" s="329"/>
      <c r="G34" s="78"/>
      <c r="H34" s="78"/>
      <c r="I34" s="328">
        <f>IF(I33=0,"",I33/I30)</f>
        <v>1.4892857142857143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1985.7093929142857</v>
      </c>
      <c r="F35" s="325"/>
      <c r="G35" s="230"/>
      <c r="H35" s="230"/>
      <c r="I35" s="324">
        <f>IF(I34="","",I34*$I$5/1000000)</f>
        <v>1985.7093929142857</v>
      </c>
      <c r="J35" s="324"/>
    </row>
    <row r="36" spans="2:11" ht="15.75" customHeight="1"/>
    <row r="37" spans="2:11" ht="15.75" customHeight="1">
      <c r="B37" s="87" t="s">
        <v>255</v>
      </c>
      <c r="C37" s="374">
        <f>E31</f>
        <v>1.2</v>
      </c>
      <c r="D37" s="375"/>
      <c r="E37" s="79" t="str">
        <f ca="1">IF(C37&gt;B17,"Caution! &gt; Breakeven price!","")</f>
        <v/>
      </c>
      <c r="F37" s="6"/>
      <c r="G37" s="371" t="s">
        <v>314</v>
      </c>
      <c r="H37" s="371"/>
      <c r="I37" s="372">
        <f ca="1">Val_Models!C46</f>
        <v>2.0902732378479199</v>
      </c>
      <c r="J37" s="373"/>
    </row>
    <row r="38" spans="2:11" ht="15.75" customHeight="1">
      <c r="B38" s="87" t="s">
        <v>280</v>
      </c>
      <c r="C38" s="374">
        <f>E34</f>
        <v>1.4892857142857143</v>
      </c>
      <c r="D38" s="375"/>
      <c r="E38" s="6"/>
      <c r="F38" s="6"/>
      <c r="G38" s="371" t="s">
        <v>279</v>
      </c>
      <c r="H38" s="371"/>
      <c r="I38" s="372">
        <f ca="1">Val_Models!C47</f>
        <v>1.5346654172854661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0.26683226536237581</v>
      </c>
      <c r="F47" s="171">
        <f ca="1">I37/C38-1</f>
        <v>0.40354078320723641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-6.9899747099717469E-2</v>
      </c>
      <c r="F48" s="171">
        <f ca="1">Val_Models!C47/C38-1</f>
        <v>3.047078378880208E-2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0.67533201766638284</v>
      </c>
      <c r="F50" s="171">
        <f ca="1">IF(F47&lt;=0,0,AVERAGE(F41:F44,0.5*(1+F47+F48-C16)))</f>
        <v>0.6990399225397208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3.8173566634185194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1.8738363567875385</v>
      </c>
      <c r="F52" s="232">
        <f ca="1">MAX(C16*2.5/F47,1)+IF(F47&lt;C16,100,0)+IF(D18&lt;0,100,0)+IF(J20=1,2/(1+F47+F48-C16),0)</f>
        <v>1.2390321395179218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0.31501232457833916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386</v>
      </c>
    </row>
    <row r="65" spans="2:2" ht="15.75" customHeight="1">
      <c r="B65" s="3" t="s">
        <v>388</v>
      </c>
    </row>
    <row r="66" spans="2:2" ht="15.75" customHeight="1">
      <c r="B66" s="3" t="s">
        <v>387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402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395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E10" sqref="E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2.4045041540541372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1.8352588293764873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4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 ht="14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4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380</v>
      </c>
      <c r="G23" s="6"/>
      <c r="H23" s="6"/>
      <c r="I23" s="6"/>
    </row>
    <row r="24" spans="2:10" ht="15" customHeight="1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4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-761770.12511999998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396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>
      <c r="B5" s="118" t="s">
        <v>397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>
      <c r="B6" s="118" t="s">
        <v>398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400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>
      <c r="B23" s="14" t="s">
        <v>401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350</v>
      </c>
      <c r="J76" s="296"/>
      <c r="K76" s="296"/>
      <c r="L76" s="296"/>
      <c r="M76" s="296"/>
    </row>
    <row r="78" spans="2:13" ht="13">
      <c r="B78" s="297" t="s">
        <v>355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353</v>
      </c>
      <c r="J80" s="295"/>
      <c r="K80" s="295"/>
      <c r="L80" s="295"/>
      <c r="M80" s="295"/>
    </row>
    <row r="81" spans="2:13">
      <c r="B81" s="292" t="s">
        <v>354</v>
      </c>
      <c r="J81" s="295"/>
      <c r="K81" s="295"/>
      <c r="L81" s="295"/>
      <c r="M81" s="295"/>
    </row>
    <row r="82" spans="2:13">
      <c r="B82" s="292" t="s">
        <v>352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15" sqref="D1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</f>
        <v>1.785569187142477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</f>
        <v>0.1352896833537798</v>
      </c>
      <c r="E16" s="52" t="s">
        <v>274</v>
      </c>
      <c r="G16" s="264">
        <f>(G15+MIN(D4,0))*Data!C$4/Dashboard!I5</f>
        <v>1.876195959172879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</f>
        <v>-1.1958029464584602E-2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</f>
        <v>-4.952262202374067E-3</v>
      </c>
      <c r="E18" s="342"/>
      <c r="F18" s="89">
        <f>D15+(MIN(D4,0)*Data!C$4/Dashboard!I5)</f>
        <v>1.757816567486058</v>
      </c>
      <c r="G18" s="88">
        <f>SUM(D16:D18)</f>
        <v>0.11837939168682114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1.8381725211091633</v>
      </c>
      <c r="G22" s="271">
        <f>F22*Exchange_Rate</f>
        <v>1.9889283372815538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1.8381725211091633</v>
      </c>
      <c r="G23" s="272">
        <f>F23*Exchange_Rate</f>
        <v>1.9889283372815538</v>
      </c>
      <c r="I23" s="43"/>
    </row>
    <row r="24" spans="1:9" ht="15.5" customHeight="1">
      <c r="C24" s="6"/>
      <c r="D24" s="6"/>
      <c r="E24" s="391" t="s">
        <v>330</v>
      </c>
      <c r="F24" s="392"/>
      <c r="G24" s="143">
        <f>MIN(G22,G23)+ABS(G22-G23)*Qualitative_Analysis!$E$64</f>
        <v>1.9889283372815538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>
      <c r="B35" s="141" t="s">
        <v>304</v>
      </c>
      <c r="C35" s="273">
        <f>Dashboard!C31</f>
        <v>1.65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0.13200000000000001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-0.17056154938962195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-0.17832386871004619</v>
      </c>
      <c r="I39" s="43"/>
    </row>
    <row r="40" spans="1:9" ht="15.75" customHeight="1">
      <c r="B40" s="20" t="s">
        <v>328</v>
      </c>
      <c r="C40" s="6"/>
      <c r="D40" s="6"/>
      <c r="E40" s="393" t="s">
        <v>319</v>
      </c>
      <c r="F40" s="371"/>
      <c r="G40" s="280">
        <f>Asset_Model!D7</f>
        <v>1.8352588293764873</v>
      </c>
    </row>
    <row r="41" spans="1:9" ht="15.75" customHeight="1">
      <c r="C41" s="6"/>
      <c r="D41" s="6"/>
      <c r="E41" s="391" t="s">
        <v>305</v>
      </c>
      <c r="F41" s="391"/>
      <c r="G41" s="281">
        <f ca="1">MAX((G40+SUM(D39:G39))*Exchange_Rate,0)</f>
        <v>1.7928267659628838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1.9183317716068327</v>
      </c>
      <c r="D44" s="262" t="str">
        <f>Dashboard!J4</f>
        <v>HKD</v>
      </c>
      <c r="E44" s="263">
        <f ca="1">(C44-G16)/C9</f>
        <v>7.0267902586013546</v>
      </c>
      <c r="F44" s="263">
        <f ca="1">C44/(Data!C29*Exchange_Rate*Data!C4/Common_Shares)</f>
        <v>0.83832966559100297</v>
      </c>
      <c r="G44" s="263">
        <f ca="1">C44/(Data!C7*Data!C4*Exchange_Rate/Common_Shares)</f>
        <v>1.6390976811327342</v>
      </c>
      <c r="I44" s="43"/>
    </row>
    <row r="45" spans="1:9" ht="15.75" customHeight="1">
      <c r="B45" s="6" t="s">
        <v>312</v>
      </c>
      <c r="C45" s="255">
        <f>Asset_Model!I3*Exchange_Rate*Data!C4/Common_Shares*0.96</f>
        <v>2.3083239878919715</v>
      </c>
      <c r="D45" s="256" t="str">
        <f>D44</f>
        <v>HKD</v>
      </c>
      <c r="E45" s="223">
        <f>(C45-G16)/C9</f>
        <v>72.06394862876995</v>
      </c>
      <c r="F45" s="223">
        <f>C45/(Asset_Model!I3*Exchange_Rate*Data!C4/Common_Shares)</f>
        <v>0.95999999999999985</v>
      </c>
      <c r="G45" s="223">
        <f>C45/(Data!C7*Data!C4*Exchange_Rate/Common_Shares)</f>
        <v>1.9723222811910186</v>
      </c>
      <c r="I45" s="43" t="s">
        <v>394</v>
      </c>
    </row>
    <row r="46" spans="1:9" ht="15.75" customHeight="1">
      <c r="B46" s="257" t="s">
        <v>313</v>
      </c>
      <c r="C46" s="258">
        <f ca="1">MIN(C45,C44)+ABS(C45-C44)*Qualitative_Analysis!E64</f>
        <v>2.0902732378479199</v>
      </c>
      <c r="D46" s="256" t="str">
        <f>D45</f>
        <v>HKD</v>
      </c>
      <c r="E46" s="223">
        <f ca="1">(C46-G16)/C9</f>
        <v>35.700655795816473</v>
      </c>
      <c r="F46" s="223">
        <f ca="1">C46/(Asset_Model!I3*Exchange_Rate*Data!C4/Common_Shares)</f>
        <v>0.86931571081862957</v>
      </c>
      <c r="G46" s="223">
        <f ca="1">C46/(Data!C7*Data!C4*Exchange_Rate/Common_Shares)</f>
        <v>1.7860111935801994</v>
      </c>
    </row>
    <row r="47" spans="1:9" ht="15.75" customHeight="1">
      <c r="B47" s="84" t="s">
        <v>279</v>
      </c>
      <c r="C47" s="259">
        <f ca="1">MAX(G41,C44)/(1+Dashboard!I14)</f>
        <v>1.5346654172854661</v>
      </c>
      <c r="D47" s="260" t="str">
        <f>D45</f>
        <v>HKD</v>
      </c>
      <c r="E47" s="224">
        <f ca="1">(C47-G16)/C9</f>
        <v>-56.95543401497266</v>
      </c>
      <c r="F47" s="224">
        <f ca="1">C47/(Asset_Model!I3*Exchange_Rate*Data!C4/Common_Shares)</f>
        <v>0.63824610770496226</v>
      </c>
      <c r="G47" s="224">
        <f ca="1">C47/(Data!C7*Data!C4*Exchange_Rate/Common_Shares)</f>
        <v>1.3112781449061874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393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2023-09-11T02:00:14Z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