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611136D8-8C37-49E8-A81C-2BAD473AF8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iterate="1" concurrentCalc="0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F25" i="4"/>
  <c r="G25" i="4"/>
  <c r="C30" i="4"/>
  <c r="G26" i="4"/>
  <c r="E30" i="4"/>
  <c r="F14" i="1"/>
  <c r="I35" i="1"/>
  <c r="F45" i="1"/>
  <c r="F42" i="1"/>
  <c r="D49" i="1"/>
  <c r="C50" i="1"/>
  <c r="E42" i="1"/>
  <c r="F48" i="1"/>
  <c r="D14" i="1"/>
  <c r="F46" i="1"/>
  <c r="F49" i="1"/>
  <c r="E50" i="1"/>
  <c r="B50" i="1"/>
  <c r="D9" i="4"/>
  <c r="E9" i="4"/>
  <c r="E15" i="4"/>
  <c r="F9" i="4"/>
  <c r="F15" i="4"/>
  <c r="G9" i="4"/>
  <c r="E25" i="4"/>
  <c r="I10" i="1"/>
  <c r="E50" i="3"/>
  <c r="C21" i="4"/>
  <c r="G18" i="4"/>
  <c r="G19" i="4"/>
  <c r="D6" i="3"/>
  <c r="D7" i="3"/>
  <c r="F29" i="4"/>
  <c r="E26" i="4"/>
  <c r="F43" i="1"/>
  <c r="F39" i="1"/>
  <c r="F40" i="1"/>
  <c r="F41" i="1"/>
  <c r="C33" i="4"/>
  <c r="H14" i="1"/>
  <c r="B17" i="1"/>
  <c r="C35" i="1"/>
  <c r="B18" i="1"/>
  <c r="D18" i="1"/>
  <c r="D17" i="1"/>
  <c r="B16" i="1"/>
  <c r="D16" i="1"/>
  <c r="G12" i="4"/>
  <c r="G34" i="4"/>
  <c r="I3" i="7"/>
  <c r="F3" i="4"/>
  <c r="G3" i="7"/>
  <c r="E3" i="4"/>
  <c r="G4" i="4"/>
  <c r="C34" i="4"/>
  <c r="D18" i="4"/>
  <c r="F21" i="4"/>
  <c r="D4" i="4"/>
  <c r="C18" i="4"/>
  <c r="C19" i="4"/>
  <c r="C20" i="4"/>
  <c r="F4" i="4"/>
  <c r="E4" i="4"/>
  <c r="D7" i="4"/>
  <c r="D8" i="4"/>
  <c r="G8" i="4"/>
  <c r="E27" i="4"/>
  <c r="E4" i="7"/>
  <c r="E8" i="7"/>
  <c r="E10" i="7"/>
  <c r="E12" i="7"/>
  <c r="E17" i="7"/>
  <c r="E20" i="7"/>
  <c r="G20" i="7"/>
  <c r="E8" i="4"/>
  <c r="I20" i="7"/>
  <c r="F8" i="4"/>
  <c r="C15" i="4"/>
  <c r="G13" i="4"/>
  <c r="G14" i="4"/>
  <c r="F5" i="7"/>
  <c r="F6" i="7"/>
  <c r="F7" i="7"/>
  <c r="F4" i="7"/>
  <c r="E5" i="7"/>
  <c r="E7" i="7"/>
  <c r="E6" i="7"/>
  <c r="E14" i="7"/>
  <c r="C14" i="7"/>
  <c r="E11" i="7"/>
  <c r="C8" i="7"/>
  <c r="D5" i="7"/>
  <c r="D65" i="3"/>
  <c r="C36" i="3"/>
  <c r="C17" i="3"/>
  <c r="D7" i="7"/>
  <c r="D4" i="7"/>
  <c r="D6" i="7"/>
  <c r="E6" i="1"/>
  <c r="C3" i="7"/>
  <c r="E26" i="1"/>
  <c r="C3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I17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4" i="3"/>
  <c r="D6" i="1"/>
  <c r="C29" i="4"/>
  <c r="C3" i="4"/>
  <c r="E3" i="7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1" i="7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8" i="7"/>
  <c r="E19" i="7"/>
  <c r="G10" i="7"/>
  <c r="D52" i="3"/>
  <c r="D20" i="4"/>
  <c r="I53" i="3"/>
  <c r="C44" i="3"/>
  <c r="C25" i="3"/>
  <c r="I7" i="3"/>
  <c r="E16" i="7"/>
  <c r="G12" i="7"/>
  <c r="G17" i="7"/>
  <c r="I16" i="7"/>
  <c r="B24" i="4"/>
  <c r="G2" i="4"/>
  <c r="E15" i="7"/>
  <c r="C45" i="3"/>
  <c r="E12" i="3"/>
  <c r="G16" i="7"/>
  <c r="G18" i="7"/>
  <c r="I18" i="7"/>
  <c r="I19" i="7"/>
  <c r="G15" i="7"/>
  <c r="D10" i="4"/>
  <c r="D5" i="4"/>
  <c r="D53" i="5"/>
  <c r="E35" i="3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E58" i="3"/>
  <c r="D58" i="3"/>
  <c r="D36" i="5"/>
  <c r="E33" i="2"/>
  <c r="E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J44" i="3"/>
  <c r="E6" i="5"/>
  <c r="D50" i="3"/>
  <c r="J26" i="3"/>
  <c r="D18" i="5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27" i="4"/>
  <c r="G15" i="4"/>
  <c r="F34" i="4"/>
  <c r="E34" i="4"/>
  <c r="C11" i="1"/>
  <c r="D12" i="5"/>
  <c r="E64" i="5"/>
  <c r="D5" i="5"/>
  <c r="D64" i="5"/>
  <c r="E7" i="5"/>
  <c r="D7" i="5"/>
  <c r="D8" i="5"/>
  <c r="E8" i="5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<sst xmlns="http://schemas.openxmlformats.org/spreadsheetml/2006/main" count="418" uniqueCount="354">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</sst>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4" fontId="1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27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C29" sqref="C29:D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9" t="s">
        <v>336</v>
      </c>
      <c r="D3" s="400"/>
      <c r="E3" s="15"/>
      <c r="G3" s="7" t="s">
        <v>2</v>
      </c>
      <c r="I3" s="409" t="s">
        <v>3</v>
      </c>
      <c r="J3" s="410"/>
    </row>
    <row r="4" spans="1:12" ht="15.75" customHeight="1" x14ac:dyDescent="0.3">
      <c r="B4" s="5" t="s">
        <v>4</v>
      </c>
      <c r="C4" s="401" t="s">
        <v>337</v>
      </c>
      <c r="D4" s="402"/>
      <c r="E4" s="6"/>
      <c r="G4" s="5" t="s">
        <v>5</v>
      </c>
      <c r="I4" s="32">
        <v>1.52</v>
      </c>
      <c r="J4" s="33" t="s">
        <v>6</v>
      </c>
      <c r="K4" s="152"/>
    </row>
    <row r="5" spans="1:12" ht="15.75" customHeight="1" x14ac:dyDescent="0.3">
      <c r="B5" s="5" t="s">
        <v>7</v>
      </c>
      <c r="C5" s="403">
        <v>44931</v>
      </c>
      <c r="D5" s="402"/>
      <c r="E5" s="122" t="str">
        <f ca="1">IF(C5+30&gt;=TODAY(),"Patience Premium","")</f>
        <v/>
      </c>
      <c r="G5" s="5" t="s">
        <v>8</v>
      </c>
      <c r="I5" s="411">
        <v>1333330500</v>
      </c>
      <c r="J5" s="412"/>
      <c r="K5" s="151"/>
      <c r="L5" s="85"/>
    </row>
    <row r="6" spans="1:12" ht="15.75" customHeight="1" x14ac:dyDescent="0.3">
      <c r="B6" s="12" t="s">
        <v>250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3">
        <f>I4*I5/1000000</f>
        <v>2026.66236</v>
      </c>
      <c r="J6" s="414"/>
      <c r="K6" s="151"/>
    </row>
    <row r="7" spans="1:12" ht="15.75" customHeight="1" x14ac:dyDescent="0.3">
      <c r="B7" s="139" t="s">
        <v>10</v>
      </c>
      <c r="C7" s="145">
        <f>(Data!C39*Exchange_Rate)/I4</f>
        <v>3.3115044209625612E-2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19.237202686547526</v>
      </c>
      <c r="J9" s="48">
        <f>IF(I9="NNI","NNI",1/I9)</f>
        <v>5.1982609753303412E-2</v>
      </c>
    </row>
    <row r="10" spans="1:12" ht="15.75" customHeight="1" x14ac:dyDescent="0.3">
      <c r="B10" s="3" t="s">
        <v>267</v>
      </c>
      <c r="C10" s="299" t="s">
        <v>268</v>
      </c>
      <c r="D10" s="299">
        <v>2.8999999999999998E-2</v>
      </c>
      <c r="E10" s="5"/>
      <c r="G10" s="5" t="s">
        <v>14</v>
      </c>
      <c r="I10" s="138">
        <f>I4/(Data!C28*I12*Data!C4/Common_Shares)</f>
        <v>0.64769431597235261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269</v>
      </c>
      <c r="C11" s="423">
        <f ca="1">C12-D10</f>
        <v>5.1000000000000004E-2</v>
      </c>
      <c r="D11" s="424"/>
      <c r="E11" s="13"/>
      <c r="G11" s="5" t="s">
        <v>15</v>
      </c>
      <c r="H11" s="6"/>
      <c r="I11" s="421" t="s">
        <v>338</v>
      </c>
      <c r="J11" s="422"/>
    </row>
    <row r="12" spans="1:12" ht="15.75" customHeight="1" thickTop="1" x14ac:dyDescent="0.3">
      <c r="B12" s="313" t="s">
        <v>145</v>
      </c>
      <c r="C12" s="377">
        <f ca="1">IF(C10="CN",8%,6%)*IF($C$5+30&gt;=TODAY(),1.2,1)</f>
        <v>0.08</v>
      </c>
      <c r="D12" s="378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1.799970205559946</v>
      </c>
      <c r="E14" s="127" t="s">
        <v>229</v>
      </c>
      <c r="F14" s="184">
        <f ca="1">MAX('FCFF Model'!C30,'FCFF Model'!E30)</f>
        <v>2.0402161228044116</v>
      </c>
      <c r="G14" s="185" t="s">
        <v>24</v>
      </c>
      <c r="H14" s="193">
        <f ca="1">IF('FCFF Model'!C33&lt;0, "Error", 'FCFF Model'!C33)</f>
        <v>1.9102953800061204</v>
      </c>
      <c r="I14" s="133"/>
      <c r="J14" s="133"/>
    </row>
    <row r="15" spans="1:12" ht="15.75" customHeight="1" x14ac:dyDescent="0.3">
      <c r="A15" s="6"/>
      <c r="B15" s="96"/>
      <c r="C15" s="238" t="s">
        <v>244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1.52</v>
      </c>
      <c r="C16" s="387">
        <v>0.1</v>
      </c>
      <c r="D16" s="159">
        <f ca="1">IF(B17='FCFF Model'!F29,"Net Asset", H14/B16-1-C16)</f>
        <v>0.15677327631981605</v>
      </c>
      <c r="E16" s="382">
        <f>'FCFF Model'!D11*Exchange_Rate</f>
        <v>0</v>
      </c>
      <c r="F16" s="161">
        <f>E16/B16</f>
        <v>0</v>
      </c>
      <c r="G16" s="390" t="s">
        <v>25</v>
      </c>
      <c r="H16" s="415">
        <f>('FCFF Model'!G19)*Exchange_Rate</f>
        <v>2.0402161228044116</v>
      </c>
      <c r="I16" s="390" t="s">
        <v>26</v>
      </c>
      <c r="J16" s="206">
        <f>B16-$H$16</f>
        <v>-0.52021612280441154</v>
      </c>
    </row>
    <row r="17" spans="1:10" ht="15.75" customHeight="1" x14ac:dyDescent="0.3">
      <c r="B17" s="289">
        <f ca="1">MAX(H14/(1+C16),'FCFF Model'!F29)</f>
        <v>1.7366321636419275</v>
      </c>
      <c r="C17" s="388"/>
      <c r="D17" s="288">
        <f ca="1">IF(B17='FCFF Model'!F29,"Net Asset",H14/B17-1-C16)</f>
        <v>8.3266726846886741E-17</v>
      </c>
      <c r="E17" s="383"/>
      <c r="F17" s="162">
        <f ca="1">E16/B17</f>
        <v>0</v>
      </c>
      <c r="G17" s="391"/>
      <c r="H17" s="416"/>
      <c r="I17" s="391"/>
      <c r="J17" s="205">
        <f ca="1">B17-$H$16</f>
        <v>-0.30358395916248404</v>
      </c>
    </row>
    <row r="18" spans="1:10" ht="15.75" customHeight="1" x14ac:dyDescent="0.3">
      <c r="B18" s="355">
        <f>C35</f>
        <v>1.62</v>
      </c>
      <c r="C18" s="389"/>
      <c r="D18" s="160">
        <f ca="1">IF(B17='FCFF Model'!F29,"NA: "&amp;ROUND('FCFF Model'!F29/B18-1,2)*100&amp;"%", H14/B18-1-C16)</f>
        <v>7.919467901612362E-2</v>
      </c>
      <c r="E18" s="384"/>
      <c r="F18" s="163">
        <f>E16/B18</f>
        <v>0</v>
      </c>
      <c r="G18" s="392"/>
      <c r="H18" s="417"/>
      <c r="I18" s="392"/>
      <c r="J18" s="207">
        <f>B18-$H$16</f>
        <v>-0.42021612280441145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248</v>
      </c>
      <c r="D20" s="290" t="s">
        <v>340</v>
      </c>
      <c r="E20" s="266" t="s">
        <v>258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6" t="s">
        <v>339</v>
      </c>
      <c r="D21" s="407"/>
      <c r="E21" s="407"/>
      <c r="F21" s="407"/>
      <c r="G21" s="407"/>
      <c r="H21" s="407"/>
      <c r="I21" s="407"/>
      <c r="J21" s="408"/>
    </row>
    <row r="22" spans="1:10" ht="52.5" customHeight="1" x14ac:dyDescent="0.3">
      <c r="A22" s="6"/>
      <c r="B22" s="24" t="s">
        <v>29</v>
      </c>
      <c r="C22" s="419" t="s">
        <v>341</v>
      </c>
      <c r="D22" s="420"/>
      <c r="E22" s="420"/>
      <c r="F22" s="420"/>
      <c r="G22" s="419" t="s">
        <v>342</v>
      </c>
      <c r="H22" s="419"/>
      <c r="I22" s="420"/>
      <c r="J22" s="420"/>
    </row>
    <row r="23" spans="1:10" ht="52.5" customHeight="1" x14ac:dyDescent="0.3">
      <c r="A23" s="6"/>
      <c r="B23" s="25" t="s">
        <v>30</v>
      </c>
      <c r="C23" s="385" t="s">
        <v>343</v>
      </c>
      <c r="D23" s="386"/>
      <c r="E23" s="386"/>
      <c r="F23" s="386"/>
      <c r="G23" s="385" t="s">
        <v>344</v>
      </c>
      <c r="H23" s="385"/>
      <c r="I23" s="386"/>
      <c r="J23" s="38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309</v>
      </c>
      <c r="G25" s="12"/>
      <c r="H25" s="353">
        <v>0.15</v>
      </c>
      <c r="I25" s="30" t="s">
        <v>310</v>
      </c>
      <c r="J25" s="354">
        <f ca="1">IF(D17="Asset Play", 'FCFF Model'!G19, H14/(H25+C16+1))</f>
        <v>1.5282363040048963</v>
      </c>
    </row>
    <row r="26" spans="1:10" ht="15.75" customHeight="1" x14ac:dyDescent="0.3">
      <c r="B26" s="23" t="s">
        <v>33</v>
      </c>
      <c r="C26" s="404">
        <v>44932</v>
      </c>
      <c r="D26" s="405"/>
      <c r="E26" s="396" t="str">
        <f>IF(C26="","","Action_Planning")</f>
        <v>Action_Planning</v>
      </c>
      <c r="F26" s="397"/>
      <c r="G26" s="397"/>
      <c r="H26" s="398"/>
      <c r="I26" s="418" t="s">
        <v>34</v>
      </c>
      <c r="J26" s="418"/>
    </row>
    <row r="27" spans="1:10" ht="15.75" customHeight="1" x14ac:dyDescent="0.3">
      <c r="B27" s="23" t="s">
        <v>35</v>
      </c>
      <c r="C27" s="381">
        <f>C31/D25</f>
        <v>0.11666666666666667</v>
      </c>
      <c r="D27" s="380"/>
      <c r="E27" s="379">
        <f>E31/D25</f>
        <v>8.1000000000000003E-2</v>
      </c>
      <c r="F27" s="380"/>
      <c r="G27" s="394">
        <f>G31/D25</f>
        <v>0.10533333333333333</v>
      </c>
      <c r="H27" s="395"/>
      <c r="I27" s="393">
        <f>C27+E27+G27</f>
        <v>0.30299999999999999</v>
      </c>
      <c r="J27" s="393"/>
    </row>
    <row r="28" spans="1:10" ht="15.75" customHeight="1" x14ac:dyDescent="0.3">
      <c r="B28" s="23" t="s">
        <v>36</v>
      </c>
      <c r="C28" s="370">
        <v>40000</v>
      </c>
      <c r="D28" s="420"/>
      <c r="E28" s="370">
        <v>30000</v>
      </c>
      <c r="F28" s="420"/>
      <c r="G28" s="411">
        <v>40000</v>
      </c>
      <c r="H28" s="412"/>
      <c r="I28" s="435">
        <f>C28+E28+G28</f>
        <v>110000</v>
      </c>
      <c r="J28" s="435"/>
    </row>
    <row r="29" spans="1:10" ht="15.75" customHeight="1" x14ac:dyDescent="0.3">
      <c r="B29" s="23" t="s">
        <v>37</v>
      </c>
      <c r="C29" s="445">
        <v>1.75</v>
      </c>
      <c r="D29" s="420"/>
      <c r="E29" s="445">
        <v>1.62</v>
      </c>
      <c r="F29" s="420"/>
      <c r="G29" s="425">
        <v>1.58</v>
      </c>
      <c r="H29" s="426"/>
      <c r="I29" s="431"/>
      <c r="J29" s="431"/>
    </row>
    <row r="30" spans="1:10" ht="15.75" customHeight="1" x14ac:dyDescent="0.3">
      <c r="B30" s="23" t="s">
        <v>38</v>
      </c>
      <c r="C30" s="433">
        <f>C29*$I$5/1000000</f>
        <v>2333.3283750000001</v>
      </c>
      <c r="D30" s="440"/>
      <c r="E30" s="433">
        <f>E29*$I$5/1000000</f>
        <v>2159.99541</v>
      </c>
      <c r="F30" s="440"/>
      <c r="G30" s="427">
        <f>G29*$I$5/1000000</f>
        <v>2106.66219</v>
      </c>
      <c r="H30" s="428"/>
      <c r="I30" s="432"/>
      <c r="J30" s="432"/>
    </row>
    <row r="31" spans="1:10" ht="15.75" customHeight="1" x14ac:dyDescent="0.3">
      <c r="B31" s="2" t="s">
        <v>39</v>
      </c>
      <c r="C31" s="441">
        <f>C28*C29</f>
        <v>70000</v>
      </c>
      <c r="D31" s="442"/>
      <c r="E31" s="434">
        <f>E28*E29</f>
        <v>48600</v>
      </c>
      <c r="F31" s="443"/>
      <c r="G31" s="429">
        <f>G28*G29</f>
        <v>63200</v>
      </c>
      <c r="H31" s="430"/>
      <c r="I31" s="434">
        <f>C31+E31+G31</f>
        <v>181800</v>
      </c>
      <c r="J31" s="434"/>
    </row>
    <row r="32" spans="1:10" ht="15.75" customHeight="1" x14ac:dyDescent="0.3">
      <c r="B32" s="1" t="s">
        <v>40</v>
      </c>
      <c r="C32" s="436"/>
      <c r="D32" s="437"/>
      <c r="E32" s="444">
        <f>IF(C31=0,"-",(C31+E31)/(C28+E28))</f>
        <v>1.6942857142857144</v>
      </c>
      <c r="F32" s="380"/>
      <c r="G32" s="117"/>
      <c r="H32" s="117"/>
      <c r="I32" s="444">
        <f>IF(I31=0,"",I31/I28)</f>
        <v>1.6527272727272728</v>
      </c>
      <c r="J32" s="444"/>
    </row>
    <row r="33" spans="2:11" ht="15.75" customHeight="1" x14ac:dyDescent="0.3">
      <c r="B33" s="1" t="s">
        <v>41</v>
      </c>
      <c r="C33" s="438"/>
      <c r="D33" s="439"/>
      <c r="E33" s="433">
        <f>IF(E32="-","-",E32*$I$5/1000000)</f>
        <v>2259.0428185714286</v>
      </c>
      <c r="F33" s="440"/>
      <c r="G33" s="118"/>
      <c r="H33" s="118"/>
      <c r="I33" s="433">
        <f>IF(I32="","",I32*$I$5/1000000)</f>
        <v>2203.6316809090908</v>
      </c>
      <c r="J33" s="433"/>
    </row>
    <row r="34" spans="2:11" ht="15.75" customHeight="1" x14ac:dyDescent="0.3"/>
    <row r="35" spans="2:11" ht="15.75" customHeight="1" x14ac:dyDescent="0.3">
      <c r="B35" s="146" t="s">
        <v>311</v>
      </c>
      <c r="C35" s="368">
        <f>E29</f>
        <v>1.62</v>
      </c>
      <c r="D35" s="369"/>
      <c r="G35" s="372" t="s">
        <v>313</v>
      </c>
      <c r="H35" s="373"/>
      <c r="I35" s="368">
        <f ca="1">F14</f>
        <v>2.0402161228044116</v>
      </c>
      <c r="J35" s="369"/>
    </row>
    <row r="36" spans="2:11" ht="15.75" customHeight="1" x14ac:dyDescent="0.3">
      <c r="B36" s="146" t="s">
        <v>312</v>
      </c>
      <c r="C36" s="370">
        <f>E28</f>
        <v>30000</v>
      </c>
      <c r="D36" s="371"/>
      <c r="G36" s="374" t="s">
        <v>323</v>
      </c>
      <c r="H36" s="374"/>
      <c r="I36" s="375">
        <f ca="1">IF(C26="",0,I35/C29-1)</f>
        <v>0.16583778445966368</v>
      </c>
      <c r="J36" s="376"/>
    </row>
    <row r="37" spans="2:11" ht="15.75" customHeight="1" x14ac:dyDescent="0.3"/>
    <row r="38" spans="2:11" ht="15.75" customHeight="1" x14ac:dyDescent="0.3">
      <c r="B38" s="21" t="s">
        <v>324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327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333</v>
      </c>
      <c r="E41" s="358"/>
      <c r="F41" s="361">
        <f>'Qualitative Analysis'!E64</f>
        <v>0.45921768707482991</v>
      </c>
      <c r="G41" s="364" t="s">
        <v>325</v>
      </c>
      <c r="H41" s="116"/>
      <c r="I41" s="116"/>
      <c r="J41" s="116"/>
    </row>
    <row r="42" spans="2:11" ht="15.75" customHeight="1" x14ac:dyDescent="0.3">
      <c r="B42" s="3" t="s">
        <v>353</v>
      </c>
      <c r="E42" s="358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328</v>
      </c>
      <c r="H42" s="74"/>
      <c r="I42" s="74"/>
      <c r="J42" s="74"/>
    </row>
    <row r="43" spans="2:11" ht="15.75" customHeight="1" x14ac:dyDescent="0.3">
      <c r="B43" s="3" t="s">
        <v>335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329</v>
      </c>
      <c r="F45" s="365">
        <f ca="1">I35/C29-1</f>
        <v>0.16583778445966368</v>
      </c>
    </row>
    <row r="46" spans="2:11" ht="15.75" customHeight="1" x14ac:dyDescent="0.3">
      <c r="B46" s="3" t="s">
        <v>330</v>
      </c>
      <c r="F46" s="365">
        <f ca="1">D14/C29-1</f>
        <v>2.8554403177112109E-2</v>
      </c>
    </row>
    <row r="47" spans="2:11" ht="15.75" customHeight="1" x14ac:dyDescent="0.3"/>
    <row r="48" spans="2:11" ht="15.75" customHeight="1" x14ac:dyDescent="0.3">
      <c r="B48" s="3" t="s">
        <v>332</v>
      </c>
      <c r="F48" s="214">
        <f ca="1">IF(F45&lt;=0,0,AVERAGE(F39:F41,1-F43,E42))</f>
        <v>0.54784353741496594</v>
      </c>
      <c r="G48" s="74"/>
    </row>
    <row r="49" spans="2:8" ht="15.75" customHeight="1" x14ac:dyDescent="0.3">
      <c r="B49" s="3" t="s">
        <v>331</v>
      </c>
      <c r="D49" s="462">
        <f ca="1">IF(OR(F42="Strongly Agree",F42="Agree"),2,4)</f>
        <v>4</v>
      </c>
      <c r="E49" s="363">
        <f ca="1">F45/ABS(F46)</f>
        <v>5.8077832490854373</v>
      </c>
      <c r="F49" s="360">
        <f ca="1">IF(F46&gt;=0,100,F45/ABS(F46))</f>
        <v>100</v>
      </c>
      <c r="G49" s="74"/>
    </row>
    <row r="50" spans="2:8" ht="15.75" customHeight="1" x14ac:dyDescent="0.3">
      <c r="B50" s="463" t="str">
        <f ca="1">IF(D49=4,"⇒ Quarter Kelly %", "⇒ Half Kelly %")</f>
        <v>⇒ Quarter Kelly %</v>
      </c>
      <c r="C50" s="85" t="str">
        <f ca="1">" [W – (1 – W)/R] /"&amp;D49</f>
        <v xml:space="preserve"> [W – (1 – W)/R] /4</v>
      </c>
      <c r="E50" s="107">
        <f ca="1">MAX(F48-ABS((1-F48)/F49),0)/D49</f>
        <v>0.13583049319727891</v>
      </c>
      <c r="F50" s="359">
        <f ca="1">MIN(E50,H50)</f>
        <v>0.13583049319727891</v>
      </c>
      <c r="G50" s="362" t="s">
        <v>334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251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266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252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247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290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291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253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254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314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315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316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249</v>
      </c>
      <c r="C9" s="255"/>
      <c r="D9" s="271">
        <v>44926</v>
      </c>
      <c r="E9" s="290" t="s">
        <v>345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236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237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237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237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317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321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236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237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238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237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237</v>
      </c>
      <c r="G35" s="94">
        <f>IF(F35="Y",0,1)</f>
        <v>0</v>
      </c>
    </row>
    <row r="36" spans="2:10" ht="15" customHeight="1" x14ac:dyDescent="0.3">
      <c r="B36" s="5" t="s">
        <v>295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296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318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322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319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260</v>
      </c>
      <c r="C52" s="5"/>
      <c r="D52" s="446">
        <f>D53+D54+D55</f>
        <v>16614</v>
      </c>
      <c r="E52" s="447"/>
      <c r="F52" s="53"/>
      <c r="G52" s="53"/>
    </row>
    <row r="53" spans="2:9" ht="14.5" thickTop="1" x14ac:dyDescent="0.3">
      <c r="B53" s="58" t="s">
        <v>231</v>
      </c>
      <c r="C53" s="6"/>
      <c r="D53" s="449">
        <f>SUM(I11:I13)+SUM(I28:I30)</f>
        <v>16614</v>
      </c>
      <c r="E53" s="442"/>
      <c r="F53" s="5"/>
      <c r="G53" s="5"/>
      <c r="H53" s="3" t="s">
        <v>320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4">
        <v>0</v>
      </c>
      <c r="E54" s="420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4">
        <v>0</v>
      </c>
      <c r="E55" s="420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8"/>
      <c r="E57" s="448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2">
        <f>((Dashboard!I6*Data!C4)+D52+E50-C58-C59)</f>
        <v>-818868.6399999999</v>
      </c>
      <c r="E60" s="45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259</v>
      </c>
    </row>
    <row r="63" spans="2:9" ht="15" customHeight="1" x14ac:dyDescent="0.3">
      <c r="B63" s="3" t="s">
        <v>262</v>
      </c>
      <c r="D63" s="375">
        <f>((C26-C11-C12-C14-C15-C16*G16-C19*G19-C20*G20)-I26)/Data!C7</f>
        <v>-0.16776182102549406</v>
      </c>
      <c r="E63" s="376"/>
    </row>
    <row r="64" spans="2:9" ht="15" customHeight="1" x14ac:dyDescent="0.3">
      <c r="B64" s="3" t="s">
        <v>261</v>
      </c>
      <c r="D64" s="450">
        <v>8.5599999999999996E-2</v>
      </c>
      <c r="E64" s="451"/>
      <c r="F64" s="266" t="s">
        <v>246</v>
      </c>
    </row>
    <row r="65" spans="2:5" ht="15" customHeight="1" x14ac:dyDescent="0.3">
      <c r="B65" s="291" t="s">
        <v>263</v>
      </c>
      <c r="D65" s="450">
        <f>D64</f>
        <v>8.5599999999999996E-2</v>
      </c>
      <c r="E65" s="45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243</v>
      </c>
      <c r="C2" s="285" t="s">
        <v>257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245</v>
      </c>
      <c r="E3" s="277">
        <f>EOMONTH(EDATE(C3,12),0)</f>
        <v>45291</v>
      </c>
      <c r="F3" s="28" t="s">
        <v>245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346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347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348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349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264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241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298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F29" sqref="F2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257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255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270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265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242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256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271</v>
      </c>
      <c r="C12" s="236">
        <v>0</v>
      </c>
      <c r="D12" s="236">
        <v>0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294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235</v>
      </c>
      <c r="C18" s="84">
        <f>Asset_Model!E59</f>
        <v>2330366.2800000003</v>
      </c>
      <c r="D18" s="219">
        <f>C18/(Dashboard!I5/Data!C4)</f>
        <v>1.7477784240291512</v>
      </c>
      <c r="E18" s="85" t="s">
        <v>233</v>
      </c>
      <c r="G18" s="137">
        <f>C18+C19+C20+C21</f>
        <v>2492858.7800000003</v>
      </c>
    </row>
    <row r="19" spans="1:9" ht="15.75" customHeight="1" x14ac:dyDescent="0.3">
      <c r="B19" s="58" t="s">
        <v>239</v>
      </c>
      <c r="C19" s="84">
        <f>Asset_Model!E58</f>
        <v>180388.5</v>
      </c>
      <c r="D19" s="219">
        <f>C19/(Dashboard!I5/Data!C4)</f>
        <v>0.13529166249478281</v>
      </c>
      <c r="E19" s="85" t="s">
        <v>352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7" t="str">
        <f>IF(F21+G21=G19,"⇒","Error!")</f>
        <v>⇒</v>
      </c>
      <c r="F20" s="146" t="s">
        <v>240</v>
      </c>
      <c r="G20" s="87" t="s">
        <v>23</v>
      </c>
    </row>
    <row r="21" spans="1:9" ht="15.75" customHeight="1" x14ac:dyDescent="0.3">
      <c r="B21" s="85" t="s">
        <v>234</v>
      </c>
      <c r="C21" s="84">
        <f>-Asset_Model!E50</f>
        <v>-1282</v>
      </c>
      <c r="D21" s="219">
        <f>C21/(Dashboard!I5/Data!C4)</f>
        <v>-9.6150204319184174E-4</v>
      </c>
      <c r="E21" s="457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61" t="s">
        <v>226</v>
      </c>
      <c r="F23" s="461"/>
      <c r="G23" s="461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292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458">
        <f ca="1">SUM(C15:F15)</f>
        <v>0</v>
      </c>
      <c r="G25" s="206">
        <f ca="1">$F$25+E25+$G$19</f>
        <v>1.7305573841424982</v>
      </c>
      <c r="I25" s="74"/>
    </row>
    <row r="26" spans="1:9" ht="15.75" customHeight="1" x14ac:dyDescent="0.3">
      <c r="B26" s="30" t="s">
        <v>293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459"/>
      <c r="G26" s="351">
        <f ca="1">$F$25+E26+$G$19</f>
        <v>1.7305573841424982</v>
      </c>
      <c r="I26" s="74" t="s">
        <v>302</v>
      </c>
    </row>
    <row r="27" spans="1:9" ht="15.75" customHeight="1" x14ac:dyDescent="0.3">
      <c r="B27" s="301" t="s">
        <v>300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460"/>
      <c r="G27" s="207">
        <f ca="1">$F$25+E27+$G$19</f>
        <v>1.7305573841424982</v>
      </c>
      <c r="I27" s="74" t="s">
        <v>301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366" t="s">
        <v>351</v>
      </c>
      <c r="F29" s="367">
        <f>IF(Asset_Model!D7&lt;G19,Asset_Model!D7,G19)</f>
        <v>1.6340679600032741</v>
      </c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MIN(F29,G25*Exchange_Rate)+(ABS(F29-G25*Exchange_Rate)*'Qualitative Analysis'!E8)</f>
        <v>1.799970205559946</v>
      </c>
      <c r="D30" s="23" t="str">
        <f ca="1">IF(C30&lt;E30,"&lt;",IF(C30=E30,"=","&gt;"))</f>
        <v>&lt;</v>
      </c>
      <c r="E30" s="251">
        <f ca="1">MAX(G26*Exchange_Rate, G19*Exchange_Rate)</f>
        <v>2.0402161228044116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5" t="s">
        <v>148</v>
      </c>
      <c r="D32" s="456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1.9102953800061204</v>
      </c>
      <c r="D33" s="119" t="str">
        <f>Dashboard!J4</f>
        <v>HKD</v>
      </c>
      <c r="E33" s="120">
        <f ca="1">(C33-G19)/C9</f>
        <v>464.42374463734927</v>
      </c>
      <c r="F33" s="158">
        <f ca="1">C33/(Data!C28*Exchange_Rate*Data!C4/Common_Shares)</f>
        <v>0.81400490753829569</v>
      </c>
      <c r="G33" s="87"/>
      <c r="H33" s="6"/>
      <c r="I33" s="74"/>
    </row>
    <row r="34" spans="2:9" ht="15.5" customHeight="1" x14ac:dyDescent="0.3">
      <c r="B34" s="255" t="s">
        <v>227</v>
      </c>
      <c r="C34" s="254">
        <f ca="1">MAX(Asset_Model!D7,G19,(G12/(1+G34)^G4+F25+G19)*Exchange_Rate)</f>
        <v>1.9838674407205463</v>
      </c>
      <c r="D34" s="208" t="str">
        <f>D33</f>
        <v>HKD</v>
      </c>
      <c r="E34" s="120">
        <f ca="1">(C34-G19)/C9</f>
        <v>733.81661849341697</v>
      </c>
      <c r="F34" s="158">
        <f ca="1">C34/(Data!C28*Exchange_Rate*Data!C4/Common_Shares)</f>
        <v>0.84535504276139206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275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303</v>
      </c>
    </row>
    <row r="4" spans="1:7" ht="14" x14ac:dyDescent="0.3">
      <c r="B4" s="6" t="s">
        <v>277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272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273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274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276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297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305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306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307</v>
      </c>
    </row>
    <row r="26" spans="2:7" ht="15" customHeight="1" x14ac:dyDescent="0.3">
      <c r="B26" s="53" t="s">
        <v>278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279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280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281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282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299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283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284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285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286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308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287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288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289</v>
      </c>
      <c r="D54" s="104">
        <f t="array" ref="D54">(1-INDEX(B68:E77,MATCH(E54,B68:B77,0),4))*4</f>
        <v>2.3129251700680271</v>
      </c>
      <c r="E54" s="31" t="s">
        <v>350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2023-03-27T09:45:15Z</dcterms:modified>
  <cp:category/>
  <cp:contentStatus/>
</cp:coreProperties>
</file>