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26918835-832C-4D7B-A5BF-8A431E892914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19" i="7" l="1"/>
  <c r="D35" i="2"/>
  <c r="E35" i="2"/>
  <c r="F35" i="2"/>
  <c r="G35" i="2"/>
  <c r="H35" i="2"/>
  <c r="I35" i="2"/>
  <c r="J35" i="2"/>
  <c r="K35" i="2"/>
  <c r="L35" i="2"/>
  <c r="M35" i="2"/>
  <c r="C35" i="2"/>
  <c r="I19" i="7" l="1"/>
  <c r="H19" i="7"/>
  <c r="G19" i="7"/>
  <c r="C38" i="1"/>
  <c r="G34" i="4"/>
  <c r="G9" i="4"/>
  <c r="F10" i="4"/>
  <c r="F11" i="4" s="1"/>
  <c r="F12" i="4" s="1"/>
  <c r="E10" i="4"/>
  <c r="E11" i="4" s="1"/>
  <c r="E12" i="4" s="1"/>
  <c r="B21" i="4"/>
  <c r="E2" i="7"/>
  <c r="E3" i="4"/>
  <c r="E7" i="4"/>
  <c r="I16" i="7"/>
  <c r="H3" i="7"/>
  <c r="C37" i="1"/>
  <c r="C45" i="4"/>
  <c r="E30" i="4"/>
  <c r="D30" i="4"/>
  <c r="C29" i="4"/>
  <c r="D6" i="4"/>
  <c r="H14" i="7"/>
  <c r="H9" i="7"/>
  <c r="H8" i="7"/>
  <c r="F9" i="2" l="1"/>
  <c r="F10" i="7"/>
  <c r="G14" i="7"/>
  <c r="G10" i="7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G8" i="7" l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45" i="3" s="1"/>
  <c r="E33" i="3"/>
  <c r="E34" i="3"/>
  <c r="E35" i="3"/>
  <c r="E36" i="3"/>
  <c r="E37" i="3"/>
  <c r="E38" i="3"/>
  <c r="E39" i="3"/>
  <c r="E40" i="3"/>
  <c r="E47" i="3" s="1"/>
  <c r="D47" i="3" s="1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D36" i="2"/>
  <c r="D37" i="2" s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F9" i="7" s="1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E36" i="2"/>
  <c r="E37" i="2" s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C11" i="1" l="1"/>
  <c r="D10" i="4"/>
  <c r="D11" i="4" s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F23" i="7" s="1"/>
  <c r="C7" i="4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G11" i="4" s="1"/>
  <c r="F12" i="7"/>
  <c r="F17" i="7" s="1"/>
  <c r="D55" i="3"/>
  <c r="C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G35" i="4" l="1"/>
  <c r="D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C17" i="4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C18" i="4"/>
  <c r="D18" i="4" s="1"/>
  <c r="D53" i="3"/>
  <c r="D24" i="3"/>
  <c r="D52" i="3"/>
  <c r="F17" i="2"/>
  <c r="E17" i="2"/>
  <c r="G36" i="4" l="1"/>
  <c r="D36" i="4"/>
  <c r="F27" i="3"/>
  <c r="F26" i="3"/>
  <c r="F24" i="3"/>
  <c r="F25" i="3"/>
  <c r="D28" i="3"/>
  <c r="E49" i="3"/>
  <c r="D49" i="3" s="1"/>
  <c r="D17" i="4"/>
  <c r="G18" i="4" s="1"/>
  <c r="C3" i="7"/>
  <c r="F24" i="7"/>
  <c r="I22" i="7"/>
  <c r="I23" i="7"/>
  <c r="C4" i="4"/>
  <c r="F25" i="7"/>
  <c r="C55" i="2"/>
  <c r="G17" i="7"/>
  <c r="D44" i="3"/>
  <c r="D45" i="3"/>
  <c r="G15" i="4"/>
  <c r="J27" i="3"/>
  <c r="D25" i="3"/>
  <c r="D37" i="4" l="1"/>
  <c r="C6" i="4"/>
  <c r="D6" i="3"/>
  <c r="D7" i="3" s="1"/>
  <c r="G16" i="7"/>
  <c r="G15" i="7"/>
  <c r="C8" i="4"/>
  <c r="G18" i="7"/>
  <c r="J47" i="3"/>
  <c r="J28" i="3" s="1"/>
  <c r="D31" i="4" l="1"/>
  <c r="D32" i="4" s="1"/>
  <c r="G20" i="7"/>
  <c r="C9" i="4"/>
  <c r="C28" i="4"/>
  <c r="C33" i="4" s="1"/>
  <c r="C34" i="4" s="1"/>
  <c r="D18" i="5"/>
  <c r="E64" i="5" s="1"/>
  <c r="C37" i="4" s="1"/>
  <c r="F44" i="1"/>
  <c r="D4" i="4" l="1"/>
  <c r="G23" i="7"/>
  <c r="D7" i="4" s="1"/>
  <c r="E18" i="5"/>
  <c r="F43" i="1"/>
  <c r="D64" i="5"/>
  <c r="E7" i="5" s="1"/>
  <c r="D7" i="5" s="1"/>
  <c r="D8" i="5" s="1"/>
  <c r="E8" i="5" s="1"/>
  <c r="F41" i="1" s="1"/>
  <c r="G40" i="4"/>
  <c r="G16" i="4" l="1"/>
  <c r="F16" i="1" s="1"/>
  <c r="H16" i="1" s="1"/>
  <c r="D5" i="4"/>
  <c r="G25" i="7"/>
  <c r="F18" i="4"/>
  <c r="D8" i="4"/>
  <c r="D28" i="4" s="1"/>
  <c r="E6" i="3"/>
  <c r="D12" i="4" l="1"/>
  <c r="D38" i="4"/>
  <c r="E17" i="4"/>
  <c r="D33" i="4"/>
  <c r="D34" i="4" s="1"/>
  <c r="D9" i="4"/>
  <c r="H10" i="7"/>
  <c r="D39" i="4" l="1"/>
  <c r="G45" i="4"/>
  <c r="F45" i="4"/>
  <c r="E45" i="4"/>
  <c r="H12" i="7"/>
  <c r="H17" i="7" s="1"/>
  <c r="I3" i="7" l="1"/>
  <c r="H18" i="7"/>
  <c r="H16" i="7"/>
  <c r="H15" i="7"/>
  <c r="F3" i="4" l="1"/>
  <c r="E31" i="4"/>
  <c r="I18" i="7"/>
  <c r="H20" i="7"/>
  <c r="F27" i="4" l="1"/>
  <c r="H23" i="7"/>
  <c r="F31" i="4"/>
  <c r="I20" i="7"/>
  <c r="I25" i="7" l="1"/>
  <c r="F4" i="4"/>
  <c r="F5" i="4" s="1"/>
  <c r="H25" i="7"/>
  <c r="F35" i="4"/>
  <c r="F36" i="4" s="1"/>
  <c r="F8" i="4"/>
  <c r="F28" i="4" s="1"/>
  <c r="F32" i="4" s="1"/>
  <c r="F33" i="4" s="1"/>
  <c r="F34" i="4" s="1"/>
  <c r="F37" i="4" l="1"/>
  <c r="F9" i="4"/>
  <c r="F38" i="4" l="1"/>
  <c r="F39" i="4" s="1"/>
  <c r="J18" i="1" l="1"/>
  <c r="H18" i="1"/>
  <c r="E27" i="4"/>
  <c r="E5" i="4"/>
  <c r="E4" i="4"/>
  <c r="E35" i="4" s="1"/>
  <c r="E36" i="4" s="1"/>
  <c r="G38" i="4" s="1"/>
  <c r="E37" i="4" l="1"/>
  <c r="E8" i="4"/>
  <c r="E38" i="4"/>
  <c r="G2" i="4"/>
  <c r="G26" i="4" s="1"/>
  <c r="E9" i="4" l="1"/>
  <c r="E28" i="4"/>
  <c r="E32" i="4" l="1"/>
  <c r="E33" i="4" s="1"/>
  <c r="E34" i="4" s="1"/>
  <c r="E39" i="4" s="1"/>
  <c r="G37" i="4"/>
  <c r="G39" i="4" s="1"/>
  <c r="E23" i="4"/>
  <c r="F23" i="4" s="1"/>
  <c r="G23" i="4" s="1"/>
  <c r="E22" i="4"/>
  <c r="F22" i="4" s="1"/>
  <c r="G22" i="4" s="1"/>
  <c r="G24" i="4" l="1"/>
  <c r="G41" i="4"/>
  <c r="C44" i="4" l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E48" i="1"/>
  <c r="F47" i="4"/>
  <c r="E47" i="4"/>
  <c r="F48" i="1"/>
  <c r="D16" i="1"/>
  <c r="F47" i="1"/>
  <c r="E47" i="1"/>
  <c r="B1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<sst xmlns="http://schemas.openxmlformats.org/spreadsheetml/2006/main" count="483" uniqueCount="415">
  <si>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</si>
  <si>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</si>
  <si>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</si>
  <si>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</si>
  <si>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</si>
  <si>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</si>
  <si>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</si>
  <si>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</si>
  <si>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</si>
  <si>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</si>
  <si>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</si>
  <si>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</si>
  <si>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</si>
  <si>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</si>
  <si>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</si>
  <si>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</si>
  <si>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</si>
  <si>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</si>
  <si>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</si>
  <si>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</si>
  <si>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</si>
  <si>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</si>
  <si>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</si>
  <si>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</si>
  <si>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</si>
  <si>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</si>
  <si>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</si>
  <si>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</si>
  <si>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</si>
  <si>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</si>
  <si>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</si>
  <si>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</si>
  <si>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</si>
  <si>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</si>
  <si>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</si>
  <si>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</si>
  <si>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</si>
  <si>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</si>
  <si>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</si>
  <si>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</si>
  <si>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</si>
  <si>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</si>
  <si>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</si>
  <si>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</si>
  <si>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</si>
  <si>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</si>
  <si>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</si>
  <si>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</si>
  <si>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</si>
  <si>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</si>
  <si>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</si>
  <si>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</si>
  <si>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</si>
  <si>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</si>
  <si>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</si>
  <si>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</si>
  <si>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</si>
  <si>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</si>
  <si>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</si>
  <si>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</si>
  <si>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</si>
  <si>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</si>
  <si>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</si>
  <si>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</si>
  <si>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</si>
  <si>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</si>
  <si>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</si>
  <si>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</si>
  <si>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</si>
  <si>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</si>
  <si>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</si>
  <si>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</si>
  <si>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</si>
  <si>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</si>
  <si>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</si>
  <si>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</si>
  <si>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</si>
  <si>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</si>
  <si>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</si>
  <si>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</si>
  <si>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</si>
  <si>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</si>
  <si>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</si>
  <si>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</si>
  <si>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</si>
  <si>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</si>
  <si>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</si>
  <si>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</si>
  <si>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</si>
  <si>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</si>
  <si>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</si>
  <si>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</si>
  <si>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</si>
  <si>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</si>
  <si>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</si>
  <si>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</si>
  <si>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</si>
  <si>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</si>
  <si>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</si>
  <si>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</si>
  <si>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</si>
  <si>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</si>
  <si>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</si>
  <si>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</si>
  <si>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</si>
  <si>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</si>
  <si>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</si>
  <si>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</si>
  <si>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</si>
  <si>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</si>
  <si>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</si>
  <si>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</si>
  <si>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</si>
  <si>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</si>
  <si>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</si>
  <si>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</si>
  <si>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</si>
  <si>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</si>
  <si>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</si>
  <si>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</si>
  <si>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</si>
  <si>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</si>
  <si>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</si>
  <si>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</si>
  <si>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</si>
  <si>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</si>
  <si>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</si>
  <si>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</si>
  <si>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</si>
  <si>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</si>
  <si>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</si>
  <si>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</si>
  <si>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</si>
  <si>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</si>
  <si>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</si>
  <si>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</si>
  <si>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</si>
  <si>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</si>
  <si>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</si>
  <si>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</si>
  <si>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</si>
  <si>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</si>
  <si>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</si>
  <si>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</si>
  <si>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</si>
  <si>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</si>
  <si>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</si>
  <si>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</si>
  <si>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</si>
  <si>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</si>
  <si>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</si>
  <si>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</si>
  <si>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</si>
  <si>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</si>
  <si>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</si>
  <si>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</si>
  <si>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</si>
  <si>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</si>
  <si>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</si>
  <si>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</si>
  <si>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</si>
  <si>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</si>
  <si>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</si>
  <si>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</si>
  <si>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</si>
  <si>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</si>
  <si>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</si>
  <si>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</si>
  <si>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</si>
  <si>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</si>
  <si>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</si>
  <si>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</si>
  <si>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</si>
  <si>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</si>
  <si>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</si>
  <si>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</si>
  <si>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</si>
  <si>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</si>
  <si>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</si>
  <si>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</si>
  <si>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</si>
  <si>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</si>
  <si>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</si>
  <si>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</si>
  <si>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</si>
  <si>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</si>
  <si>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</si>
  <si>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</si>
  <si>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</si>
  <si>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</si>
  <si>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</si>
  <si>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</si>
  <si>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</si>
  <si>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</si>
  <si>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</si>
  <si>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</si>
  <si>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</si>
  <si>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</si>
  <si>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</si>
  <si>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</si>
  <si>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</si>
  <si>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</si>
  <si>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</si>
  <si>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</si>
  <si>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</si>
  <si>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</si>
  <si>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</si>
  <si>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</si>
  <si>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</si>
  <si>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</si>
  <si>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</si>
  <si>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</si>
  <si>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</si>
  <si>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</si>
  <si>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</si>
  <si>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</si>
  <si>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</si>
  <si>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</si>
  <si>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</si>
  <si>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</si>
  <si>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</si>
  <si>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</si>
  <si>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</si>
  <si>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</si>
  <si>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</si>
  <si>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</si>
  <si>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</si>
  <si>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</si>
  <si>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</si>
  <si>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</si>
  <si>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</si>
  <si>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</si>
  <si>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</si>
  <si>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</si>
  <si>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</si>
  <si>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</si>
  <si>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</si>
  <si>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</si>
  <si>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</si>
  <si>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</si>
  <si>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</si>
  <si>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</si>
  <si>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</si>
  <si>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</si>
  <si>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</si>
  <si>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</si>
  <si>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</si>
  <si>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</si>
  <si>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</si>
  <si>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</si>
  <si>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</si>
  <si>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</si>
  <si>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</si>
  <si>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</si>
  <si>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</si>
  <si>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</si>
  <si>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</si>
  <si>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</si>
  <si>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</si>
  <si>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</si>
  <si>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</si>
  <si>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</si>
  <si>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</si>
  <si>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</si>
  <si>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</si>
  <si>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</si>
  <si>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</si>
  <si>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</si>
  <si>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</si>
  <si>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</si>
  <si>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</si>
  <si>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</si>
  <si>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</si>
  <si>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</si>
  <si>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</si>
  <si>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</si>
  <si>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</si>
  <si>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</si>
  <si>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</si>
  <si>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</si>
  <si>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</si>
  <si>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</si>
  <si>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</si>
  <si>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</si>
  <si>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</si>
  <si>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</si>
  <si>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</si>
  <si>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</si>
  <si>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</si>
  <si>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</si>
  <si>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</si>
  <si>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</si>
  <si>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</si>
  <si>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</si>
  <si>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</si>
  <si>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</si>
  <si>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</si>
  <si>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</si>
  <si>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</si>
  <si>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</si>
  <si>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</si>
  <si>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</si>
  <si>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</si>
  <si>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</si>
  <si>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</si>
  <si>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</si>
  <si>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</si>
  <si>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</si>
  <si>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</si>
  <si>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</si>
  <si>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</si>
  <si>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</si>
  <si>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</si>
  <si>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</si>
  <si>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</si>
  <si>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</si>
  <si>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</si>
  <si>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</si>
  <si>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</si>
  <si>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</si>
  <si>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</si>
  <si>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</si>
  <si>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</si>
  <si>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</si>
  <si>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</si>
  <si>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</si>
  <si>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</si>
  <si>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</si>
  <si>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</si>
  <si>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</si>
  <si>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</si>
  <si>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</si>
  <si>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</si>
  <si>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</si>
  <si>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</si>
  <si>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</si>
  <si>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</si>
  <si>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</si>
  <si>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</si>
  <si>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</si>
  <si>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</si>
  <si>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</t>
  </si>
  <si>
    <t>FCInv / Sales</t>
  </si>
  <si>
    <t>FCInv = Δ PP&amp;E + R&amp;D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</si>
  <si>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</si>
  <si>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</si>
  <si>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</si>
  <si>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</si>
  <si>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</si>
  <si>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</si>
  <si>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</si>
  <si>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</si>
  <si>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</si>
  <si>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</si>
  <si>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</si>
  <si>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</si>
  <si>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</si>
  <si>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</si>
  <si>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</si>
  <si>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</si>
  <si>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</si>
  <si>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</si>
  <si>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</si>
  <si>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</si>
  <si>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</si>
  <si>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</si>
  <si>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</si>
  <si>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</si>
  <si>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</si>
  <si>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</si>
  <si>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</si>
  <si>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</si>
  <si>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</si>
  <si>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</si>
  <si>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</si>
  <si>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</si>
  <si>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</si>
  <si>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</si>
  <si>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</si>
  <si>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</si>
  <si>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</si>
  <si>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</si>
  <si>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</si>
  <si>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</si>
  <si>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</si>
  <si>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</si>
  <si>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</si>
  <si>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</si>
  <si>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</si>
  <si>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</si>
  <si>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</si>
  <si>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</si>
  <si>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</si>
  <si>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</si>
  <si>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</si>
  <si>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</si>
  <si>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</si>
  <si>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</si>
  <si>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</si>
  <si>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0083.HK</t>
  </si>
  <si>
    <t>SINO LAND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</si>
  <si>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</si>
  <si>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</si>
  <si>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</si>
  <si>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物业销售(特别内地)业绩波动较大，难以预测</t>
  </si>
  <si>
    <t>1. The room for profitable reinvestment is small
2. Organic growth rate will be low</t>
  </si>
  <si>
    <t>1. 香港大众住宅楼市场基本饱和、商业物业市场低迷、办公楼(特别九龙)供应量过大
2. 内地市场低迷
3. 因利息持续上涨。上半年业绩很差，预计23年6月止年报的P&amp;L数字将很难看。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</si>
  <si>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金管局认为高利率会持续一段时间，但香港楼市仍然坚挺</t>
  </si>
  <si>
    <t>HK</t>
  </si>
  <si>
    <t>物業銷售</t>
  </si>
  <si>
    <t>物業管理及其他服務</t>
  </si>
  <si>
    <t>酒店經營</t>
  </si>
  <si>
    <t>經營租賃之租金收益</t>
  </si>
  <si>
    <t>PB 0.54 in the past 5 years, 0.6 in the past 10 years</t>
  </si>
  <si>
    <t>Consumer Staples, 15.1y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</si>
</sst>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4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1287845</c:v>
                </c:pt>
                <c:pt idx="2" formatCode="#,##0">
                  <c:v>508443</c:v>
                </c:pt>
                <c:pt idx="3" formatCode="#,##0">
                  <c:v>3053687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1688050</c:v>
                </c:pt>
                <c:pt idx="2" formatCode="#,##0">
                  <c:v>9646036</c:v>
                </c:pt>
                <c:pt idx="3" formatCode="#,##0">
                  <c:v>5735396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zoomScaleNormal="100" workbookViewId="0">
      <selection activeCell="C38" sqref="C38:D38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0083.HK : SINO LAND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48" t="s">
        <v>399</v>
      </c>
      <c r="D3" s="349"/>
      <c r="E3" s="6"/>
      <c r="G3" s="7" t="s">
        <v>2</v>
      </c>
      <c r="I3" s="357" t="s">
        <v>3</v>
      </c>
      <c r="J3" s="357"/>
    </row>
    <row r="4" spans="1:12" ht="15.75" customHeight="1">
      <c r="B4" s="5" t="s">
        <v>4</v>
      </c>
      <c r="C4" s="350" t="s">
        <v>400</v>
      </c>
      <c r="D4" s="319"/>
      <c r="E4" s="6"/>
      <c r="G4" s="5" t="s">
        <v>5</v>
      </c>
      <c r="I4" s="221">
        <v>8.8699999999999992</v>
      </c>
      <c r="J4" s="222" t="s">
        <v>6</v>
      </c>
      <c r="K4" s="92"/>
    </row>
    <row r="5" spans="1:12" ht="15.75" customHeight="1">
      <c r="B5" s="5" t="s">
        <v>7</v>
      </c>
      <c r="C5" s="351">
        <v>44956</v>
      </c>
      <c r="D5" s="319"/>
      <c r="E5" s="79" t="str">
        <f ca="1">IF(C5+30&gt;=TODAY(),"Patience Premium","")</f>
        <v/>
      </c>
      <c r="G5" s="5" t="s">
        <v>8</v>
      </c>
      <c r="I5" s="318">
        <v>8171879936</v>
      </c>
      <c r="J5" s="318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45169</v>
      </c>
      <c r="E6" s="128">
        <f>IF(Asset_Model!E9="FY",Asset_Model!D9,Data!C3)</f>
        <v>44742</v>
      </c>
      <c r="G6" s="85" t="s">
        <v>9</v>
      </c>
      <c r="H6" s="84"/>
      <c r="I6" s="358">
        <f>I4*I5/1000000</f>
        <v>72484.57503231999</v>
      </c>
      <c r="J6" s="358"/>
      <c r="K6" s="91"/>
    </row>
    <row r="7" spans="1:12" ht="15.75" customHeight="1">
      <c r="B7" s="86" t="s">
        <v>10</v>
      </c>
      <c r="C7" s="218">
        <f>(Data!C42*Exchange_Rate)/I4</f>
        <v>4.212878393283534E-2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12.638111654769782</v>
      </c>
      <c r="J9" s="166">
        <f>IF(I9="NNI","NNI",1/I9)</f>
        <v>7.9125744993919833E-2</v>
      </c>
    </row>
    <row r="10" spans="1:12" ht="15.75" customHeight="1">
      <c r="B10" s="3" t="s">
        <v>226</v>
      </c>
      <c r="C10" s="122" t="s">
        <v>408</v>
      </c>
      <c r="D10" s="122">
        <v>3.6799999999999999E-2</v>
      </c>
      <c r="E10" s="5"/>
      <c r="G10" s="85" t="s">
        <v>329</v>
      </c>
      <c r="H10" s="84"/>
      <c r="I10" s="165">
        <f>I4/(Data!C29*I12*Data!C4/Common_Shares)</f>
        <v>0.45810058340192339</v>
      </c>
      <c r="J10" s="223">
        <f>I4/(Data!C7*Data!C4/Common_Shares*Exchange_Rate)</f>
        <v>4.6601365673497028</v>
      </c>
    </row>
    <row r="11" spans="1:12" ht="15.75" customHeight="1" thickBot="1">
      <c r="B11" s="124" t="s">
        <v>227</v>
      </c>
      <c r="C11" s="328">
        <f ca="1">C12-D10</f>
        <v>2.3199999999999998E-2</v>
      </c>
      <c r="D11" s="329"/>
      <c r="E11" s="13"/>
      <c r="G11" s="5" t="s">
        <v>14</v>
      </c>
      <c r="H11" s="6"/>
      <c r="I11" s="357" t="s">
        <v>6</v>
      </c>
      <c r="J11" s="357"/>
    </row>
    <row r="12" spans="1:12" ht="15.75" customHeight="1" thickTop="1">
      <c r="B12" s="125" t="s">
        <v>124</v>
      </c>
      <c r="C12" s="364">
        <f ca="1">IF(C10="CN",8%,6%)*IF($C$5+30&gt;=TODAY(),1.2,1)</f>
        <v>0.06</v>
      </c>
      <c r="D12" s="365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9.5834798920710025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8.8699999999999992</v>
      </c>
      <c r="C16" s="344">
        <v>0.2</v>
      </c>
      <c r="D16" s="238">
        <f ca="1">I37/B16-(1+C16)</f>
        <v>-3.5180259602634045E-3</v>
      </c>
      <c r="E16" s="338" t="s">
        <v>21</v>
      </c>
      <c r="F16" s="359">
        <f>(Val_Models!G16)*Exchange_Rate</f>
        <v>5.5897792234107548</v>
      </c>
      <c r="G16" s="338" t="s">
        <v>22</v>
      </c>
      <c r="H16" s="239">
        <f>B16-$F$16</f>
        <v>3.2802207765892444</v>
      </c>
      <c r="I16" s="333">
        <v>0.42</v>
      </c>
      <c r="J16" s="166">
        <f>I16/B16</f>
        <v>4.7350620067643748E-2</v>
      </c>
    </row>
    <row r="17" spans="1:10" ht="15.75" customHeight="1">
      <c r="B17" s="116">
        <f ca="1">MIN((I37+I38)/2,I37/(1+C16), IF(J20=0,E14,I37/(1+C16)))</f>
        <v>8.843995924777051</v>
      </c>
      <c r="C17" s="345"/>
      <c r="D17" s="149">
        <f ca="1">I37/B17-(1+C16)</f>
        <v>0</v>
      </c>
      <c r="E17" s="339"/>
      <c r="F17" s="360"/>
      <c r="G17" s="339"/>
      <c r="H17" s="236">
        <f ca="1">B17-$F$16</f>
        <v>3.2542167013662961</v>
      </c>
      <c r="I17" s="334"/>
      <c r="J17" s="149">
        <f ca="1">I16/B17</f>
        <v>4.7489845492052034E-2</v>
      </c>
    </row>
    <row r="18" spans="1:10" ht="15.75" customHeight="1">
      <c r="B18" s="129">
        <f>C37</f>
        <v>8.1999999999999993</v>
      </c>
      <c r="C18" s="346"/>
      <c r="D18" s="237">
        <f ca="1">I37/B18-(1+C16)</f>
        <v>9.4243306064934584E-2</v>
      </c>
      <c r="E18" s="340"/>
      <c r="F18" s="361"/>
      <c r="G18" s="340"/>
      <c r="H18" s="98">
        <f>B18-$F$16</f>
        <v>2.6102207765892445</v>
      </c>
      <c r="I18" s="335"/>
      <c r="J18" s="158">
        <f>I16/B18</f>
        <v>5.1219512195121955E-2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335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54" t="s">
        <v>401</v>
      </c>
      <c r="D21" s="355"/>
      <c r="E21" s="356"/>
      <c r="F21" s="356"/>
      <c r="G21" s="356"/>
      <c r="H21" s="356"/>
      <c r="I21" s="356"/>
      <c r="J21" s="356"/>
    </row>
    <row r="22" spans="1:10" ht="52.5" customHeight="1">
      <c r="A22" s="6"/>
      <c r="B22" s="19" t="s">
        <v>25</v>
      </c>
      <c r="C22" s="363" t="s">
        <v>402</v>
      </c>
      <c r="D22" s="349"/>
      <c r="E22" s="349"/>
      <c r="F22" s="349"/>
      <c r="G22" s="363" t="s">
        <v>404</v>
      </c>
      <c r="H22" s="363"/>
      <c r="I22" s="349"/>
      <c r="J22" s="349"/>
    </row>
    <row r="23" spans="1:10" ht="52.5" customHeight="1">
      <c r="A23" s="6"/>
      <c r="B23" s="138" t="s">
        <v>26</v>
      </c>
      <c r="C23" s="336" t="s">
        <v>403</v>
      </c>
      <c r="D23" s="337"/>
      <c r="E23" s="337"/>
      <c r="F23" s="337"/>
      <c r="G23" s="336" t="s">
        <v>405</v>
      </c>
      <c r="H23" s="336"/>
      <c r="I23" s="337"/>
      <c r="J23" s="337"/>
    </row>
    <row r="24" spans="1:10" ht="52.5" customHeight="1">
      <c r="A24" s="6"/>
      <c r="B24" s="19" t="s">
        <v>292</v>
      </c>
      <c r="C24" s="366" t="s">
        <v>406</v>
      </c>
      <c r="D24" s="366"/>
      <c r="E24" s="366"/>
      <c r="F24" s="366"/>
      <c r="G24" s="366"/>
      <c r="H24" s="366"/>
      <c r="I24" s="366"/>
      <c r="J24" s="366"/>
    </row>
    <row r="25" spans="1:10" ht="52.5" customHeight="1">
      <c r="A25" s="6"/>
      <c r="B25" s="138" t="s">
        <v>291</v>
      </c>
      <c r="C25" s="367" t="s">
        <v>407</v>
      </c>
      <c r="D25" s="367"/>
      <c r="E25" s="367"/>
      <c r="F25" s="367"/>
      <c r="G25" s="367"/>
      <c r="H25" s="367"/>
      <c r="I25" s="367"/>
      <c r="J25" s="367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52">
        <v>44988</v>
      </c>
      <c r="D28" s="353"/>
      <c r="E28" s="343" t="str">
        <f>IF(C28="","","Action_Planning")</f>
        <v>Action_Planning</v>
      </c>
      <c r="F28" s="343"/>
      <c r="G28" s="343"/>
      <c r="H28" s="343"/>
      <c r="I28" s="362" t="s">
        <v>30</v>
      </c>
      <c r="J28" s="362"/>
    </row>
    <row r="29" spans="1:10" ht="15.75" customHeight="1">
      <c r="B29" s="18" t="s">
        <v>31</v>
      </c>
      <c r="C29" s="332">
        <f>C33/D27</f>
        <v>0.28909090909090907</v>
      </c>
      <c r="D29" s="326"/>
      <c r="E29" s="331">
        <f>E33/D27</f>
        <v>0.24848484848484848</v>
      </c>
      <c r="F29" s="326"/>
      <c r="G29" s="342">
        <f>G33/D27</f>
        <v>0</v>
      </c>
      <c r="H29" s="342"/>
      <c r="I29" s="341">
        <f>C29+E29+G29</f>
        <v>0.5375757575757576</v>
      </c>
      <c r="J29" s="341"/>
    </row>
    <row r="30" spans="1:10" ht="15.75" customHeight="1">
      <c r="B30" s="18" t="s">
        <v>32</v>
      </c>
      <c r="C30" s="318">
        <v>20000</v>
      </c>
      <c r="D30" s="319"/>
      <c r="E30" s="318">
        <v>20000</v>
      </c>
      <c r="F30" s="319"/>
      <c r="G30" s="318"/>
      <c r="H30" s="318"/>
      <c r="I30" s="347">
        <f>C30+E30+G30</f>
        <v>40000</v>
      </c>
      <c r="J30" s="347"/>
    </row>
    <row r="31" spans="1:10" ht="15.75" customHeight="1">
      <c r="B31" s="18" t="s">
        <v>33</v>
      </c>
      <c r="C31" s="320">
        <v>9.5399999999999991</v>
      </c>
      <c r="D31" s="319"/>
      <c r="E31" s="320">
        <v>8.1999999999999993</v>
      </c>
      <c r="F31" s="319"/>
      <c r="G31" s="320"/>
      <c r="H31" s="320"/>
      <c r="I31" s="330"/>
      <c r="J31" s="330"/>
    </row>
    <row r="32" spans="1:10" ht="15.75" customHeight="1">
      <c r="B32" s="18" t="s">
        <v>34</v>
      </c>
      <c r="C32" s="327">
        <f>C31*$I$5/1000000</f>
        <v>77959.734589439991</v>
      </c>
      <c r="D32" s="326"/>
      <c r="E32" s="327">
        <f>E31*$I$5/1000000</f>
        <v>67009.415475200003</v>
      </c>
      <c r="F32" s="326"/>
      <c r="G32" s="327">
        <f>G31*$I$5/1000000</f>
        <v>0</v>
      </c>
      <c r="H32" s="327"/>
      <c r="I32" s="330"/>
      <c r="J32" s="330"/>
    </row>
    <row r="33" spans="2:11" ht="15.75" customHeight="1">
      <c r="B33" s="2" t="s">
        <v>35</v>
      </c>
      <c r="C33" s="323">
        <f>C30*C31</f>
        <v>190799.99999999997</v>
      </c>
      <c r="D33" s="324"/>
      <c r="E33" s="323">
        <f>E30*E31</f>
        <v>164000</v>
      </c>
      <c r="F33" s="324"/>
      <c r="G33" s="323">
        <f>G30*G31</f>
        <v>0</v>
      </c>
      <c r="H33" s="323"/>
      <c r="I33" s="323">
        <f>C33+E33+G33</f>
        <v>354800</v>
      </c>
      <c r="J33" s="323"/>
    </row>
    <row r="34" spans="2:11" ht="15.75" customHeight="1">
      <c r="B34" s="1" t="s">
        <v>36</v>
      </c>
      <c r="C34" s="330"/>
      <c r="D34" s="373"/>
      <c r="E34" s="325">
        <f>IF(C33=0,"-",(C33+E33)/(C30+E30))</f>
        <v>8.8699999999999992</v>
      </c>
      <c r="F34" s="326"/>
      <c r="G34" s="78"/>
      <c r="H34" s="78"/>
      <c r="I34" s="325">
        <f>IF(I33=0,"",I33/I30)</f>
        <v>8.8699999999999992</v>
      </c>
      <c r="J34" s="325"/>
    </row>
    <row r="35" spans="2:11" ht="15.75" customHeight="1">
      <c r="B35" s="1" t="s">
        <v>37</v>
      </c>
      <c r="C35" s="374"/>
      <c r="D35" s="375"/>
      <c r="E35" s="321">
        <f>IF(E34="-","-",E34*$I$5/1000000)</f>
        <v>72484.57503231999</v>
      </c>
      <c r="F35" s="322"/>
      <c r="G35" s="230"/>
      <c r="H35" s="230"/>
      <c r="I35" s="321">
        <f>IF(I34="","",I34*$I$5/1000000)</f>
        <v>72484.57503231999</v>
      </c>
      <c r="J35" s="321"/>
    </row>
    <row r="36" spans="2:11" ht="15.75" customHeight="1"/>
    <row r="37" spans="2:11" ht="15.75" customHeight="1">
      <c r="B37" s="87" t="s">
        <v>256</v>
      </c>
      <c r="C37" s="371">
        <f>E31</f>
        <v>8.1999999999999993</v>
      </c>
      <c r="D37" s="372"/>
      <c r="E37" s="79" t="str">
        <f ca="1">IF(C37&gt;B17,"Caution! &gt; Breakeven price!","")</f>
        <v/>
      </c>
      <c r="F37" s="6"/>
      <c r="G37" s="368" t="s">
        <v>315</v>
      </c>
      <c r="H37" s="368"/>
      <c r="I37" s="369">
        <f ca="1">Val_Models!C46</f>
        <v>10.612795109732462</v>
      </c>
      <c r="J37" s="370"/>
    </row>
    <row r="38" spans="2:11" ht="15.75" customHeight="1">
      <c r="B38" s="87" t="s">
        <v>281</v>
      </c>
      <c r="C38" s="371">
        <f>E34</f>
        <v>8.8699999999999992</v>
      </c>
      <c r="D38" s="372"/>
      <c r="E38" s="6"/>
      <c r="F38" s="6"/>
      <c r="G38" s="368" t="s">
        <v>280</v>
      </c>
      <c r="H38" s="368"/>
      <c r="I38" s="369">
        <f ca="1">Val_Models!C47</f>
        <v>8.4269096351545389</v>
      </c>
      <c r="J38" s="370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0.58000000000000007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0.48680272108843536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0.97884955597483625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0.11245231758201912</v>
      </c>
      <c r="F47" s="171">
        <f ca="1">I37/C38-1</f>
        <v>0.19648197403973655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-0.11667613887268979</v>
      </c>
      <c r="F48" s="171">
        <f ca="1">Val_Models!C47/C38-1</f>
        <v>-4.9953817908169107E-2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0.58870807328358721</v>
      </c>
      <c r="F50" s="171">
        <f ca="1">IF(F47&lt;=0,0,AVERAGE(F41:F44,0.5*(1+F47+F48-C16)))</f>
        <v>0.60378327102581097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0.96379875669969284</v>
      </c>
      <c r="F51" s="234">
        <f ca="1">IF(F48&gt;=0,100,F47/ABS(F48))</f>
        <v>3.9332724157527355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106.95959849458193</v>
      </c>
      <c r="F52" s="232">
        <f ca="1">MAX(C16*2.5/F47,1)+IF(F47&lt;C16,100,0)+IF(D18&lt;0,100,0)+IF(J20=1,2/(1+F47+F48-C16),0)</f>
        <v>104.65774792185944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1.5142877643108863E-3</v>
      </c>
      <c r="F53" s="217">
        <f ca="1">MIN(MAX(F50-ABS((1-F50)/F51),0)/F52,H53)</f>
        <v>4.8066068131281774E-3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396</v>
      </c>
    </row>
    <row r="65" spans="2:2" ht="15.75" customHeight="1">
      <c r="B65" s="3" t="s">
        <v>398</v>
      </c>
    </row>
    <row r="66" spans="2:2" ht="15.75" customHeight="1">
      <c r="B66" s="3" t="s">
        <v>397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3" priority="12" operator="lessThan">
      <formula>$B$18</formula>
    </cfRule>
  </conditionalFormatting>
  <conditionalFormatting sqref="B18">
    <cfRule type="cellIs" dxfId="22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1" priority="25" operator="lessThan">
      <formula>0</formula>
    </cfRule>
  </conditionalFormatting>
  <conditionalFormatting sqref="E14">
    <cfRule type="cellIs" dxfId="20" priority="17" operator="greaterThan">
      <formula>$B$16</formula>
    </cfRule>
  </conditionalFormatting>
  <conditionalFormatting sqref="E51:F51">
    <cfRule type="cellIs" dxfId="19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8" priority="13">
      <formula>LEN(TRIM(E28))=0</formula>
    </cfRule>
  </conditionalFormatting>
  <conditionalFormatting sqref="F16">
    <cfRule type="cellIs" dxfId="17" priority="20" operator="greaterThan">
      <formula>$B$16</formula>
    </cfRule>
  </conditionalFormatting>
  <conditionalFormatting sqref="G16">
    <cfRule type="cellIs" dxfId="16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topLeftCell="A13" zoomScaleNormal="100" workbookViewId="0">
      <selection activeCell="D35" sqref="D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44742</v>
      </c>
      <c r="D3" s="6"/>
      <c r="E3" s="97">
        <v>1</v>
      </c>
      <c r="F3" s="178">
        <f t="array" ref="F3">AVERAGE(C19:INDEX(C19:M19,1,E3))</f>
        <v>5735396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5538620.25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44742</v>
      </c>
      <c r="D6" s="114">
        <f>EOMONTH(EDATE(C6,-12),0)</f>
        <v>44377</v>
      </c>
      <c r="E6" s="114">
        <f t="shared" ref="E6:M6" si="0">EOMONTH(EDATE(D6,-12),0)</f>
        <v>44012</v>
      </c>
      <c r="F6" s="114">
        <f t="shared" si="0"/>
        <v>43646</v>
      </c>
      <c r="G6" s="114">
        <f t="shared" si="0"/>
        <v>43281</v>
      </c>
      <c r="H6" s="114">
        <f t="shared" si="0"/>
        <v>42916</v>
      </c>
      <c r="I6" s="114">
        <f t="shared" si="0"/>
        <v>42551</v>
      </c>
      <c r="J6" s="114">
        <f t="shared" si="0"/>
        <v>42185</v>
      </c>
      <c r="K6" s="114">
        <f t="shared" si="0"/>
        <v>41820</v>
      </c>
      <c r="L6" s="114">
        <f t="shared" si="0"/>
        <v>41455</v>
      </c>
      <c r="M6" s="114">
        <f t="shared" si="0"/>
        <v>41090</v>
      </c>
    </row>
    <row r="7" spans="1:14" ht="15.75" customHeight="1">
      <c r="A7" s="9"/>
      <c r="B7" s="159" t="s">
        <v>41</v>
      </c>
      <c r="C7" s="160">
        <v>15554174</v>
      </c>
      <c r="D7" s="160">
        <v>24545345</v>
      </c>
      <c r="E7" s="160">
        <v>5886888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-0.36630860148838817</v>
      </c>
      <c r="D8" s="149">
        <f t="shared" si="1"/>
        <v>3.1694941368002922</v>
      </c>
      <c r="E8" s="149">
        <f t="shared" si="1"/>
        <v>0.64715283641925048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7301864</v>
      </c>
      <c r="D9" s="148">
        <v>11010749</v>
      </c>
      <c r="E9" s="148">
        <v>2437232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0.53055276352186875</v>
      </c>
      <c r="D10" s="149">
        <f t="shared" si="2"/>
        <v>0.55141192759767688</v>
      </c>
      <c r="E10" s="149">
        <f t="shared" si="2"/>
        <v>0.58598974534592807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867483</v>
      </c>
      <c r="D11" s="148">
        <v>823281</v>
      </c>
      <c r="E11" s="148">
        <v>843993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5.5771717610976934E-2</v>
      </c>
      <c r="D12" s="149">
        <f t="shared" si="3"/>
        <v>3.3541227471033719E-2</v>
      </c>
      <c r="E12" s="149">
        <f t="shared" si="3"/>
        <v>0.14336827879178266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0.47478104591089182</v>
      </c>
      <c r="D13" s="149">
        <f t="shared" si="4"/>
        <v>0.51787070012664316</v>
      </c>
      <c r="E13" s="149">
        <f t="shared" si="4"/>
        <v>0.44262146655414542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7384827</v>
      </c>
      <c r="D14" s="51">
        <f t="shared" si="5"/>
        <v>12711315</v>
      </c>
      <c r="E14" s="51">
        <f t="shared" si="5"/>
        <v>2605663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-0.41903516669990476</v>
      </c>
      <c r="D15" s="149">
        <f t="shared" ref="D15:M15" si="6">IF(E14="","",IF(ABS(D14+E14)=ABS(D14)+ABS(E14),IF(D14&lt;0,-1,1)*(D14-E14)/E14,"Turn"))</f>
        <v>3.8783419037688298</v>
      </c>
      <c r="E15" s="149">
        <f t="shared" si="6"/>
        <v>28.819219061133872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5538620.25</v>
      </c>
      <c r="D16" s="51">
        <f>IF(D14="","",D14*(1-Projections!$F$18))</f>
        <v>9533486.25</v>
      </c>
      <c r="E16" s="51">
        <f>IF(E14="","",E14*(1-Projections!$F$18))</f>
        <v>1954247.25</v>
      </c>
      <c r="F16" s="51">
        <f>IF(F14="","",F14*(1-Projections!$F$18))</f>
        <v>65536.5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0.35608578443316885</v>
      </c>
      <c r="D17" s="149">
        <f t="shared" si="7"/>
        <v>0.38840302509498237</v>
      </c>
      <c r="E17" s="149">
        <f t="shared" si="7"/>
        <v>0.33196609991560905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27282</v>
      </c>
      <c r="D18" s="148">
        <v>39885</v>
      </c>
      <c r="E18" s="148">
        <v>31747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5735396</v>
      </c>
      <c r="D19" s="148">
        <v>9646036</v>
      </c>
      <c r="E19" s="148">
        <v>1688050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-0.40541420330589684</v>
      </c>
      <c r="D20" s="149">
        <f t="shared" ref="D20:M20" si="8">IF(E19="","",IF(ABS(D19+E19)=ABS(D19)+ABS(E19),IF(D19&lt;0,-1,1)*(D19-E19)/E19,"Turn"))</f>
        <v>4.7143070406682268</v>
      </c>
      <c r="E20" s="149">
        <f t="shared" si="8"/>
        <v>66.468025579536373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376</v>
      </c>
      <c r="C21" s="150">
        <v>178983875</v>
      </c>
      <c r="D21" s="148">
        <v>181715197</v>
      </c>
      <c r="E21" s="148">
        <v>186723801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71424985</v>
      </c>
      <c r="D22" s="148">
        <v>74808371</v>
      </c>
      <c r="E22" s="148">
        <v>80391448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15104618</v>
      </c>
      <c r="D23" s="148">
        <v>17965728</v>
      </c>
      <c r="E23" s="148">
        <v>32319376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2284708</v>
      </c>
      <c r="D24" s="148">
        <v>2894189</v>
      </c>
      <c r="E24" s="148">
        <v>864027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31180</v>
      </c>
      <c r="D25" s="152">
        <v>49241</v>
      </c>
      <c r="E25" s="152">
        <v>32031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2814396</v>
      </c>
      <c r="D26" s="148">
        <v>4131550</v>
      </c>
      <c r="E26" s="148">
        <v>6139127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13550</v>
      </c>
      <c r="D27" s="152">
        <v>19736</v>
      </c>
      <c r="E27" s="152">
        <v>7537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5099104</v>
      </c>
      <c r="D28" s="51">
        <f t="shared" si="9"/>
        <v>7025739</v>
      </c>
      <c r="E28" s="51">
        <f t="shared" si="9"/>
        <v>7003154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158228515</v>
      </c>
      <c r="D29" s="148">
        <v>156808599</v>
      </c>
      <c r="E29" s="148">
        <v>145759189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157397300</v>
      </c>
      <c r="D30" s="152">
        <v>155159697</v>
      </c>
      <c r="E30" s="152">
        <v>144915881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351</v>
      </c>
      <c r="C31" s="150">
        <v>1285288</v>
      </c>
      <c r="D31" s="148">
        <v>1376283</v>
      </c>
      <c r="E31" s="148">
        <v>1367290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17617776</v>
      </c>
      <c r="D32" s="148">
        <v>28578786</v>
      </c>
      <c r="E32" s="148">
        <v>23080979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343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370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2798768.55</v>
      </c>
      <c r="E35" s="154">
        <f>IF(F7="","",IF(E8&lt;0,0,(E7-F7)*Asset_Model!$D$68))</f>
        <v>346936.5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1176000</v>
      </c>
      <c r="D36" s="51">
        <f t="shared" si="11"/>
        <v>3045768.55</v>
      </c>
      <c r="E36" s="51">
        <f t="shared" si="11"/>
        <v>402936.5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342</v>
      </c>
      <c r="C37" s="149">
        <f>IF(C36="","",C33/C7)</f>
        <v>7.5606714956384061E-2</v>
      </c>
      <c r="D37" s="149">
        <f t="shared" ref="D37:M37" si="12">IF(D36="","",D33/D7)</f>
        <v>1.00630078737944E-2</v>
      </c>
      <c r="E37" s="149">
        <f t="shared" si="12"/>
        <v>9.5126661149320321E-3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345</v>
      </c>
      <c r="C38" s="158">
        <f t="shared" ref="C38:M38" si="13">IF(C36="","",C33/C16)</f>
        <v>0.21232724883060902</v>
      </c>
      <c r="D38" s="158">
        <f t="shared" si="13"/>
        <v>2.5908675328503255E-2</v>
      </c>
      <c r="E38" s="158">
        <f t="shared" si="13"/>
        <v>2.8655534758971774E-2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3053687</v>
      </c>
      <c r="D40" s="163">
        <v>508443</v>
      </c>
      <c r="E40" s="163">
        <v>1287845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0.37368231348424941</v>
      </c>
      <c r="D42" s="162">
        <f t="shared" si="14"/>
        <v>6.2218608690043288E-2</v>
      </c>
      <c r="E42" s="162">
        <f t="shared" si="14"/>
        <v>0.15759470404436446</v>
      </c>
      <c r="F42" s="162">
        <f t="shared" si="14"/>
        <v>8.9967058468539893E-4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360</v>
      </c>
      <c r="C45" s="166">
        <f>IF(C30="","",(C21-C30)/C21)</f>
        <v>0.12060625573113778</v>
      </c>
      <c r="D45" s="166">
        <f>IF(D30="","",(D21-D30)/D21)</f>
        <v>0.14613802498863096</v>
      </c>
      <c r="E45" s="166">
        <f t="shared" ref="E45:M45" si="16">IF(E30="","",(E21-E30)/E21)</f>
        <v>0.22390246865208147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372</v>
      </c>
      <c r="C46" s="149">
        <f t="shared" ref="C46:M46" si="17">IF(C30="","",C28/C30)</f>
        <v>3.2396387993949068E-2</v>
      </c>
      <c r="D46" s="149">
        <f t="shared" si="17"/>
        <v>4.5280695540414723E-2</v>
      </c>
      <c r="E46" s="149">
        <f t="shared" si="17"/>
        <v>4.8325649001850941E-2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1.4482597334747438</v>
      </c>
      <c r="D47" s="165">
        <f t="shared" si="18"/>
        <v>1.8092495323267772</v>
      </c>
      <c r="E47" s="165">
        <f t="shared" si="18"/>
        <v>0.37206992734987693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3.6943316343091043E-3</v>
      </c>
      <c r="D48" s="149">
        <f>IF(D14="","",IF(D18&lt;=0,"-",D18/D14))</f>
        <v>3.1377556137976285E-3</v>
      </c>
      <c r="E48" s="149">
        <f t="shared" ref="E48:M48" si="19">IF(E14="","",IF(E18&lt;=0,"-",E18/E14))</f>
        <v>1.2183847258835851E-2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4.7286852934645554</v>
      </c>
      <c r="D49" s="167">
        <f t="shared" si="20"/>
        <v>4.1639487695683695</v>
      </c>
      <c r="E49" s="167">
        <f t="shared" si="20"/>
        <v>2.4874071826139219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0.47478104591089182</v>
      </c>
      <c r="D51" s="166">
        <f t="shared" si="21"/>
        <v>0.51787070012664316</v>
      </c>
      <c r="E51" s="166">
        <f t="shared" si="21"/>
        <v>0.44262146655414542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8.6902655336968199E-2</v>
      </c>
      <c r="D52" s="149">
        <f>IF(D7="","",D7/D21)</f>
        <v>0.13507590672231998</v>
      </c>
      <c r="E52" s="149">
        <f t="shared" ref="E52:M52" si="22">IF(E7="","",E7/E21)</f>
        <v>3.1527250240583955E-2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378</v>
      </c>
      <c r="C53" s="168">
        <f>C21/C29</f>
        <v>1.131173322330681</v>
      </c>
      <c r="D53" s="168">
        <f>IF(D29="","",D21/D29)</f>
        <v>1.1588343889227657</v>
      </c>
      <c r="E53" s="168">
        <f t="shared" ref="E53:M53" si="23">IF(E29="","",E21/E29)</f>
        <v>1.2810430840144151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377</v>
      </c>
      <c r="C54" s="149">
        <f>C51*C52*C53</f>
        <v>4.667190992723403E-2</v>
      </c>
      <c r="D54" s="149">
        <f>IF(D51="","",D51*D52*D53)</f>
        <v>8.1062614429709939E-2</v>
      </c>
      <c r="E54" s="149">
        <f t="shared" ref="E54:M54" si="24">IF(E51="","",E51*E52*E53)</f>
        <v>1.7876492164072073E-2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9.9097182325195918E-3</v>
      </c>
      <c r="D55" s="158">
        <f>IF(D38="","",D38*D54)</f>
        <v>2.1002249585389977E-3</v>
      </c>
      <c r="E55" s="158">
        <f t="shared" ref="E55:M55" si="25">IF(E38="","",E38*E54)</f>
        <v>5.1226044257605388E-4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340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5" priority="2">
      <formula>$C$58="No"</formula>
    </cfRule>
  </conditionalFormatting>
  <conditionalFormatting sqref="C7:M38 D45:M49 D51:M55">
    <cfRule type="containsBlanks" dxfId="14" priority="5">
      <formula>LEN(TRIM(C7))=0</formula>
    </cfRule>
  </conditionalFormatting>
  <conditionalFormatting sqref="C40:M43">
    <cfRule type="containsBlanks" dxfId="13" priority="7">
      <formula>LEN(TRIM(C40))=0</formula>
    </cfRule>
  </conditionalFormatting>
  <conditionalFormatting sqref="D17:M18">
    <cfRule type="containsBlanks" dxfId="12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F36" sqref="F3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160090995.734</v>
      </c>
      <c r="E3" s="191" t="str">
        <f>IF((C49-I49)=D3,"", "Error!")</f>
        <v/>
      </c>
      <c r="F3" s="6"/>
      <c r="G3" s="6"/>
      <c r="H3" s="112" t="s">
        <v>216</v>
      </c>
      <c r="I3" s="163">
        <v>159323330.11500001</v>
      </c>
      <c r="K3" s="43"/>
    </row>
    <row r="4" spans="1:11" ht="15" customHeight="1">
      <c r="B4" s="5" t="s">
        <v>193</v>
      </c>
      <c r="C4" s="6"/>
      <c r="D4" s="186">
        <f>D3-I3</f>
        <v>767665.61899998784</v>
      </c>
      <c r="E4" s="90"/>
      <c r="F4" s="6"/>
      <c r="G4" s="6"/>
      <c r="H4" s="38" t="s">
        <v>71</v>
      </c>
      <c r="I4" s="139">
        <f>(I3*Dashboard!I12*Data!C4)/Dashboard!I5</f>
        <v>19.496533400243045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94693138.395559996</v>
      </c>
      <c r="E6" s="149">
        <f>1-D6/D3</f>
        <v>0.40850428244635406</v>
      </c>
      <c r="F6" s="6"/>
      <c r="G6" s="6"/>
      <c r="H6" s="3" t="s">
        <v>257</v>
      </c>
      <c r="I6" s="184">
        <f>C28/I28</f>
        <v>4.8817709652895234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11.587681064476177</v>
      </c>
      <c r="E7" s="18" t="str">
        <f>Dashboard!J4</f>
        <v>HKD</v>
      </c>
      <c r="H7" s="3" t="s">
        <v>258</v>
      </c>
      <c r="I7" s="184">
        <f>C25/I28</f>
        <v>0.49441990437393296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3.2145491810156961</v>
      </c>
      <c r="K8" s="43"/>
    </row>
    <row r="9" spans="1:11" ht="15" customHeight="1">
      <c r="A9" s="4"/>
      <c r="B9" s="111" t="s">
        <v>211</v>
      </c>
      <c r="C9" s="84"/>
      <c r="D9" s="188">
        <v>44926</v>
      </c>
      <c r="E9" s="189" t="s">
        <v>379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3379024.0260000001</v>
      </c>
      <c r="D11" s="180">
        <v>1</v>
      </c>
      <c r="E11" s="51">
        <f t="shared" ref="E11:E21" si="0">C11*D11</f>
        <v>3379024.0260000001</v>
      </c>
      <c r="F11" s="6"/>
      <c r="G11" s="6"/>
      <c r="H11" s="5" t="s">
        <v>79</v>
      </c>
      <c r="I11" s="179">
        <v>2230528</v>
      </c>
      <c r="J11" s="6"/>
      <c r="K11" s="43"/>
    </row>
    <row r="12" spans="1:11" ht="14">
      <c r="B12" s="3" t="s">
        <v>80</v>
      </c>
      <c r="C12" s="179">
        <v>41083645.866999999</v>
      </c>
      <c r="D12" s="180">
        <v>0.98</v>
      </c>
      <c r="E12" s="51">
        <f t="shared" si="0"/>
        <v>40261972.949659996</v>
      </c>
      <c r="F12" s="6"/>
      <c r="G12" s="6"/>
      <c r="H12" s="5" t="s">
        <v>81</v>
      </c>
      <c r="I12" s="179">
        <v>40711.811999999998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1695386.811</v>
      </c>
      <c r="J13" s="6"/>
      <c r="K13" s="45"/>
    </row>
    <row r="14" spans="1:11" ht="14">
      <c r="B14" s="5" t="s">
        <v>84</v>
      </c>
      <c r="C14" s="179">
        <v>9150.4850000000006</v>
      </c>
      <c r="D14" s="180">
        <v>0.6</v>
      </c>
      <c r="E14" s="51">
        <f t="shared" si="0"/>
        <v>5490.2910000000002</v>
      </c>
      <c r="F14" s="6"/>
      <c r="G14" s="6"/>
      <c r="H14" s="6" t="s">
        <v>349</v>
      </c>
      <c r="I14" s="179">
        <v>0</v>
      </c>
      <c r="J14" s="6"/>
      <c r="K14" s="47"/>
    </row>
    <row r="15" spans="1:11" ht="14">
      <c r="B15" s="5" t="s">
        <v>86</v>
      </c>
      <c r="C15" s="179">
        <v>0</v>
      </c>
      <c r="D15" s="180">
        <v>0.8</v>
      </c>
      <c r="E15" s="51">
        <f t="shared" si="0"/>
        <v>0</v>
      </c>
      <c r="F15" s="6"/>
      <c r="G15" s="6"/>
      <c r="H15" s="5" t="s">
        <v>87</v>
      </c>
      <c r="I15" s="130">
        <f>I28-SUM(I11:I14)</f>
        <v>9867916.8460000008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348</v>
      </c>
      <c r="C17" s="179">
        <v>6840073.6589999991</v>
      </c>
      <c r="D17" s="180">
        <v>0.6</v>
      </c>
      <c r="E17" s="51">
        <f t="shared" si="0"/>
        <v>4104044.1953999992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13046.883</v>
      </c>
      <c r="D18" s="180">
        <v>0.6</v>
      </c>
      <c r="E18" s="51">
        <f t="shared" si="0"/>
        <v>7828.1297999999997</v>
      </c>
      <c r="F18" s="6"/>
      <c r="G18" s="6"/>
      <c r="H18" s="6"/>
      <c r="I18" s="6"/>
    </row>
    <row r="19" spans="2:10" ht="14">
      <c r="B19" s="3" t="s">
        <v>89</v>
      </c>
      <c r="C19" s="179">
        <v>8609555.8550000004</v>
      </c>
      <c r="D19" s="180">
        <v>0.6</v>
      </c>
      <c r="E19" s="51">
        <f t="shared" si="0"/>
        <v>5165733.5130000003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7527029.5259999996</v>
      </c>
      <c r="D20" s="180">
        <v>0.45</v>
      </c>
      <c r="E20" s="51">
        <f t="shared" si="0"/>
        <v>3387163.2867000001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75546.323999999993</v>
      </c>
      <c r="D21" s="180">
        <v>0.95</v>
      </c>
      <c r="E21" s="51">
        <f t="shared" si="0"/>
        <v>71769.007799999992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390</v>
      </c>
      <c r="G23" s="6"/>
      <c r="H23" s="6"/>
      <c r="I23" s="6"/>
    </row>
    <row r="24" spans="2:10" ht="15" customHeight="1">
      <c r="B24" s="41" t="s">
        <v>380</v>
      </c>
      <c r="C24" s="182">
        <f>SUM(C11:C14)</f>
        <v>44471820.377999999</v>
      </c>
      <c r="D24" s="183">
        <f>IF(E24=0,0,E24/C24)</f>
        <v>0.98144143630000158</v>
      </c>
      <c r="E24" s="51">
        <f>SUM(E11:E14)</f>
        <v>43646487.266659997</v>
      </c>
      <c r="F24" s="233">
        <f>E24/$E$28</f>
        <v>0.77410686917760585</v>
      </c>
      <c r="G24" s="6"/>
      <c r="H24" s="3" t="s">
        <v>388</v>
      </c>
      <c r="I24" s="312">
        <f>I11+I12+I13</f>
        <v>3966626.6229999997</v>
      </c>
    </row>
    <row r="25" spans="2:10" ht="15" customHeight="1">
      <c r="B25" s="41" t="s">
        <v>384</v>
      </c>
      <c r="C25" s="182">
        <f>SUM(C15:C17)</f>
        <v>6840073.6589999991</v>
      </c>
      <c r="D25" s="183">
        <f>IF(E25=0,0,E25/C25)</f>
        <v>0.6</v>
      </c>
      <c r="E25" s="51">
        <f>SUM(E15:E17)</f>
        <v>4104044.1953999992</v>
      </c>
      <c r="F25" s="233">
        <f t="shared" ref="F25:F27" si="2">E25/$E$28</f>
        <v>7.278864811405783E-2</v>
      </c>
      <c r="G25" s="6"/>
      <c r="H25" s="41" t="s">
        <v>391</v>
      </c>
      <c r="I25" s="184">
        <f>E28/I28</f>
        <v>4.0755248285352721</v>
      </c>
    </row>
    <row r="26" spans="2:10" ht="15" customHeight="1">
      <c r="B26" s="41" t="s">
        <v>382</v>
      </c>
      <c r="C26" s="182">
        <f>C18+C19+C20</f>
        <v>16149632.263999999</v>
      </c>
      <c r="D26" s="183">
        <f t="shared" ref="D26:D27" si="3">IF(E26=0,0,E26/C26)</f>
        <v>0.53008791714614867</v>
      </c>
      <c r="E26" s="51">
        <f>E18+E19+E20</f>
        <v>8560724.9295000006</v>
      </c>
      <c r="F26" s="233">
        <f t="shared" si="2"/>
        <v>0.15183159947279407</v>
      </c>
      <c r="G26" s="6"/>
      <c r="H26" s="41" t="s">
        <v>260</v>
      </c>
      <c r="I26" s="184">
        <f>E24/($I$28-I15)</f>
        <v>11.003427197705268</v>
      </c>
      <c r="J26" s="13" t="str">
        <f>IF(I26&lt;1,"Liquidity Problem!","")</f>
        <v/>
      </c>
    </row>
    <row r="27" spans="2:10" ht="15" customHeight="1">
      <c r="B27" s="41" t="s">
        <v>383</v>
      </c>
      <c r="C27" s="305">
        <f>C21+C22</f>
        <v>75546.323999999993</v>
      </c>
      <c r="D27" s="183">
        <f t="shared" si="3"/>
        <v>0.95</v>
      </c>
      <c r="E27" s="51">
        <f>E21+E22</f>
        <v>71769.007799999992</v>
      </c>
      <c r="F27" s="233">
        <f t="shared" si="2"/>
        <v>1.2728832355422817E-3</v>
      </c>
      <c r="G27" s="6"/>
      <c r="H27" s="41" t="s">
        <v>264</v>
      </c>
      <c r="I27" s="184">
        <f>(E25+E24)/$I$28</f>
        <v>3.4515437078973985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67537072.625</v>
      </c>
      <c r="D28" s="166">
        <f t="shared" ref="D28" si="4">E28/C28</f>
        <v>0.83484556270934451</v>
      </c>
      <c r="E28" s="212">
        <f>SUM(E24:E27)</f>
        <v>56383025.399359994</v>
      </c>
      <c r="F28" s="6"/>
      <c r="G28" s="6"/>
      <c r="H28" s="306" t="s">
        <v>53</v>
      </c>
      <c r="I28" s="190">
        <v>13834543.469000001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997248.75199999998</v>
      </c>
      <c r="J30" s="6"/>
    </row>
    <row r="31" spans="2:10" ht="15" customHeight="1">
      <c r="B31" s="5" t="s">
        <v>96</v>
      </c>
      <c r="C31" s="179">
        <v>941238.06900000002</v>
      </c>
      <c r="D31" s="180">
        <v>0.6</v>
      </c>
      <c r="E31" s="51">
        <f t="shared" ref="E31:E42" si="5">C31*D31</f>
        <v>564742.84140000003</v>
      </c>
      <c r="F31" s="6"/>
      <c r="G31" s="6"/>
      <c r="H31" s="5" t="s">
        <v>97</v>
      </c>
      <c r="I31" s="179">
        <v>35896.328000000001</v>
      </c>
      <c r="J31" s="6"/>
    </row>
    <row r="32" spans="2:10" ht="15" customHeight="1">
      <c r="B32" s="5" t="s">
        <v>98</v>
      </c>
      <c r="C32" s="179">
        <v>0</v>
      </c>
      <c r="D32" s="180">
        <v>0</v>
      </c>
      <c r="E32" s="51">
        <f t="shared" si="5"/>
        <v>0</v>
      </c>
      <c r="F32" s="6"/>
      <c r="G32" s="6"/>
      <c r="H32" s="5" t="s">
        <v>100</v>
      </c>
      <c r="I32" s="179">
        <v>1739746.648</v>
      </c>
      <c r="J32" s="6"/>
    </row>
    <row r="33" spans="2:10" ht="14">
      <c r="B33" s="3" t="s">
        <v>99</v>
      </c>
      <c r="C33" s="179">
        <v>0</v>
      </c>
      <c r="D33" s="180">
        <v>0.3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350</v>
      </c>
      <c r="I33" s="179">
        <v>0</v>
      </c>
      <c r="J33" s="6"/>
    </row>
    <row r="34" spans="2:10" ht="14">
      <c r="B34" s="5" t="s">
        <v>101</v>
      </c>
      <c r="C34" s="179">
        <v>19909711.574000001</v>
      </c>
      <c r="D34" s="180">
        <v>0.4</v>
      </c>
      <c r="E34" s="51">
        <f t="shared" si="5"/>
        <v>7963884.6296000006</v>
      </c>
      <c r="F34" s="6"/>
      <c r="G34" s="6"/>
      <c r="H34" s="5" t="s">
        <v>102</v>
      </c>
      <c r="I34" s="130">
        <f>I48-SUM(I30:I33)</f>
        <v>2692468.8590000002</v>
      </c>
      <c r="J34" s="6"/>
    </row>
    <row r="35" spans="2:10" ht="14">
      <c r="B35" s="5" t="s">
        <v>103</v>
      </c>
      <c r="C35" s="179">
        <v>23060132.886</v>
      </c>
      <c r="D35" s="180">
        <v>0.4</v>
      </c>
      <c r="E35" s="51">
        <f t="shared" si="5"/>
        <v>9224053.1544000003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66597606.537</v>
      </c>
      <c r="D36" s="180">
        <v>0.6</v>
      </c>
      <c r="E36" s="51">
        <f t="shared" si="5"/>
        <v>39958563.922200002</v>
      </c>
      <c r="F36" s="181" t="s">
        <v>203</v>
      </c>
      <c r="G36" s="58">
        <f>IF(F36="Y",0,1)</f>
        <v>0</v>
      </c>
      <c r="H36" s="6"/>
      <c r="I36" s="6"/>
    </row>
    <row r="37" spans="2:10" ht="14">
      <c r="B37" s="3" t="s">
        <v>90</v>
      </c>
      <c r="C37" s="179">
        <v>0</v>
      </c>
      <c r="D37" s="180">
        <v>0.45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v>114740.003</v>
      </c>
      <c r="D38" s="180">
        <v>0.4</v>
      </c>
      <c r="E38" s="51">
        <f t="shared" si="5"/>
        <v>45896.001199999999</v>
      </c>
      <c r="F38" s="6"/>
      <c r="G38" s="6"/>
      <c r="H38" s="6"/>
      <c r="I38" s="6"/>
    </row>
    <row r="39" spans="2:10" ht="14">
      <c r="B39" s="5" t="s">
        <v>251</v>
      </c>
      <c r="C39" s="179">
        <v>1217891.264</v>
      </c>
      <c r="D39" s="180">
        <v>0.5</v>
      </c>
      <c r="E39" s="51">
        <f t="shared" si="5"/>
        <v>608945.63199999998</v>
      </c>
      <c r="F39" s="6"/>
      <c r="G39" s="6"/>
      <c r="H39" s="6"/>
      <c r="I39" s="6"/>
    </row>
    <row r="40" spans="2:10" ht="15" customHeight="1">
      <c r="B40" s="5" t="s">
        <v>105</v>
      </c>
      <c r="C40" s="179">
        <v>0</v>
      </c>
      <c r="D40" s="180">
        <v>0.1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12206.832</v>
      </c>
      <c r="D41" s="180">
        <v>0.95</v>
      </c>
      <c r="E41" s="51">
        <f t="shared" si="5"/>
        <v>11596.490400000001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300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381</v>
      </c>
      <c r="C44" s="182">
        <f>SUM(C30:C31)</f>
        <v>941238.06900000002</v>
      </c>
      <c r="D44" s="183">
        <f>IF(E44=0,0,E44/C44)</f>
        <v>0.6</v>
      </c>
      <c r="E44" s="51">
        <f>SUM(E30:E31)</f>
        <v>564742.84140000003</v>
      </c>
      <c r="F44" s="233"/>
      <c r="G44" s="6"/>
      <c r="H44" s="3" t="s">
        <v>389</v>
      </c>
      <c r="I44" s="312">
        <f>I30+I31+I32</f>
        <v>2772891.7280000001</v>
      </c>
    </row>
    <row r="45" spans="2:10" ht="15" customHeight="1">
      <c r="B45" s="41" t="s">
        <v>385</v>
      </c>
      <c r="C45" s="182">
        <f>SUM(C32:C35)</f>
        <v>42969844.460000001</v>
      </c>
      <c r="D45" s="183">
        <f>IF(E45=0,0,E45/C45)</f>
        <v>0.4</v>
      </c>
      <c r="E45" s="51">
        <f>SUM(E32:E35)</f>
        <v>17187937.784000002</v>
      </c>
      <c r="F45" s="233"/>
      <c r="G45" s="6"/>
    </row>
    <row r="46" spans="2:10" ht="15" customHeight="1">
      <c r="B46" s="41" t="s">
        <v>386</v>
      </c>
      <c r="C46" s="182">
        <f>C36+C37+C38+C39</f>
        <v>67930237.804000005</v>
      </c>
      <c r="D46" s="183">
        <f t="shared" ref="D46:D47" si="6">IF(E46=0,0,E46/C46)</f>
        <v>0.59786932694954464</v>
      </c>
      <c r="E46" s="51">
        <f>E36+E37+E38+E39</f>
        <v>40613405.555399999</v>
      </c>
      <c r="F46" s="6"/>
      <c r="G46" s="6"/>
      <c r="H46" s="41" t="s">
        <v>261</v>
      </c>
      <c r="I46" s="184">
        <f>(E44+E24)/D55</f>
        <v>6.5599984754845275</v>
      </c>
      <c r="J46" s="13" t="str">
        <f>IF(I46&lt;1,"Liquidity Problem!","")</f>
        <v/>
      </c>
    </row>
    <row r="47" spans="2:10" ht="15" customHeight="1">
      <c r="B47" s="41" t="s">
        <v>387</v>
      </c>
      <c r="C47" s="182">
        <f>C40+C41+C42</f>
        <v>12506.832</v>
      </c>
      <c r="D47" s="183">
        <f t="shared" si="6"/>
        <v>0.927212454760726</v>
      </c>
      <c r="E47" s="51">
        <f>E40+E41+E42</f>
        <v>11596.490400000001</v>
      </c>
      <c r="F47" s="6"/>
      <c r="G47" s="6"/>
      <c r="H47" s="41" t="s">
        <v>265</v>
      </c>
      <c r="I47" s="184">
        <f>(E44+E45+E24+E25)/$I$49</f>
        <v>3.3939656848758375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111853827.16500001</v>
      </c>
      <c r="D48" s="310">
        <f>E48/C48</f>
        <v>0.52191046252789164</v>
      </c>
      <c r="E48" s="304">
        <f>SUM(E30:E42)</f>
        <v>58377682.6712</v>
      </c>
      <c r="F48" s="6"/>
      <c r="G48" s="6"/>
      <c r="H48" s="308" t="s">
        <v>109</v>
      </c>
      <c r="I48" s="311">
        <v>5465360.5870000003</v>
      </c>
      <c r="J48" s="13"/>
    </row>
    <row r="49" spans="2:10" ht="15" customHeight="1" thickTop="1">
      <c r="B49" s="5" t="s">
        <v>376</v>
      </c>
      <c r="C49" s="182">
        <f>SUM(C44:C47)+C28</f>
        <v>179390899.79000002</v>
      </c>
      <c r="D49" s="149">
        <f>E49/C49</f>
        <v>0.63972424579453069</v>
      </c>
      <c r="E49" s="51">
        <f>E28+E48</f>
        <v>114760708.07055999</v>
      </c>
      <c r="F49" s="6"/>
      <c r="G49" s="6"/>
      <c r="H49" s="5" t="s">
        <v>262</v>
      </c>
      <c r="I49" s="130">
        <f>I28+I48</f>
        <v>19299904.056000002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767665.61899998784</v>
      </c>
      <c r="D53" s="54">
        <f>IF(E53=0, 0,E53/C53)</f>
        <v>1</v>
      </c>
      <c r="E53" s="51">
        <f>MAX(C53,C53*Dashboard!I10)</f>
        <v>767665.61899998784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6">
        <f>D56+D57+D58</f>
        <v>6739518.3509999998</v>
      </c>
      <c r="E55" s="377"/>
      <c r="F55" s="5"/>
      <c r="G55" s="5"/>
      <c r="H55" s="6"/>
      <c r="I55" s="6"/>
    </row>
    <row r="56" spans="2:10" ht="14.5" thickTop="1">
      <c r="B56" s="37" t="s">
        <v>197</v>
      </c>
      <c r="C56" s="6"/>
      <c r="D56" s="347">
        <f>SUM(I11:I13)+SUM(I30:I32)</f>
        <v>6739518.3509999998</v>
      </c>
      <c r="E56" s="378"/>
      <c r="F56" s="5"/>
      <c r="G56" s="5"/>
      <c r="H56" s="6" t="s">
        <v>263</v>
      </c>
      <c r="I56" s="149">
        <f>D56/I3</f>
        <v>4.2300888050327577E-2</v>
      </c>
    </row>
    <row r="57" spans="2:10" ht="14">
      <c r="B57" s="37" t="s">
        <v>112</v>
      </c>
      <c r="C57" s="6"/>
      <c r="D57" s="383">
        <v>0</v>
      </c>
      <c r="E57" s="31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3">
        <v>0</v>
      </c>
      <c r="E58" s="31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347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24010521.440000001</v>
      </c>
      <c r="D61" s="149">
        <f>IF(E61=0,0,E61/C61)</f>
        <v>0.40791643410473138</v>
      </c>
      <c r="E61" s="130">
        <f>E14+E15+(E19*G19)+(E20*G20)+E31+E32+(E33*G33)+(E35*G35)+(E36*G36)+(E37*G37)</f>
        <v>9794286.2868000008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44462669.892999999</v>
      </c>
      <c r="D62" s="54">
        <f>IF(E62=0,0,E62/C62)</f>
        <v>0.98151993752697786</v>
      </c>
      <c r="E62" s="182">
        <f>E11+E12+E30</f>
        <v>43640996.975659996</v>
      </c>
      <c r="F62" s="6"/>
      <c r="G62" s="6"/>
      <c r="H62" s="6"/>
      <c r="I62" s="6"/>
    </row>
    <row r="63" spans="2:10" ht="14">
      <c r="B63" s="32" t="s">
        <v>116</v>
      </c>
      <c r="C63" s="6"/>
      <c r="D63" s="347">
        <f>((Dashboard!I6*Data!C4)+D55+E53-C61-C62)</f>
        <v>11518567.66931998</v>
      </c>
      <c r="E63" s="347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1">
        <f>((C28-C11-C12-C14-C15-C16*G16-C19*G19-C20*G20)-I28)/Data!C7</f>
        <v>0.5934554144758829</v>
      </c>
      <c r="E66" s="382"/>
      <c r="F66" s="6"/>
      <c r="G66" s="6"/>
      <c r="H66" s="6"/>
      <c r="I66" s="6"/>
    </row>
    <row r="67" spans="2:9" ht="15" customHeight="1">
      <c r="B67" s="3" t="s">
        <v>222</v>
      </c>
      <c r="C67" s="6"/>
      <c r="D67" s="379">
        <v>8.5599999999999996E-2</v>
      </c>
      <c r="E67" s="380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79">
        <v>0.15</v>
      </c>
      <c r="E68" s="380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tabSelected="1" zoomScaleNormal="100" zoomScalePageLayoutView="80" workbookViewId="0">
      <selection activeCell="F20" sqref="F20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2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43646</v>
      </c>
      <c r="D3" s="194">
        <f>EOMONTH(EDATE(E3,-12),0)</f>
        <v>44012</v>
      </c>
      <c r="E3" s="194">
        <f>EOMONTH(EDATE(F3,-12),0)</f>
        <v>44377</v>
      </c>
      <c r="F3" s="194">
        <f>Dashboard!E6</f>
        <v>44742</v>
      </c>
      <c r="G3" s="194">
        <f>EOMONTH(EDATE(F3,12),0)</f>
        <v>45107</v>
      </c>
      <c r="H3" s="194">
        <f>IF(H9="","",EOMONTH(EDATE(G3,12),0))</f>
        <v>45473</v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409</v>
      </c>
      <c r="C4" s="205"/>
      <c r="D4" s="205"/>
      <c r="E4" s="205"/>
      <c r="F4" s="205">
        <v>11129690.461999999</v>
      </c>
      <c r="G4" s="205">
        <v>5639074.0700000003</v>
      </c>
      <c r="H4" s="206">
        <v>8571392.5864000004</v>
      </c>
      <c r="I4" s="206"/>
      <c r="J4" s="6"/>
      <c r="K4" s="43"/>
      <c r="L4" s="36"/>
    </row>
    <row r="5" spans="1:12" ht="15.75" customHeight="1">
      <c r="B5" s="118" t="s">
        <v>410</v>
      </c>
      <c r="C5" s="196"/>
      <c r="D5" s="196"/>
      <c r="E5" s="196"/>
      <c r="F5" s="196">
        <v>1147617.763</v>
      </c>
      <c r="G5" s="196">
        <v>1182643.5900000001</v>
      </c>
      <c r="H5" s="197">
        <v>1218122.8977000001</v>
      </c>
      <c r="I5" s="197"/>
      <c r="J5" s="6"/>
      <c r="K5" s="43"/>
      <c r="L5" s="36"/>
    </row>
    <row r="6" spans="1:12" ht="15.75" customHeight="1">
      <c r="B6" s="118" t="s">
        <v>411</v>
      </c>
      <c r="C6" s="196"/>
      <c r="D6" s="196"/>
      <c r="E6" s="196"/>
      <c r="F6" s="196">
        <v>451993.272</v>
      </c>
      <c r="G6" s="196">
        <v>910302.3</v>
      </c>
      <c r="H6" s="197">
        <v>1001332.5300000001</v>
      </c>
      <c r="I6" s="197"/>
      <c r="J6" s="6"/>
      <c r="K6" s="43"/>
      <c r="L6" s="36"/>
    </row>
    <row r="7" spans="1:12" ht="15.75" customHeight="1">
      <c r="B7" s="118" t="s">
        <v>412</v>
      </c>
      <c r="C7" s="196"/>
      <c r="D7" s="196"/>
      <c r="E7" s="196"/>
      <c r="F7" s="196">
        <v>2738482.4139999999</v>
      </c>
      <c r="G7" s="196">
        <v>2712461.43</v>
      </c>
      <c r="H7" s="197">
        <v>2793835.2729000002</v>
      </c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3573978</v>
      </c>
      <c r="D8" s="198">
        <f>Data!E7</f>
        <v>5886888</v>
      </c>
      <c r="E8" s="198">
        <f>Data!D7</f>
        <v>24545345</v>
      </c>
      <c r="F8" s="198">
        <f>Data!C7</f>
        <v>15554174</v>
      </c>
      <c r="G8" s="200">
        <f>SUM(G4:G7)</f>
        <v>10444481.390000001</v>
      </c>
      <c r="H8" s="200">
        <f>SUM(H4:H7)</f>
        <v>13584683.287</v>
      </c>
      <c r="I8" s="201"/>
      <c r="J8" s="6"/>
      <c r="K8" s="43"/>
      <c r="L8" s="36"/>
    </row>
    <row r="9" spans="1:12" ht="15.75" customHeight="1">
      <c r="B9" s="14" t="s">
        <v>354</v>
      </c>
      <c r="C9" s="285"/>
      <c r="D9" s="171">
        <f>D8/C8-1</f>
        <v>0.64715283641925048</v>
      </c>
      <c r="E9" s="171">
        <f>E8/D8-1</f>
        <v>3.1694941368002922</v>
      </c>
      <c r="F9" s="171">
        <f>Data!C8</f>
        <v>-0.36630860148838817</v>
      </c>
      <c r="G9" s="149">
        <f>G8/F8-1</f>
        <v>-0.32850941554337754</v>
      </c>
      <c r="H9" s="149">
        <f>H8/G8-1</f>
        <v>0.30065656491154891</v>
      </c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3214958</v>
      </c>
      <c r="D10" s="202">
        <f>Data!E9</f>
        <v>2437232</v>
      </c>
      <c r="E10" s="202">
        <f>Data!D9</f>
        <v>11010749</v>
      </c>
      <c r="F10" s="202">
        <f>Data!C9</f>
        <v>7301864</v>
      </c>
      <c r="G10" s="203">
        <f>(4650060+403099+85721)*2</f>
        <v>10277760</v>
      </c>
      <c r="H10" s="204">
        <f>IF(H8="","",H8*(1-H11))</f>
        <v>6792341.6435000002</v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0.10045389199373919</v>
      </c>
      <c r="D11" s="96">
        <f t="shared" si="0"/>
        <v>0.58598974534592807</v>
      </c>
      <c r="E11" s="96">
        <f t="shared" si="0"/>
        <v>0.55141192759767688</v>
      </c>
      <c r="F11" s="96">
        <f>(F8-F10)/F8</f>
        <v>0.53055276352186875</v>
      </c>
      <c r="G11" s="208">
        <v>0.4</v>
      </c>
      <c r="H11" s="208">
        <v>0.5</v>
      </c>
      <c r="I11" s="208"/>
      <c r="J11" s="6"/>
      <c r="K11" s="43"/>
    </row>
    <row r="12" spans="1:12" ht="15.75" customHeight="1">
      <c r="B12" s="5" t="s">
        <v>353</v>
      </c>
      <c r="C12" s="51">
        <f>C8-C10</f>
        <v>359020</v>
      </c>
      <c r="D12" s="51">
        <f t="shared" ref="D12:E12" si="1">D8-D10</f>
        <v>3449656</v>
      </c>
      <c r="E12" s="51">
        <f t="shared" si="1"/>
        <v>13534596</v>
      </c>
      <c r="F12" s="51">
        <f>F8-F10</f>
        <v>8252310</v>
      </c>
      <c r="G12" s="51">
        <f>G8-G10</f>
        <v>166721.3900000006</v>
      </c>
      <c r="H12" s="51">
        <f>IF(H9="","",H8-H10)</f>
        <v>6792341.6435000002</v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7.6004385029790331E-2</v>
      </c>
      <c r="D13" s="54">
        <f t="shared" ref="D13:E13" si="2">D14/D8</f>
        <v>0.14336827879178268</v>
      </c>
      <c r="E13" s="54">
        <f t="shared" si="2"/>
        <v>3.3541227471033712E-2</v>
      </c>
      <c r="F13" s="54">
        <f>F14/F8</f>
        <v>5.5771717610976962E-2</v>
      </c>
      <c r="G13" s="207">
        <v>0.1037</v>
      </c>
      <c r="H13" s="180">
        <v>0.09</v>
      </c>
      <c r="I13" s="180"/>
      <c r="J13" s="6"/>
      <c r="K13" s="43"/>
    </row>
    <row r="14" spans="1:12" ht="15.75" customHeight="1">
      <c r="B14" s="8" t="s">
        <v>120</v>
      </c>
      <c r="C14" s="198">
        <f>Data!F11</f>
        <v>271638</v>
      </c>
      <c r="D14" s="198">
        <f>Data!E11</f>
        <v>843993</v>
      </c>
      <c r="E14" s="198">
        <f>Data!D11</f>
        <v>823281</v>
      </c>
      <c r="F14" s="198">
        <f>Data!C11</f>
        <v>867483</v>
      </c>
      <c r="G14" s="161">
        <f>207908*2</f>
        <v>415816</v>
      </c>
      <c r="H14" s="161">
        <f>H8*H13</f>
        <v>1222621.4958299999</v>
      </c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2.4449506963948854E-2</v>
      </c>
      <c r="D15" s="166">
        <f t="shared" si="3"/>
        <v>0.44262146655414542</v>
      </c>
      <c r="E15" s="166">
        <f t="shared" si="3"/>
        <v>0.51787070012664316</v>
      </c>
      <c r="F15" s="166">
        <f>F17/F8</f>
        <v>0.47478104591089182</v>
      </c>
      <c r="G15" s="166">
        <f>G17/G8</f>
        <v>-2.384939957272492E-2</v>
      </c>
      <c r="H15" s="166">
        <f>IF(H9="","",H17/H8)</f>
        <v>0.41000000000000003</v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28.819219061133872</v>
      </c>
      <c r="E16" s="171">
        <f t="shared" si="4"/>
        <v>3.8783419037688294</v>
      </c>
      <c r="F16" s="171">
        <f>F17/E17-1</f>
        <v>-0.41903516669990482</v>
      </c>
      <c r="G16" s="149" t="str">
        <f>IF(ABS(F17+G17)=ABS(F17)+ABS(G17),IF(G17&lt;0,-1,1)*(G17-F17)/F17,"Turn")</f>
        <v>Turn</v>
      </c>
      <c r="H16" s="149" t="str">
        <f>IF(H9="","",IF(ABS(G17+H17)=ABS(G17)+ABS(H17),IF(H17&lt;0,-1,1)*(H17-G17)/G17,"Turn"))</f>
        <v>Turn</v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87382</v>
      </c>
      <c r="D17" s="154">
        <f t="shared" si="5"/>
        <v>2605663</v>
      </c>
      <c r="E17" s="154">
        <f>E12-E14</f>
        <v>12711315</v>
      </c>
      <c r="F17" s="154">
        <f>F12-F14</f>
        <v>7384827</v>
      </c>
      <c r="G17" s="154">
        <f>G12-G14</f>
        <v>-249094.6099999994</v>
      </c>
      <c r="H17" s="154">
        <f>IF(H9="","",H12-H14)</f>
        <v>5569720.1476700008</v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>
        <f>IF(H17="","",G18)</f>
        <v>0.25</v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0.35608578443316885</v>
      </c>
      <c r="G19" s="149">
        <f>G20/G8</f>
        <v>-2.384939957272492E-2</v>
      </c>
      <c r="H19" s="149">
        <f>IF(H8="","",H20/H8)</f>
        <v>0.30750000000000005</v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5538620.25</v>
      </c>
      <c r="G20" s="210">
        <f>IF(G17="","",IF(G17&lt;=0,G17,G17*(1-G18)))</f>
        <v>-249094.6099999994</v>
      </c>
      <c r="H20" s="210">
        <f>IF(H17="","",IF(H17&lt;=0,H17,H17*(1-H18)))</f>
        <v>4177290.1107525006</v>
      </c>
      <c r="I20" s="210" t="str">
        <f>IF(I17="","",IF(I17&lt;=0,I17,I17*(1-I18)))</f>
        <v/>
      </c>
    </row>
    <row r="21" spans="2:12" ht="15.75" customHeight="1">
      <c r="B21" s="14" t="s">
        <v>339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>
        <f>IF(H8="","",IF(H9&lt;=0,0,(H8-G8)*Asset_Model!$D$67))</f>
        <v>268801.28238319996</v>
      </c>
      <c r="I21" s="213" t="str">
        <f>IF(I8="","",IF(I9&lt;=0,0,(I8-H8)*Asset_Model!$D$67))</f>
        <v/>
      </c>
    </row>
    <row r="22" spans="2:12" ht="15.75" customHeight="1">
      <c r="B22" s="14" t="s">
        <v>341</v>
      </c>
      <c r="C22" s="288"/>
      <c r="D22" s="288"/>
      <c r="E22" s="288"/>
      <c r="F22" s="95">
        <f>Data!C33</f>
        <v>1176000</v>
      </c>
      <c r="G22" s="161">
        <v>1000000</v>
      </c>
      <c r="H22" s="161">
        <v>1000000</v>
      </c>
      <c r="I22" s="161" t="str">
        <f>IF(I15="","",IF(ABS(H23+I23)=ABS(H23)+ABS(I23),IF(I23&lt;0,-1,1)*(I23-H23)/H23,"Turn"))</f>
        <v/>
      </c>
    </row>
    <row r="23" spans="2:12" ht="15.75" customHeight="1">
      <c r="B23" s="85" t="s">
        <v>344</v>
      </c>
      <c r="C23" s="289"/>
      <c r="D23" s="289"/>
      <c r="E23" s="289"/>
      <c r="F23" s="214">
        <f>F21+F22</f>
        <v>1176000</v>
      </c>
      <c r="G23" s="214">
        <f>IF(G15="","",G21+G22)</f>
        <v>1000000</v>
      </c>
      <c r="H23" s="214">
        <f>IF(H15="","",H21+H22)</f>
        <v>1268801.2823832</v>
      </c>
      <c r="I23" s="214" t="str">
        <f>IF(I15="","",I21+I22)</f>
        <v/>
      </c>
    </row>
    <row r="24" spans="2:12" ht="15.75" customHeight="1">
      <c r="B24" s="14" t="s">
        <v>333</v>
      </c>
      <c r="C24" s="285"/>
      <c r="D24" s="285"/>
      <c r="E24" s="285"/>
      <c r="F24" s="171">
        <f>AVERAGE(Data!C54:E54)</f>
        <v>4.8537005507005349E-2</v>
      </c>
      <c r="G24" s="384"/>
      <c r="H24" s="385"/>
      <c r="I24" s="386"/>
    </row>
    <row r="25" spans="2:12" ht="15.75" customHeight="1">
      <c r="B25" s="84" t="s">
        <v>123</v>
      </c>
      <c r="C25" s="289"/>
      <c r="D25" s="289"/>
      <c r="E25" s="289"/>
      <c r="F25" s="214">
        <f>F20-F23</f>
        <v>4362620.25</v>
      </c>
      <c r="G25" s="214">
        <f>G20-G23</f>
        <v>-1249094.6099999994</v>
      </c>
      <c r="H25" s="214">
        <f>IF(H20="","",H20-H23)</f>
        <v>2908488.8283693008</v>
      </c>
      <c r="I25" s="214" t="str">
        <f>IF(I20="","",I20-I23)</f>
        <v/>
      </c>
    </row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1">
    <mergeCell ref="G24:I24"/>
  </mergeCells>
  <phoneticPr fontId="31" type="noConversion"/>
  <conditionalFormatting sqref="G18:G20">
    <cfRule type="containsBlanks" dxfId="11" priority="18">
      <formula>LEN(TRIM(G18))=0</formula>
    </cfRule>
  </conditionalFormatting>
  <conditionalFormatting sqref="G24">
    <cfRule type="containsBlanks" dxfId="10" priority="7">
      <formula>LEN(TRIM(G24))=0</formula>
    </cfRule>
  </conditionalFormatting>
  <conditionalFormatting sqref="H10:H13 H15:H17">
    <cfRule type="containsBlanks" priority="27">
      <formula>LEN(TRIM(H10))=0</formula>
    </cfRule>
  </conditionalFormatting>
  <conditionalFormatting sqref="H10:H23">
    <cfRule type="containsBlanks" dxfId="9" priority="26">
      <formula>LEN(TRIM(H10))=0</formula>
    </cfRule>
  </conditionalFormatting>
  <conditionalFormatting sqref="H20:I20">
    <cfRule type="containsBlanks" dxfId="8" priority="20">
      <formula>LEN(TRIM(H20))=0</formula>
    </cfRule>
  </conditionalFormatting>
  <conditionalFormatting sqref="H21:I23 H25:I25">
    <cfRule type="containsBlanks" dxfId="7" priority="8">
      <formula>LEN(TRIM(H21))=0</formula>
    </cfRule>
    <cfRule type="containsBlanks" priority="9">
      <formula>LEN(TRIM(H21))=0</formula>
    </cfRule>
  </conditionalFormatting>
  <conditionalFormatting sqref="I9:I17">
    <cfRule type="containsBlanks" priority="23">
      <formula>LEN(TRIM(I9))=0</formula>
    </cfRule>
  </conditionalFormatting>
  <conditionalFormatting sqref="I9:I23">
    <cfRule type="containsBlanks" dxfId="6" priority="22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392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393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394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395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352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355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365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356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357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358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359</v>
      </c>
      <c r="J76" s="296"/>
      <c r="K76" s="296"/>
      <c r="L76" s="296"/>
      <c r="M76" s="296"/>
    </row>
    <row r="78" spans="2:13" ht="13">
      <c r="B78" s="297" t="s">
        <v>364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362</v>
      </c>
      <c r="J80" s="295"/>
      <c r="K80" s="295"/>
      <c r="L80" s="295"/>
      <c r="M80" s="295"/>
    </row>
    <row r="81" spans="2:13">
      <c r="B81" s="292" t="s">
        <v>363</v>
      </c>
      <c r="J81" s="295"/>
      <c r="K81" s="295"/>
      <c r="L81" s="295"/>
      <c r="M81" s="295"/>
    </row>
    <row r="82" spans="2:13">
      <c r="B82" s="292" t="s">
        <v>361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366</v>
      </c>
      <c r="J104" s="298">
        <f>Data!F19</f>
        <v>25020</v>
      </c>
      <c r="K104" s="298">
        <f>Data!E19</f>
        <v>1688050</v>
      </c>
      <c r="L104" s="298">
        <f>Data!D19</f>
        <v>9646036</v>
      </c>
      <c r="M104" s="298">
        <f>Data!C19</f>
        <v>5735396</v>
      </c>
    </row>
    <row r="105" spans="2:13">
      <c r="B105" t="s">
        <v>367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368</v>
      </c>
      <c r="J106" s="298">
        <f>Data!F40</f>
        <v>7352</v>
      </c>
      <c r="K106" s="298">
        <f>Data!E40</f>
        <v>1287845</v>
      </c>
      <c r="L106" s="298">
        <f>Data!D40</f>
        <v>508443</v>
      </c>
      <c r="M106" s="298">
        <f>Data!C40</f>
        <v>3053687</v>
      </c>
    </row>
    <row r="107" spans="2:13">
      <c r="B107" t="s">
        <v>369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371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373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374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375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F22" sqref="F2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2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44742</v>
      </c>
      <c r="D3" s="194">
        <f>Projections!G3</f>
        <v>45107</v>
      </c>
      <c r="E3" s="194">
        <f>Projections!H3</f>
        <v>45473</v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5538620.25</v>
      </c>
      <c r="D4" s="243">
        <f>IF(B4="NOPAT",Projections!G20,Projections!G8)</f>
        <v>-249094.6099999994</v>
      </c>
      <c r="E4" s="243">
        <f>IF(OR(Projections!H8="",E3=""),"",IF(B4="NOPAT",Projections!H20,Projections!H8))</f>
        <v>4177290.1107525006</v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-1.0449741269046202</v>
      </c>
      <c r="E5" s="241">
        <f>IF(E4="","",E4/D4-1)</f>
        <v>-17.769893618944668</v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0.21232724883060902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Projections!F23</f>
        <v>1176000</v>
      </c>
      <c r="D7" s="313">
        <f>Projections!G23</f>
        <v>1000000</v>
      </c>
      <c r="E7" s="247">
        <f>Projections!H23</f>
        <v>1268801.2823832</v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4362620.25</v>
      </c>
      <c r="D8" s="210">
        <f>Projections!G20-D7</f>
        <v>-1249094.6099999994</v>
      </c>
      <c r="E8" s="210">
        <f>IF(E4="","",Projections!H20-E7)</f>
        <v>2908488.8283693008</v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0.53385760488001377</v>
      </c>
      <c r="D9" s="248">
        <f>D8/(Common_Shares/Data!$C$4)</f>
        <v>-0.15285278537895536</v>
      </c>
      <c r="E9" s="248">
        <f>IF(E8="","",E8/(Common_Shares/Data!$C$4))</f>
        <v>0.35591428791756796</v>
      </c>
      <c r="F9" s="248" t="str">
        <f>IF(F8="","",F8/(Common_Shares/Data!$C$4))</f>
        <v/>
      </c>
      <c r="G9" s="249">
        <f>INDEX(D9:F9,Projections!E2)</f>
        <v>0.35591428791756796</v>
      </c>
      <c r="H9" s="49"/>
      <c r="I9" s="35"/>
      <c r="J9" s="35"/>
    </row>
    <row r="10" spans="1:10" ht="15.75" customHeight="1">
      <c r="B10" s="14" t="s">
        <v>124</v>
      </c>
      <c r="C10" s="246"/>
      <c r="D10" s="149">
        <f ca="1">IF(Projections!$E2=1,"",Dashboard!C12)</f>
        <v>0.06</v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>
        <f ca="1">IF(D10="","",1+D10)</f>
        <v>1.06</v>
      </c>
      <c r="E11" s="250" t="str">
        <f>IF(E10="","",(1+D10)*(1+E10))</f>
        <v/>
      </c>
      <c r="F11" s="250" t="str">
        <f>IF(F10="","",(1+D10)*(1+E10)*(1+F10))</f>
        <v/>
      </c>
      <c r="G11" s="250">
        <f ca="1">IF(F10="",IF(E10="",1,D11),E11)*(1+G10)*(1+G10)</f>
        <v>1.1236000000000002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>
        <f ca="1">IF(D11="","",D9/D11)</f>
        <v>-0.14420074092354279</v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43640996.975659996</v>
      </c>
      <c r="D15" s="106">
        <f>C15/(Dashboard!I5/Data!C4)*Exchange_Rate</f>
        <v>5.3403864615541012</v>
      </c>
      <c r="E15" s="52" t="s">
        <v>199</v>
      </c>
      <c r="G15" s="199">
        <f>C15+C16+C17+C18</f>
        <v>45928099.292460009</v>
      </c>
    </row>
    <row r="16" spans="1:10" ht="15.75" customHeight="1">
      <c r="B16" s="37" t="s">
        <v>205</v>
      </c>
      <c r="C16" s="51">
        <f>Asset_Model!E61</f>
        <v>9794286.2868000008</v>
      </c>
      <c r="D16" s="106">
        <f>C16/(Dashboard!I5/Data!C4)*Exchange_Rate</f>
        <v>1.1985352652640835</v>
      </c>
      <c r="E16" s="52" t="s">
        <v>275</v>
      </c>
      <c r="G16" s="264">
        <f>(G15+MIN(D4,0))*Data!C$4/Dashboard!I5*Exchange_Rate</f>
        <v>5.5897792234107548</v>
      </c>
    </row>
    <row r="17" spans="1:9" ht="15.75" customHeight="1">
      <c r="B17" s="37" t="s">
        <v>192</v>
      </c>
      <c r="C17" s="51">
        <f>-Asset_Model!D55</f>
        <v>-6739518.3509999998</v>
      </c>
      <c r="D17" s="106">
        <f>C17/(Dashboard!I5/Data!C4)*Exchange_Rate</f>
        <v>-0.82472067673315363</v>
      </c>
      <c r="E17" s="339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-767665.61899998784</v>
      </c>
      <c r="D18" s="106">
        <f>C18/(Dashboard!I5/Data!C4)*Exchange_Rate</f>
        <v>-9.3939904282997519E-2</v>
      </c>
      <c r="E18" s="339"/>
      <c r="F18" s="89">
        <f>D15+(MIN(D4,0)*Data!C$4/Dashboard!I5)</f>
        <v>5.3099045391628223</v>
      </c>
      <c r="G18" s="88">
        <f>SUM(D16:D18)</f>
        <v>0.27987468424793233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87" t="s">
        <v>195</v>
      </c>
      <c r="F20" s="387"/>
      <c r="G20" s="60"/>
    </row>
    <row r="21" spans="1:9" ht="15.75" customHeight="1">
      <c r="B21" s="81" t="str">
        <f>"TV after Year "&amp;Projections!E2</f>
        <v>TV after Year 2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1.9005746951810321</v>
      </c>
      <c r="F22" s="239">
        <f ca="1">SUM(D12:F12)+E22+$G$16</f>
        <v>7.3461531776682438</v>
      </c>
      <c r="G22" s="271">
        <f ca="1">F22*Exchange_Rate</f>
        <v>7.3461531776682438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3.8011493903620641</v>
      </c>
      <c r="F23" s="98">
        <f ca="1">SUM(D12:F12)+E23+$G$16</f>
        <v>9.2467278728492772</v>
      </c>
      <c r="G23" s="272">
        <f ca="1">F23*Exchange_Rate</f>
        <v>9.2467278728492772</v>
      </c>
      <c r="I23" s="43"/>
    </row>
    <row r="24" spans="1:9" ht="15.5" customHeight="1">
      <c r="C24" s="6"/>
      <c r="D24" s="6"/>
      <c r="E24" s="388" t="s">
        <v>332</v>
      </c>
      <c r="F24" s="389"/>
      <c r="G24" s="143">
        <f ca="1">MIN(G22,G23)+ABS(G22-G23)*Qualitative_Analysis!$E$64</f>
        <v>8.2713581109141945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2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44742</v>
      </c>
      <c r="D27" s="194">
        <f>D3</f>
        <v>45107</v>
      </c>
      <c r="E27" s="194">
        <f>E3</f>
        <v>45473</v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4362620.25</v>
      </c>
      <c r="D28" s="51">
        <f>D8</f>
        <v>-1249094.6099999994</v>
      </c>
      <c r="E28" s="51">
        <f>E8</f>
        <v>2908488.8283693008</v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f>5.31095%+1.8%</f>
        <v>7.1109500000000006E-2</v>
      </c>
      <c r="D29" s="207">
        <v>0.08</v>
      </c>
      <c r="E29" s="180">
        <v>0.08</v>
      </c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6739518.3509999998</v>
      </c>
      <c r="D30" s="150">
        <f>C30</f>
        <v>6739518.3509999998</v>
      </c>
      <c r="E30" s="161">
        <f>D30</f>
        <v>6739518.3509999998</v>
      </c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>
        <f>Projections!H18</f>
        <v>0.25</v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359432.83513532591</v>
      </c>
      <c r="D32" s="276">
        <f>(D30*D29)*(1-D31)</f>
        <v>404371.10106000002</v>
      </c>
      <c r="E32" s="277">
        <f>IF(E28="","",(E30*E29)*(1-E31))</f>
        <v>404371.10106000002</v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4003187.4148646742</v>
      </c>
      <c r="D33" s="210">
        <f>D28-D32</f>
        <v>-1653465.7110599994</v>
      </c>
      <c r="E33" s="210">
        <f>IF(E28="","",E28-E32)</f>
        <v>2504117.7273093006</v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0.48987349865839663</v>
      </c>
      <c r="D34" s="245">
        <f>D33/(Common_Shares/Data!$C$4)</f>
        <v>-0.20233602598294459</v>
      </c>
      <c r="E34" s="245">
        <f>IF(E33="","",E33/(Common_Shares/Data!$C$4))</f>
        <v>0.30643104731357873</v>
      </c>
      <c r="F34" s="245" t="str">
        <f>IF(F33="","",F33/(Common_Shares/Data!$C$4))</f>
        <v/>
      </c>
      <c r="G34" s="139">
        <f>INDEX(D34:F34,Projections!E2)</f>
        <v>0.30643104731357873</v>
      </c>
      <c r="H34" s="6"/>
      <c r="I34" s="43"/>
    </row>
    <row r="35" spans="1:9" ht="15.75" customHeight="1">
      <c r="B35" s="141" t="s">
        <v>305</v>
      </c>
      <c r="C35" s="273">
        <f>Dashboard!C31</f>
        <v>9.5399999999999991</v>
      </c>
      <c r="D35" s="149">
        <f ca="1">D10</f>
        <v>0.06</v>
      </c>
      <c r="E35" s="149" t="str">
        <f>IF(E10="","",E10)</f>
        <v/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>
        <f ca="1">IF(D35="","",C35*D35)</f>
        <v>0.57239999999999991</v>
      </c>
      <c r="E36" s="278" t="str">
        <f>IF(E35="","", $D$36)</f>
        <v/>
      </c>
      <c r="F36" s="278" t="str">
        <f>IF(F35="","", $D$36)</f>
        <v/>
      </c>
      <c r="G36" s="278">
        <f ca="1">C35*G35</f>
        <v>0.57239999999999991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0.23697688925910498</v>
      </c>
      <c r="D37" s="245">
        <f ca="1">IF(D36="","",D34-D36)</f>
        <v>-0.77473602598294455</v>
      </c>
      <c r="E37" s="245" t="str">
        <f>IF(E36="","",E34-E36)</f>
        <v/>
      </c>
      <c r="F37" s="245" t="str">
        <f>IF(F36="","",F34-F36)</f>
        <v/>
      </c>
      <c r="G37" s="275">
        <f ca="1">G34-G36</f>
        <v>-0.26596895268642118</v>
      </c>
      <c r="I37" s="43" t="s">
        <v>302</v>
      </c>
    </row>
    <row r="38" spans="1:9" ht="15.75" customHeight="1">
      <c r="B38" s="5" t="s">
        <v>125</v>
      </c>
      <c r="C38" s="144"/>
      <c r="D38" s="149">
        <f ca="1">D11</f>
        <v>1.06</v>
      </c>
      <c r="E38" s="149" t="str">
        <f>E11</f>
        <v/>
      </c>
      <c r="F38" s="149" t="str">
        <f>F11</f>
        <v/>
      </c>
      <c r="G38" s="149">
        <f ca="1">IF(F36="",IF(E36="",1,D38),E38)*(1+G35-C37)</f>
        <v>0.82302311074089507</v>
      </c>
      <c r="I38" s="43"/>
    </row>
    <row r="39" spans="1:9" ht="15.75" customHeight="1">
      <c r="B39" s="85" t="s">
        <v>310</v>
      </c>
      <c r="C39" s="145"/>
      <c r="D39" s="279">
        <f ca="1">IF(D37="","",D37/D38)</f>
        <v>-0.73088304338013632</v>
      </c>
      <c r="E39" s="279" t="str">
        <f>IF(E37="","",E37/E38)</f>
        <v/>
      </c>
      <c r="F39" s="279" t="str">
        <f>IF(F37="","",F37/F38)</f>
        <v/>
      </c>
      <c r="G39" s="279">
        <f ca="1">G37/G38</f>
        <v>-0.32316097715286851</v>
      </c>
      <c r="I39" s="43"/>
    </row>
    <row r="40" spans="1:9" ht="15.75" customHeight="1">
      <c r="B40" s="20" t="s">
        <v>330</v>
      </c>
      <c r="C40" s="6"/>
      <c r="D40" s="6"/>
      <c r="E40" s="390" t="s">
        <v>320</v>
      </c>
      <c r="F40" s="368"/>
      <c r="G40" s="280">
        <f>Asset_Model!D7</f>
        <v>11.587681064476177</v>
      </c>
    </row>
    <row r="41" spans="1:9" ht="15.75" customHeight="1">
      <c r="C41" s="6"/>
      <c r="D41" s="6"/>
      <c r="E41" s="388" t="s">
        <v>306</v>
      </c>
      <c r="F41" s="388"/>
      <c r="G41" s="281">
        <f ca="1">MAX((G40+SUM(D39:G39))*Exchange_Rate,0)</f>
        <v>10.533637043943173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9.5834798920710025</v>
      </c>
      <c r="D44" s="262" t="str">
        <f>Dashboard!J4</f>
        <v>HKD</v>
      </c>
      <c r="E44" s="263">
        <f ca="1">(C44-G16)/C9</f>
        <v>7.4808350244590871</v>
      </c>
      <c r="F44" s="263">
        <f ca="1">C44/(Data!C29*Exchange_Rate*Data!C4/Common_Shares)</f>
        <v>0.4949490112264181</v>
      </c>
      <c r="G44" s="263">
        <f ca="1">C44/(Data!C7*Data!C4*Exchange_Rate/Common_Shares)</f>
        <v>5.0349859174183385</v>
      </c>
      <c r="I44" s="43"/>
    </row>
    <row r="45" spans="1:9" ht="15.75" customHeight="1">
      <c r="B45" s="6" t="s">
        <v>313</v>
      </c>
      <c r="C45" s="255">
        <f>Asset_Model!I3*Exchange_Rate*Data!C4/Common_Shares*0.6</f>
        <v>11.697920040145826</v>
      </c>
      <c r="D45" s="256" t="str">
        <f>D44</f>
        <v>HKD</v>
      </c>
      <c r="E45" s="223">
        <f>(C45-G16)/C9</f>
        <v>11.441516915560088</v>
      </c>
      <c r="F45" s="223">
        <f>C45/(Asset_Model!I3*Exchange_Rate*Data!C4/Common_Shares)</f>
        <v>0.6</v>
      </c>
      <c r="G45" s="223">
        <f>C45/(Data!C7*Data!C4*Exchange_Rate/Common_Shares)</f>
        <v>6.1458742887278994</v>
      </c>
      <c r="I45" s="43" t="s">
        <v>413</v>
      </c>
    </row>
    <row r="46" spans="1:9" ht="15.75" customHeight="1">
      <c r="B46" s="257" t="s">
        <v>314</v>
      </c>
      <c r="C46" s="258">
        <f ca="1">MIN(C45,C44)+ABS(C45-C44)*Qualitative_Analysis!E64</f>
        <v>10.612795109732462</v>
      </c>
      <c r="D46" s="256" t="str">
        <f>D45</f>
        <v>HKD</v>
      </c>
      <c r="E46" s="223">
        <f ca="1">(C46-G16)/C9</f>
        <v>9.4089057464127457</v>
      </c>
      <c r="F46" s="223">
        <f ca="1">C46/(Asset_Model!I3*Exchange_Rate*Data!C4/Common_Shares)</f>
        <v>0.54434267322621377</v>
      </c>
      <c r="G46" s="223">
        <f ca="1">C46/(Data!C7*Data!C4*Exchange_Rate/Common_Shares)</f>
        <v>5.5757693993973332</v>
      </c>
    </row>
    <row r="47" spans="1:9" ht="15.75" customHeight="1">
      <c r="B47" s="84" t="s">
        <v>280</v>
      </c>
      <c r="C47" s="259">
        <f ca="1">MAX(G41,C44)/(1+Dashboard!I14)</f>
        <v>8.4269096351545389</v>
      </c>
      <c r="D47" s="260" t="str">
        <f>D45</f>
        <v>HKD</v>
      </c>
      <c r="E47" s="224">
        <f ca="1">(C47-G16)/C9</f>
        <v>5.3143954226922334</v>
      </c>
      <c r="F47" s="224">
        <f ca="1">C47/(Asset_Model!I3*Exchange_Rate*Data!C4/Common_Shares)</f>
        <v>0.43222605076292631</v>
      </c>
      <c r="G47" s="224">
        <f ca="1">C47/(Data!C7*Data!C4*Exchange_Rate/Common_Shares)</f>
        <v>4.4273449538371148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E56" sqref="E56: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1.4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4">
      <c r="B6" s="6" t="s">
        <v>229</v>
      </c>
      <c r="C6" s="60"/>
      <c r="D6" s="58">
        <f>AVERAGE(D24:D28)</f>
        <v>3.2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2.3200000000000003</v>
      </c>
      <c r="E8" s="215">
        <f>D8/4</f>
        <v>0.58000000000000007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0</v>
      </c>
      <c r="E14" s="175" t="s">
        <v>150</v>
      </c>
      <c r="F14" s="6"/>
      <c r="G14" s="119" t="s">
        <v>336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337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346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338</v>
      </c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0</v>
      </c>
      <c r="E22" s="175" t="s">
        <v>150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0.6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1</v>
      </c>
      <c r="E37" s="175" t="s">
        <v>135</v>
      </c>
      <c r="F37" s="6"/>
      <c r="G37" s="119"/>
    </row>
    <row r="38" spans="2:7" ht="15" customHeight="1">
      <c r="B38" s="32" t="s">
        <v>239</v>
      </c>
      <c r="D38" s="63">
        <f t="shared" si="4"/>
        <v>1</v>
      </c>
      <c r="E38" s="175" t="s">
        <v>135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1</v>
      </c>
      <c r="E41" s="175" t="s">
        <v>135</v>
      </c>
      <c r="G41" s="119"/>
    </row>
    <row r="42" spans="2:7" ht="15" customHeight="1">
      <c r="B42" s="1" t="s">
        <v>153</v>
      </c>
      <c r="D42" s="64">
        <f>SUM(D43:D48)/(6*4)</f>
        <v>0.58333333333333337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2</v>
      </c>
      <c r="E43" s="175" t="s">
        <v>127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0.29727891156462583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0</v>
      </c>
      <c r="E52" s="175" t="s">
        <v>150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1.9455782312925169</v>
      </c>
      <c r="E54" s="175" t="s">
        <v>414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0.83333333333333337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1</v>
      </c>
      <c r="E61" s="175" t="s">
        <v>135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0.4972108843537415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1.9472108843537415</v>
      </c>
      <c r="E64" s="217">
        <f>AVERAGE(AVERAGE(D12:D16)/4,AVERAGE(D18:D22)/4,AVERAGE(D24:D28)/4,D62)</f>
        <v>0.48680272108843536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2023-08-29T09:33:00Z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