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2DE77C81-45D9-440A-ADA6-5AF08240F3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16" i="1" l="1"/>
  <c r="I19" i="7" l="1"/>
  <c r="H19" i="7"/>
  <c r="G19" i="7"/>
  <c r="F19" i="7"/>
  <c r="G13" i="7"/>
  <c r="G14" i="7"/>
  <c r="G11" i="7"/>
  <c r="G10" i="7"/>
  <c r="G8" i="7"/>
  <c r="C37" i="1"/>
  <c r="D35" i="2"/>
  <c r="E35" i="2"/>
  <c r="F35" i="2"/>
  <c r="G35" i="2"/>
  <c r="H35" i="2"/>
  <c r="I35" i="2"/>
  <c r="J35" i="2"/>
  <c r="K35" i="2"/>
  <c r="L35" i="2"/>
  <c r="M35" i="2"/>
  <c r="C35" i="2"/>
  <c r="F11" i="2"/>
  <c r="E11" i="2"/>
  <c r="D11" i="2"/>
  <c r="C11" i="2"/>
  <c r="C45" i="4" l="1"/>
  <c r="C38" i="3" l="1"/>
  <c r="C17" i="3"/>
  <c r="I16" i="7" l="1"/>
  <c r="C29" i="4"/>
  <c r="F10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E8" i="7"/>
  <c r="D8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2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45" i="3" s="1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D36" i="2"/>
  <c r="D37" i="2" s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F9" i="7" s="1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D54" i="5" s="1" a="1"/>
  <c r="D54" i="5" s="1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E36" i="2"/>
  <c r="E37" i="2" s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E47" i="3" l="1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F23" i="7" s="1"/>
  <c r="C7" i="4" s="1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G35" i="4" l="1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C17" i="4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20" i="7"/>
  <c r="C18" i="4"/>
  <c r="D18" i="4" s="1"/>
  <c r="D53" i="3"/>
  <c r="D24" i="3"/>
  <c r="D52" i="3"/>
  <c r="F17" i="2"/>
  <c r="E17" i="2"/>
  <c r="G36" i="4" l="1"/>
  <c r="F27" i="3"/>
  <c r="F26" i="3"/>
  <c r="F24" i="3"/>
  <c r="F25" i="3"/>
  <c r="D28" i="3"/>
  <c r="E49" i="3"/>
  <c r="D49" i="3" s="1"/>
  <c r="D17" i="4"/>
  <c r="G18" i="4" s="1"/>
  <c r="C3" i="7"/>
  <c r="F24" i="7"/>
  <c r="I22" i="7"/>
  <c r="I23" i="7"/>
  <c r="C4" i="4"/>
  <c r="F25" i="7"/>
  <c r="C55" i="2"/>
  <c r="G17" i="7"/>
  <c r="D44" i="3"/>
  <c r="D45" i="3"/>
  <c r="G15" i="4"/>
  <c r="J27" i="3"/>
  <c r="D25" i="3"/>
  <c r="C6" i="4" l="1"/>
  <c r="D6" i="3"/>
  <c r="D7" i="3" s="1"/>
  <c r="G16" i="7"/>
  <c r="G15" i="7"/>
  <c r="C8" i="4"/>
  <c r="G18" i="7"/>
  <c r="J47" i="3"/>
  <c r="J28" i="3" s="1"/>
  <c r="D31" i="4" l="1"/>
  <c r="D32" i="4" s="1"/>
  <c r="G20" i="7"/>
  <c r="C9" i="4"/>
  <c r="C28" i="4"/>
  <c r="C33" i="4" s="1"/>
  <c r="C34" i="4" s="1"/>
  <c r="D18" i="5"/>
  <c r="E64" i="5" s="1"/>
  <c r="C37" i="4" s="1"/>
  <c r="F44" i="1"/>
  <c r="D4" i="4" l="1"/>
  <c r="D6" i="4" s="1"/>
  <c r="G23" i="7"/>
  <c r="D7" i="4" s="1"/>
  <c r="E18" i="5"/>
  <c r="F43" i="1"/>
  <c r="D64" i="5"/>
  <c r="E7" i="5" s="1"/>
  <c r="D7" i="5" s="1"/>
  <c r="D8" i="5" s="1"/>
  <c r="E8" i="5" s="1"/>
  <c r="F41" i="1" s="1"/>
  <c r="G40" i="4"/>
  <c r="G16" i="4" l="1"/>
  <c r="F16" i="1" s="1"/>
  <c r="H16" i="1" s="1"/>
  <c r="D5" i="4"/>
  <c r="G25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B21" i="4" l="1"/>
  <c r="D10" i="4"/>
  <c r="F3" i="4"/>
  <c r="E31" i="4"/>
  <c r="I18" i="7"/>
  <c r="H20" i="7"/>
  <c r="D11" i="4" l="1"/>
  <c r="D35" i="4"/>
  <c r="D36" i="4" s="1"/>
  <c r="D37" i="4" s="1"/>
  <c r="F27" i="4"/>
  <c r="H23" i="7"/>
  <c r="E7" i="4" s="1"/>
  <c r="F31" i="4"/>
  <c r="I20" i="7"/>
  <c r="D38" i="4" l="1"/>
  <c r="D39" i="4" s="1"/>
  <c r="D12" i="4"/>
  <c r="I25" i="7"/>
  <c r="F4" i="4"/>
  <c r="F8" i="4" s="1"/>
  <c r="F28" i="4" s="1"/>
  <c r="F32" i="4" s="1"/>
  <c r="F33" i="4" s="1"/>
  <c r="F34" i="4" s="1"/>
  <c r="H25" i="7"/>
  <c r="F5" i="4" l="1"/>
  <c r="F10" i="4"/>
  <c r="F9" i="4"/>
  <c r="F11" i="4" l="1"/>
  <c r="F12" i="4" s="1"/>
  <c r="F35" i="4"/>
  <c r="F36" i="4" s="1"/>
  <c r="F37" i="4" s="1"/>
  <c r="F38" i="4" l="1"/>
  <c r="F39" i="4" s="1"/>
  <c r="J18" i="1"/>
  <c r="H18" i="1"/>
  <c r="E27" i="4"/>
  <c r="E4" i="4"/>
  <c r="E10" i="4" l="1"/>
  <c r="E5" i="4"/>
  <c r="E8" i="4"/>
  <c r="G2" i="4"/>
  <c r="G26" i="4" s="1"/>
  <c r="E11" i="4" l="1"/>
  <c r="G11" i="4"/>
  <c r="E35" i="4"/>
  <c r="E36" i="4" s="1"/>
  <c r="E9" i="4"/>
  <c r="G9" i="4" s="1"/>
  <c r="E28" i="4"/>
  <c r="G38" i="4" l="1"/>
  <c r="E37" i="4"/>
  <c r="E12" i="4"/>
  <c r="E38" i="4"/>
  <c r="E32" i="4"/>
  <c r="E33" i="4" s="1"/>
  <c r="E34" i="4" s="1"/>
  <c r="E23" i="4"/>
  <c r="F23" i="4" s="1"/>
  <c r="G23" i="4" s="1"/>
  <c r="E22" i="4"/>
  <c r="F22" i="4" s="1"/>
  <c r="G22" i="4" s="1"/>
  <c r="E39" i="4" l="1"/>
  <c r="G34" i="4"/>
  <c r="G37" i="4" s="1"/>
  <c r="G39" i="4" s="1"/>
  <c r="G24" i="4"/>
  <c r="G41" i="4" l="1"/>
  <c r="C44" i="4" s="1"/>
  <c r="C46" i="4" s="1"/>
  <c r="C47" i="4" l="1"/>
  <c r="G47" i="4" s="1"/>
  <c r="E44" i="4"/>
  <c r="E14" i="1"/>
  <c r="G44" i="4"/>
  <c r="F44" i="4"/>
  <c r="G46" i="4"/>
  <c r="F46" i="4"/>
  <c r="I37" i="1"/>
  <c r="E46" i="4"/>
  <c r="I38" i="1" l="1"/>
  <c r="B17" i="1" s="1"/>
  <c r="E48" i="1"/>
  <c r="F47" i="4"/>
  <c r="E47" i="4"/>
  <c r="F48" i="1"/>
  <c r="D16" i="1"/>
  <c r="F47" i="1"/>
  <c r="E47" i="1"/>
  <c r="D18" i="1"/>
  <c r="F51" i="1" l="1"/>
  <c r="J17" i="1"/>
  <c r="E37" i="1"/>
  <c r="H17" i="1"/>
  <c r="E52" i="1"/>
  <c r="E50" i="1"/>
  <c r="D17" i="1"/>
  <c r="F50" i="1"/>
  <c r="F52" i="1"/>
  <c r="E51" i="1"/>
  <c r="E53" i="1" l="1"/>
  <c r="F53" i="1"/>
</calcChain>
</file>

<file path=xl/sharedStrings.xml><?xml version="1.0" encoding="utf-8"?>
<sst xmlns="http://schemas.openxmlformats.org/spreadsheetml/2006/main" count="479" uniqueCount="411">
  <si>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</si>
  <si>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</si>
  <si>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</si>
  <si>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</si>
  <si>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</si>
  <si>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</si>
  <si>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</si>
  <si>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</si>
  <si>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</si>
  <si>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</si>
  <si>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</si>
  <si>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</si>
  <si>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</si>
  <si>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</si>
  <si>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</si>
  <si>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</si>
  <si>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</si>
  <si>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</si>
  <si>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</si>
  <si>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</si>
  <si>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</si>
  <si>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</si>
  <si>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</si>
  <si>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</si>
  <si>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</si>
  <si>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</si>
  <si>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</si>
  <si>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</si>
  <si>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</si>
  <si>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</si>
  <si>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</si>
  <si>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</si>
  <si>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</si>
  <si>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</si>
  <si>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</si>
  <si>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</si>
  <si>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</si>
  <si>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</si>
  <si>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</si>
  <si>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</si>
  <si>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</si>
  <si>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</si>
  <si>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</si>
  <si>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</si>
  <si>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</si>
  <si>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</si>
  <si>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</si>
  <si>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</si>
  <si>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</si>
  <si>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</si>
  <si>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</si>
  <si>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</si>
  <si>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</si>
  <si>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</si>
  <si>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</si>
  <si>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</si>
  <si>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</si>
  <si>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</si>
  <si>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</si>
  <si>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</si>
  <si>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</si>
  <si>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</si>
  <si>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</si>
  <si>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</si>
  <si>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</si>
  <si>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</si>
  <si>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</si>
  <si>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</si>
  <si>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</si>
  <si>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</si>
  <si>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</si>
  <si>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</si>
  <si>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</si>
  <si>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</si>
  <si>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</si>
  <si>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</si>
  <si>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</si>
  <si>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</si>
  <si>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</si>
  <si>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</si>
  <si>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</si>
  <si>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</si>
  <si>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</si>
  <si>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</si>
  <si>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</si>
  <si>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</si>
  <si>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</si>
  <si>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</si>
  <si>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</si>
  <si>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</si>
  <si>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</si>
  <si>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</si>
  <si>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</si>
  <si>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</si>
  <si>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</si>
  <si>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</si>
  <si>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</si>
  <si>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</si>
  <si>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</si>
  <si>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</si>
  <si>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</si>
  <si>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</si>
  <si>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</si>
  <si>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</si>
  <si>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</si>
  <si>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</si>
  <si>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</si>
  <si>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</si>
  <si>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</si>
  <si>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</si>
  <si>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</si>
  <si>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</si>
  <si>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</si>
  <si>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</si>
  <si>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</si>
  <si>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</si>
  <si>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</si>
  <si>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</si>
  <si>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</si>
  <si>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</si>
  <si>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</si>
  <si>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</si>
  <si>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</si>
  <si>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</si>
  <si>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</si>
  <si>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</si>
  <si>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</si>
  <si>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</si>
  <si>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</si>
  <si>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</si>
  <si>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</si>
  <si>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</si>
  <si>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</si>
  <si>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</si>
  <si>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</si>
  <si>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</si>
  <si>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</si>
  <si>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</si>
  <si>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</si>
  <si>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</si>
  <si>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</si>
  <si>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</si>
  <si>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</si>
  <si>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</si>
  <si>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</si>
  <si>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</si>
  <si>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</si>
  <si>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</si>
  <si>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</si>
  <si>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</si>
  <si>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</si>
  <si>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</si>
  <si>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</si>
  <si>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</si>
  <si>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</si>
  <si>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</si>
  <si>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</si>
  <si>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</si>
  <si>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</si>
  <si>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</si>
  <si>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</si>
  <si>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</si>
  <si>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</si>
  <si>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</si>
  <si>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</si>
  <si>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</si>
  <si>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</si>
  <si>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</si>
  <si>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</si>
  <si>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</si>
  <si>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</si>
  <si>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</si>
  <si>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</si>
  <si>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</si>
  <si>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</si>
  <si>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</si>
  <si>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</si>
  <si>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</si>
  <si>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</si>
  <si>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</si>
  <si>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</si>
  <si>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</si>
  <si>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</si>
  <si>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</si>
  <si>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</si>
  <si>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</si>
  <si>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</si>
  <si>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</si>
  <si>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</si>
  <si>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</si>
  <si>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</si>
  <si>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</si>
  <si>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</si>
  <si>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</si>
  <si>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</si>
  <si>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</si>
  <si>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</si>
  <si>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</si>
  <si>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</si>
  <si>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</si>
  <si>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</si>
  <si>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</si>
  <si>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</si>
  <si>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</si>
  <si>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</si>
  <si>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</si>
  <si>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</si>
  <si>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</si>
  <si>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</si>
  <si>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</si>
  <si>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</si>
  <si>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</si>
  <si>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</si>
  <si>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</si>
  <si>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</si>
  <si>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</si>
  <si>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</si>
  <si>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</si>
  <si>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</si>
  <si>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</si>
  <si>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</si>
  <si>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</si>
  <si>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</si>
  <si>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</si>
  <si>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</si>
  <si>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</si>
  <si>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</si>
  <si>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</si>
  <si>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</si>
  <si>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</si>
  <si>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</si>
  <si>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</si>
  <si>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</si>
  <si>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</si>
  <si>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</si>
  <si>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</si>
  <si>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</si>
  <si>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</si>
  <si>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</si>
  <si>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</si>
  <si>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</si>
  <si>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</si>
  <si>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</si>
  <si>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</si>
  <si>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</si>
  <si>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</si>
  <si>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</si>
  <si>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</si>
  <si>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</si>
  <si>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</si>
  <si>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</si>
  <si>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</si>
  <si>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</si>
  <si>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</si>
  <si>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</si>
  <si>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</si>
  <si>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</si>
  <si>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</si>
  <si>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</si>
  <si>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</si>
  <si>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</si>
  <si>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</si>
  <si>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</si>
  <si>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</si>
  <si>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</si>
  <si>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</si>
  <si>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</si>
  <si>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</si>
  <si>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</si>
  <si>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</si>
  <si>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</si>
  <si>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</si>
  <si>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</si>
  <si>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</si>
  <si>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</si>
  <si>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</si>
  <si>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</si>
  <si>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</si>
  <si>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</si>
  <si>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</si>
  <si>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</si>
  <si>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</si>
  <si>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</si>
  <si>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</si>
  <si>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</si>
  <si>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</si>
  <si>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</si>
  <si>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</si>
  <si>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</si>
  <si>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</si>
  <si>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</si>
  <si>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</si>
  <si>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</si>
  <si>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</si>
  <si>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</si>
  <si>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</si>
  <si>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</si>
  <si>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</si>
  <si>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</si>
  <si>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</si>
  <si>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</si>
  <si>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</si>
  <si>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</si>
  <si>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</si>
  <si>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</si>
  <si>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</si>
  <si>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</si>
  <si>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</si>
  <si>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</si>
  <si>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</si>
  <si>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</si>
  <si>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</si>
  <si>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</si>
  <si>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</si>
  <si>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</si>
  <si>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</si>
  <si>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</si>
  <si>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</si>
  <si>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</si>
  <si>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</si>
  <si>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</si>
  <si>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</si>
  <si>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</si>
  <si>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</si>
  <si>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</si>
  <si>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</si>
  <si>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</si>
  <si>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</si>
  <si>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</si>
  <si>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</si>
  <si>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</si>
  <si>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</si>
  <si>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</si>
  <si>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</si>
  <si>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WCInv</t>
  </si>
  <si>
    <t>R&amp;D</t>
  </si>
  <si>
    <t>FCInv</t>
  </si>
  <si>
    <t>FCInv / Sales</t>
  </si>
  <si>
    <t>FCInv = Δ PP&amp;E + R&amp;D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</si>
  <si>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</si>
  <si>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</si>
  <si>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</si>
  <si>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</si>
  <si>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</si>
  <si>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</si>
  <si>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</si>
  <si>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</si>
  <si>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</si>
  <si>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</si>
  <si>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</si>
  <si>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</si>
  <si>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</si>
  <si>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</si>
  <si>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</si>
  <si>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</si>
  <si>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</si>
  <si>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</si>
  <si>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</si>
  <si>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</si>
  <si>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</si>
  <si>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</si>
  <si>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</si>
  <si>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</si>
  <si>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</si>
  <si>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</si>
  <si>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</si>
  <si>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</si>
  <si>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</si>
  <si>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</si>
  <si>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</si>
  <si>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</si>
  <si>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</si>
  <si>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</si>
  <si>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</si>
  <si>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</si>
  <si>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</si>
  <si>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</si>
  <si>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</si>
  <si>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</si>
  <si>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</si>
  <si>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</si>
  <si>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</si>
  <si>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</si>
  <si>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</si>
  <si>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</si>
  <si>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</si>
  <si>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</si>
  <si>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</si>
  <si>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</si>
  <si>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</si>
  <si>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2. Sentiment Trap</t>
  </si>
  <si>
    <t>b). Rely on bottom-up research to uncover bargains in a pessimistic market.</t>
  </si>
  <si>
    <t>a). It's our job as a value investor to catch the falling knife</t>
  </si>
  <si>
    <t>6601.HK</t>
  </si>
  <si>
    <t>CHEERWIN GP</t>
  </si>
  <si>
    <t>CNY</t>
  </si>
  <si>
    <t>FY</t>
  </si>
  <si>
    <t>家居清潔产品生产商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</si>
  <si>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</si>
  <si>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
3. 不是港股通的一员，交易量小</t>
  </si>
  <si>
    <t>1. 宠物护理市场竞争大，现在公司优势很小</t>
  </si>
  <si>
    <t>1. 宠物护理市场广阔，是可持续增长的业务
2. 公司很多现金，可用通过M&amp;A快速做大宠物业务</t>
  </si>
  <si>
    <t>CN</t>
  </si>
  <si>
    <t>Consumer Discretionary, 12.4y</t>
  </si>
  <si>
    <t>Current Industry average PB is 1.01, while 5yrs average is 1.38</t>
  </si>
  <si>
    <t>No</t>
  </si>
  <si>
    <t>1. 家居清潔業務处于红海市场，容量可能持续萎缩
2. 宠物护理市场容量及基数都较小，不足以取代家居清潔業務
3. 主要业务毛利率过低</t>
  </si>
  <si>
    <t>1. No. 传统业务肯定很难改变，但也不会像市场想象的那么悲观，公司产品是有竞争力及需求的
2. No. 宠物护理基数太小，短期没有替代作用
3. No. 主营业务护城河太浅，经济不好毛利率自然差</t>
  </si>
  <si>
    <t>家居护理</t>
  </si>
  <si>
    <t>个人护理</t>
  </si>
  <si>
    <t>宠物产品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</si>
</sst>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1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69" fontId="1" fillId="0" borderId="9" xfId="0" applyNumberFormat="1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5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38500</c:v>
                </c:pt>
                <c:pt idx="1" formatCode="#,##0">
                  <c:v>30500</c:v>
                </c:pt>
                <c:pt idx="2" formatCode="#,##0">
                  <c:v>58000</c:v>
                </c:pt>
                <c:pt idx="3" formatCode="#,##0">
                  <c:v>24700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220950</c:v>
                </c:pt>
                <c:pt idx="1" formatCode="#,##0">
                  <c:v>221311</c:v>
                </c:pt>
                <c:pt idx="2" formatCode="#,##0">
                  <c:v>58667</c:v>
                </c:pt>
                <c:pt idx="3" formatCode="#,##0">
                  <c:v>96133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185164</c:v>
                </c:pt>
                <c:pt idx="1" formatCode="#,##0">
                  <c:v>223781</c:v>
                </c:pt>
                <c:pt idx="2" formatCode="#,##0">
                  <c:v>92093</c:v>
                </c:pt>
                <c:pt idx="3" formatCode="#,##0">
                  <c:v>64730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zoomScaleNormal="100" workbookViewId="0">
      <selection activeCell="I19" sqref="I19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6601.HK : CHEERWIN GP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48" t="s">
        <v>393</v>
      </c>
      <c r="D3" s="349"/>
      <c r="E3" s="6"/>
      <c r="G3" s="7" t="s">
        <v>2</v>
      </c>
      <c r="I3" s="357" t="s">
        <v>3</v>
      </c>
      <c r="J3" s="357"/>
    </row>
    <row r="4" spans="1:12" ht="15.75" customHeight="1">
      <c r="B4" s="5" t="s">
        <v>4</v>
      </c>
      <c r="C4" s="350" t="s">
        <v>394</v>
      </c>
      <c r="D4" s="319"/>
      <c r="E4" s="6"/>
      <c r="G4" s="5" t="s">
        <v>5</v>
      </c>
      <c r="I4" s="221">
        <v>1.69</v>
      </c>
      <c r="J4" s="222" t="s">
        <v>6</v>
      </c>
      <c r="K4" s="92"/>
    </row>
    <row r="5" spans="1:12" ht="15.75" customHeight="1">
      <c r="B5" s="5" t="s">
        <v>7</v>
      </c>
      <c r="C5" s="351">
        <v>44931</v>
      </c>
      <c r="D5" s="319"/>
      <c r="E5" s="79" t="str">
        <f ca="1">IF(C5+30&gt;=TODAY(),"Patience Premium","")</f>
        <v/>
      </c>
      <c r="G5" s="5" t="s">
        <v>8</v>
      </c>
      <c r="I5" s="318">
        <v>1333330048</v>
      </c>
      <c r="J5" s="318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45169</v>
      </c>
      <c r="E6" s="128">
        <f>IF(Asset_Model!E9="FY",Asset_Model!D9,Data!C3)</f>
        <v>44926</v>
      </c>
      <c r="G6" s="85" t="s">
        <v>9</v>
      </c>
      <c r="H6" s="84"/>
      <c r="I6" s="358">
        <f>I4*I5/1000000</f>
        <v>2253.3277811200001</v>
      </c>
      <c r="J6" s="358"/>
      <c r="K6" s="91"/>
    </row>
    <row r="7" spans="1:12" ht="15.75" customHeight="1">
      <c r="B7" s="86" t="s">
        <v>10</v>
      </c>
      <c r="C7" s="218">
        <f>(Data!C42*Exchange_Rate)/I4</f>
        <v>4.6336006198848027E-2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32.051494905985024</v>
      </c>
      <c r="J9" s="166">
        <f>IF(I9="NNI","NNI",1/I9)</f>
        <v>3.1199792800093967E-2</v>
      </c>
    </row>
    <row r="10" spans="1:12" ht="15.75" customHeight="1">
      <c r="B10" s="3" t="s">
        <v>226</v>
      </c>
      <c r="C10" s="122" t="s">
        <v>402</v>
      </c>
      <c r="D10" s="122">
        <v>2.9000000000000001E-2</v>
      </c>
      <c r="E10" s="5"/>
      <c r="G10" s="85" t="s">
        <v>327</v>
      </c>
      <c r="H10" s="84"/>
      <c r="I10" s="165">
        <f>I4/(Data!C29*I12*Data!C4/Common_Shares)</f>
        <v>0.73576684100632705</v>
      </c>
      <c r="J10" s="223">
        <f>I4/(Data!C7*Data!C4/Common_Shares*Exchange_Rate)</f>
        <v>1.4385673947224928</v>
      </c>
    </row>
    <row r="11" spans="1:12" ht="15.75" customHeight="1" thickBot="1">
      <c r="B11" s="124" t="s">
        <v>227</v>
      </c>
      <c r="C11" s="328">
        <f ca="1">C12-D10</f>
        <v>5.1000000000000004E-2</v>
      </c>
      <c r="D11" s="329"/>
      <c r="E11" s="13"/>
      <c r="G11" s="5" t="s">
        <v>14</v>
      </c>
      <c r="H11" s="6"/>
      <c r="I11" s="357" t="s">
        <v>395</v>
      </c>
      <c r="J11" s="357"/>
    </row>
    <row r="12" spans="1:12" ht="15.75" customHeight="1" thickTop="1">
      <c r="B12" s="125" t="s">
        <v>124</v>
      </c>
      <c r="C12" s="364">
        <f ca="1">IF(C10="CN",8%,6%)*IF($C$5+30&gt;=TODAY(),1.2,1)</f>
        <v>0.08</v>
      </c>
      <c r="D12" s="365"/>
      <c r="G12" s="85" t="s">
        <v>15</v>
      </c>
      <c r="H12" s="84"/>
      <c r="I12" s="226">
        <v>1.0861016511917114</v>
      </c>
      <c r="J12" s="227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2.053322455335342</v>
      </c>
      <c r="F14" s="98"/>
      <c r="G14" s="99"/>
      <c r="H14" s="134" t="s">
        <v>321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320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308</v>
      </c>
      <c r="J15" s="55" t="s">
        <v>18</v>
      </c>
    </row>
    <row r="16" spans="1:12" ht="15.75" customHeight="1">
      <c r="B16" s="82">
        <f>I4</f>
        <v>1.69</v>
      </c>
      <c r="C16" s="344">
        <v>0.2</v>
      </c>
      <c r="D16" s="238">
        <f ca="1">I37/B16-(1+C16)</f>
        <v>0.11526570035066963</v>
      </c>
      <c r="E16" s="338" t="s">
        <v>21</v>
      </c>
      <c r="F16" s="359">
        <f>(Val_Models!G16)*Exchange_Rate</f>
        <v>2.2184102281699567</v>
      </c>
      <c r="G16" s="338" t="s">
        <v>22</v>
      </c>
      <c r="H16" s="239">
        <f>B16-$F$16</f>
        <v>-0.52841022816995675</v>
      </c>
      <c r="I16" s="333">
        <f>0.28+0.21</f>
        <v>0.49</v>
      </c>
      <c r="J16" s="166">
        <f>I16/B16</f>
        <v>0.28994082840236685</v>
      </c>
    </row>
    <row r="17" spans="1:10" ht="15.75" customHeight="1">
      <c r="B17" s="116">
        <f ca="1">MIN((I37+I38)/2,I37/(1+C16), IF(J20=0,E14,I37/(1+C16)))</f>
        <v>1.8523325279938596</v>
      </c>
      <c r="C17" s="345"/>
      <c r="D17" s="149">
        <f ca="1">I37/B17-(1+C16)</f>
        <v>0</v>
      </c>
      <c r="E17" s="339"/>
      <c r="F17" s="360"/>
      <c r="G17" s="339"/>
      <c r="H17" s="236">
        <f ca="1">B17-$F$16</f>
        <v>-0.36607770017609709</v>
      </c>
      <c r="I17" s="334"/>
      <c r="J17" s="149">
        <f ca="1">I16/B17</f>
        <v>0.26453133689267283</v>
      </c>
    </row>
    <row r="18" spans="1:10" ht="15.75" customHeight="1">
      <c r="B18" s="129">
        <f>C37</f>
        <v>1.6</v>
      </c>
      <c r="C18" s="346"/>
      <c r="D18" s="237">
        <f ca="1">I37/B18-(1+C16)</f>
        <v>0.1892493959953947</v>
      </c>
      <c r="E18" s="340"/>
      <c r="F18" s="361"/>
      <c r="G18" s="340"/>
      <c r="H18" s="98">
        <f>B18-$F$16</f>
        <v>-0.61841022816995661</v>
      </c>
      <c r="I18" s="335"/>
      <c r="J18" s="158">
        <f>I16/B18</f>
        <v>0.30624999999999997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333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54" t="s">
        <v>397</v>
      </c>
      <c r="D21" s="355"/>
      <c r="E21" s="356"/>
      <c r="F21" s="356"/>
      <c r="G21" s="356"/>
      <c r="H21" s="356"/>
      <c r="I21" s="356"/>
      <c r="J21" s="356"/>
    </row>
    <row r="22" spans="1:10" ht="52.5" customHeight="1">
      <c r="A22" s="6"/>
      <c r="B22" s="19" t="s">
        <v>25</v>
      </c>
      <c r="C22" s="363" t="s">
        <v>398</v>
      </c>
      <c r="D22" s="349"/>
      <c r="E22" s="349"/>
      <c r="F22" s="349"/>
      <c r="G22" s="363" t="s">
        <v>399</v>
      </c>
      <c r="H22" s="363"/>
      <c r="I22" s="349"/>
      <c r="J22" s="349"/>
    </row>
    <row r="23" spans="1:10" ht="52.5" customHeight="1">
      <c r="A23" s="6"/>
      <c r="B23" s="138" t="s">
        <v>26</v>
      </c>
      <c r="C23" s="336" t="s">
        <v>401</v>
      </c>
      <c r="D23" s="337"/>
      <c r="E23" s="337"/>
      <c r="F23" s="337"/>
      <c r="G23" s="336" t="s">
        <v>400</v>
      </c>
      <c r="H23" s="336"/>
      <c r="I23" s="337"/>
      <c r="J23" s="337"/>
    </row>
    <row r="24" spans="1:10" ht="52.5" customHeight="1">
      <c r="A24" s="6"/>
      <c r="B24" s="19" t="s">
        <v>291</v>
      </c>
      <c r="C24" s="366" t="s">
        <v>406</v>
      </c>
      <c r="D24" s="366"/>
      <c r="E24" s="366"/>
      <c r="F24" s="366"/>
      <c r="G24" s="366"/>
      <c r="H24" s="366"/>
      <c r="I24" s="366"/>
      <c r="J24" s="366"/>
    </row>
    <row r="25" spans="1:10" ht="52.5" customHeight="1">
      <c r="A25" s="6"/>
      <c r="B25" s="138" t="s">
        <v>290</v>
      </c>
      <c r="C25" s="367" t="s">
        <v>407</v>
      </c>
      <c r="D25" s="367"/>
      <c r="E25" s="367"/>
      <c r="F25" s="367"/>
      <c r="G25" s="367"/>
      <c r="H25" s="367"/>
      <c r="I25" s="367"/>
      <c r="J25" s="367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52">
        <v>44932</v>
      </c>
      <c r="D28" s="353"/>
      <c r="E28" s="343" t="str">
        <f>IF(C28="","","Action_Planning")</f>
        <v>Action_Planning</v>
      </c>
      <c r="F28" s="343"/>
      <c r="G28" s="343"/>
      <c r="H28" s="343"/>
      <c r="I28" s="362" t="s">
        <v>30</v>
      </c>
      <c r="J28" s="362"/>
    </row>
    <row r="29" spans="1:10" ht="15.75" customHeight="1">
      <c r="B29" s="18" t="s">
        <v>31</v>
      </c>
      <c r="C29" s="332">
        <f>C33/D27</f>
        <v>0.15545454545454546</v>
      </c>
      <c r="D29" s="326"/>
      <c r="E29" s="331">
        <f>E33/D27</f>
        <v>4.8484848484848485E-2</v>
      </c>
      <c r="F29" s="326"/>
      <c r="G29" s="342">
        <f>G33/D27</f>
        <v>0</v>
      </c>
      <c r="H29" s="342"/>
      <c r="I29" s="341">
        <f>C29+E29+G29</f>
        <v>0.20393939393939395</v>
      </c>
      <c r="J29" s="341"/>
    </row>
    <row r="30" spans="1:10" ht="15.75" customHeight="1">
      <c r="B30" s="18" t="s">
        <v>32</v>
      </c>
      <c r="C30" s="318">
        <v>60000</v>
      </c>
      <c r="D30" s="319"/>
      <c r="E30" s="318">
        <v>20000</v>
      </c>
      <c r="F30" s="319"/>
      <c r="G30" s="318"/>
      <c r="H30" s="318"/>
      <c r="I30" s="347">
        <f>C30+E30+G30</f>
        <v>80000</v>
      </c>
      <c r="J30" s="347"/>
    </row>
    <row r="31" spans="1:10" ht="15.75" customHeight="1">
      <c r="B31" s="18" t="s">
        <v>33</v>
      </c>
      <c r="C31" s="320">
        <v>1.71</v>
      </c>
      <c r="D31" s="319"/>
      <c r="E31" s="320">
        <v>1.6</v>
      </c>
      <c r="F31" s="319"/>
      <c r="G31" s="320"/>
      <c r="H31" s="320"/>
      <c r="I31" s="330"/>
      <c r="J31" s="330"/>
    </row>
    <row r="32" spans="1:10" ht="15.75" customHeight="1">
      <c r="B32" s="18" t="s">
        <v>34</v>
      </c>
      <c r="C32" s="327">
        <f>C31*$I$5/1000000</f>
        <v>2279.9943820799999</v>
      </c>
      <c r="D32" s="326"/>
      <c r="E32" s="327">
        <f>E31*$I$5/1000000</f>
        <v>2133.3280768000004</v>
      </c>
      <c r="F32" s="326"/>
      <c r="G32" s="327">
        <f>G31*$I$5/1000000</f>
        <v>0</v>
      </c>
      <c r="H32" s="327"/>
      <c r="I32" s="330"/>
      <c r="J32" s="330"/>
    </row>
    <row r="33" spans="2:11" ht="15.75" customHeight="1">
      <c r="B33" s="2" t="s">
        <v>35</v>
      </c>
      <c r="C33" s="323">
        <f>C30*C31</f>
        <v>102600</v>
      </c>
      <c r="D33" s="324"/>
      <c r="E33" s="323">
        <f>E30*E31</f>
        <v>32000</v>
      </c>
      <c r="F33" s="324"/>
      <c r="G33" s="323">
        <f>G30*G31</f>
        <v>0</v>
      </c>
      <c r="H33" s="323"/>
      <c r="I33" s="323">
        <f>C33+E33+G33</f>
        <v>134600</v>
      </c>
      <c r="J33" s="323"/>
    </row>
    <row r="34" spans="2:11" ht="15.75" customHeight="1">
      <c r="B34" s="1" t="s">
        <v>36</v>
      </c>
      <c r="C34" s="330"/>
      <c r="D34" s="373"/>
      <c r="E34" s="325">
        <f>IF(C33=0,"-",(C33+E33)/(C30+E30))</f>
        <v>1.6825000000000001</v>
      </c>
      <c r="F34" s="326"/>
      <c r="G34" s="78"/>
      <c r="H34" s="78"/>
      <c r="I34" s="325">
        <f>IF(I33=0,"",I33/I30)</f>
        <v>1.6825000000000001</v>
      </c>
      <c r="J34" s="325"/>
    </row>
    <row r="35" spans="2:11" ht="15.75" customHeight="1">
      <c r="B35" s="1" t="s">
        <v>37</v>
      </c>
      <c r="C35" s="374"/>
      <c r="D35" s="375"/>
      <c r="E35" s="321">
        <f>IF(E34="-","-",E34*$I$5/1000000)</f>
        <v>2243.32780576</v>
      </c>
      <c r="F35" s="322"/>
      <c r="G35" s="230"/>
      <c r="H35" s="230"/>
      <c r="I35" s="321">
        <f>IF(I34="","",I34*$I$5/1000000)</f>
        <v>2243.32780576</v>
      </c>
      <c r="J35" s="321"/>
    </row>
    <row r="36" spans="2:11" ht="15.75" customHeight="1"/>
    <row r="37" spans="2:11" ht="15.75" customHeight="1">
      <c r="B37" s="87" t="s">
        <v>255</v>
      </c>
      <c r="C37" s="371">
        <f>E31</f>
        <v>1.6</v>
      </c>
      <c r="D37" s="372"/>
      <c r="E37" s="79" t="str">
        <f ca="1">IF(C37&gt;B17,"Caution! &gt; Breakeven price!","")</f>
        <v/>
      </c>
      <c r="F37" s="6"/>
      <c r="G37" s="368" t="s">
        <v>314</v>
      </c>
      <c r="H37" s="368"/>
      <c r="I37" s="369">
        <f ca="1">Val_Models!C46</f>
        <v>2.2227990335926315</v>
      </c>
      <c r="J37" s="370"/>
    </row>
    <row r="38" spans="2:11" ht="15.75" customHeight="1">
      <c r="B38" s="87" t="s">
        <v>280</v>
      </c>
      <c r="C38" s="371">
        <f>E34</f>
        <v>1.6825000000000001</v>
      </c>
      <c r="D38" s="372"/>
      <c r="E38" s="6"/>
      <c r="F38" s="6"/>
      <c r="G38" s="368" t="s">
        <v>279</v>
      </c>
      <c r="H38" s="368"/>
      <c r="I38" s="369">
        <f ca="1">Val_Models!C47</f>
        <v>1.6426579642682735</v>
      </c>
      <c r="J38" s="370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0.64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0.44088435374149659</v>
      </c>
      <c r="G43" s="77"/>
      <c r="H43" s="77"/>
      <c r="I43" s="77"/>
      <c r="J43" s="77"/>
    </row>
    <row r="44" spans="2:11" ht="15.75" customHeight="1">
      <c r="B44" s="3" t="s">
        <v>332</v>
      </c>
      <c r="C44" s="6"/>
      <c r="D44" s="6"/>
      <c r="E44" s="6"/>
      <c r="F44" s="171">
        <f>AVERAGE(Asset_Model!J28/4,1-Asset_Model!I56)</f>
        <v>0.99730947545908855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0.29988247578516458</v>
      </c>
      <c r="F47" s="171">
        <f ca="1">I37/C38-1</f>
        <v>0.32112869752905282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-3.9381307445454095E-2</v>
      </c>
      <c r="F48" s="171">
        <f ca="1">Val_Models!C47/C38-1</f>
        <v>-2.3680258978737934E-2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0.62168888267408806</v>
      </c>
      <c r="F50" s="171">
        <f ca="1">IF(F47&lt;=0,0,AVERAGE(F41:F44,0.5*(1+F47+F48-C16)))</f>
        <v>0.62538360969514861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7.6148430622960674</v>
      </c>
      <c r="F51" s="234">
        <f ca="1">IF(F48&gt;=0,100,F47/ABS(F48))</f>
        <v>13.561029793524993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3.5532206331765757</v>
      </c>
      <c r="F52" s="232">
        <f ca="1">MAX(C16*2.5/F47,1)+IF(F47&lt;C16,100,0)+IF(D18&lt;0,100,0)+IF(J20=1,2/(1+F47+F48-C16),0)</f>
        <v>3.379417233017592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0.16098300425191883</v>
      </c>
      <c r="F53" s="217">
        <f ca="1">MIN(MAX(F50-ABS((1-F50)/F51),0)/F52,H53)</f>
        <v>0.1768823110380664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390</v>
      </c>
    </row>
    <row r="65" spans="2:2" ht="15.75" customHeight="1">
      <c r="B65" s="3" t="s">
        <v>392</v>
      </c>
    </row>
    <row r="66" spans="2:2" ht="15.75" customHeight="1">
      <c r="B66" s="3" t="s">
        <v>391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4" priority="12" operator="lessThan">
      <formula>$B$18</formula>
    </cfRule>
  </conditionalFormatting>
  <conditionalFormatting sqref="B18">
    <cfRule type="cellIs" dxfId="23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2" priority="25" operator="lessThan">
      <formula>0</formula>
    </cfRule>
  </conditionalFormatting>
  <conditionalFormatting sqref="E14">
    <cfRule type="cellIs" dxfId="21" priority="17" operator="greaterThan">
      <formula>$B$16</formula>
    </cfRule>
  </conditionalFormatting>
  <conditionalFormatting sqref="E51:F51">
    <cfRule type="cellIs" dxfId="20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9" priority="13">
      <formula>LEN(TRIM(E28))=0</formula>
    </cfRule>
  </conditionalFormatting>
  <conditionalFormatting sqref="F16">
    <cfRule type="cellIs" dxfId="18" priority="20" operator="greaterThan">
      <formula>$B$16</formula>
    </cfRule>
  </conditionalFormatting>
  <conditionalFormatting sqref="G16">
    <cfRule type="cellIs" dxfId="17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topLeftCell="A10" zoomScaleNormal="100" workbookViewId="0">
      <selection activeCell="C35" sqref="C35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64730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593.25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1442194</v>
      </c>
      <c r="D7" s="160">
        <v>1769157</v>
      </c>
      <c r="E7" s="160">
        <v>1702154</v>
      </c>
      <c r="F7" s="160">
        <v>1383402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-0.18481287980659711</v>
      </c>
      <c r="D8" s="149">
        <f t="shared" si="1"/>
        <v>3.9363653347464389E-2</v>
      </c>
      <c r="E8" s="149">
        <f t="shared" si="1"/>
        <v>0.2304116952266948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842386</v>
      </c>
      <c r="D9" s="148">
        <v>981731</v>
      </c>
      <c r="E9" s="148">
        <v>959572</v>
      </c>
      <c r="F9" s="148">
        <v>783542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0.41589966398417966</v>
      </c>
      <c r="D10" s="149">
        <f t="shared" si="2"/>
        <v>0.44508542769239812</v>
      </c>
      <c r="E10" s="149">
        <f t="shared" si="2"/>
        <v>0.43626017387380928</v>
      </c>
      <c r="F10" s="149">
        <f t="shared" si="2"/>
        <v>0.43361221105651143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435254+163763</f>
        <v>599017</v>
      </c>
      <c r="D11" s="148">
        <f>526389+179001</f>
        <v>705390</v>
      </c>
      <c r="E11" s="148">
        <f>372030+84580</f>
        <v>456610</v>
      </c>
      <c r="F11" s="148">
        <f>334228+62415</f>
        <v>396643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0.41535119408345894</v>
      </c>
      <c r="D12" s="149">
        <f t="shared" si="3"/>
        <v>0.39871532034748752</v>
      </c>
      <c r="E12" s="149">
        <f t="shared" si="3"/>
        <v>0.2682542237658872</v>
      </c>
      <c r="F12" s="149">
        <f t="shared" si="3"/>
        <v>0.28671564736786559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5.4846990072070743E-4</v>
      </c>
      <c r="D13" s="149">
        <f t="shared" si="4"/>
        <v>4.6370107344910601E-2</v>
      </c>
      <c r="E13" s="149">
        <f t="shared" si="4"/>
        <v>0.16800595010792208</v>
      </c>
      <c r="F13" s="149">
        <f t="shared" si="4"/>
        <v>0.14689656368864581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791</v>
      </c>
      <c r="D14" s="51">
        <f t="shared" si="5"/>
        <v>82036</v>
      </c>
      <c r="E14" s="51">
        <f t="shared" si="5"/>
        <v>285972</v>
      </c>
      <c r="F14" s="51">
        <f t="shared" si="5"/>
        <v>203217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-0.99035789165732113</v>
      </c>
      <c r="D15" s="149">
        <f t="shared" ref="D15:M15" si="6">IF(E14="","",IF(ABS(D14+E14)=ABS(D14)+ABS(E14),IF(D14&lt;0,-1,1)*(D14-E14)/E14,"Turn"))</f>
        <v>-0.71313275425566136</v>
      </c>
      <c r="E15" s="149">
        <f t="shared" si="6"/>
        <v>0.40722478926467764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593.25</v>
      </c>
      <c r="D16" s="51">
        <f>IF(D14="","",D14*(1-Projections!$F$18))</f>
        <v>61527</v>
      </c>
      <c r="E16" s="51">
        <f>IF(E14="","",E14*(1-Projections!$F$18))</f>
        <v>214479</v>
      </c>
      <c r="F16" s="51">
        <f>IF(F14="","",F14*(1-Projections!$F$18))</f>
        <v>152412.75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4.1135242554053063E-4</v>
      </c>
      <c r="D17" s="149">
        <f t="shared" si="7"/>
        <v>3.4777580508682952E-2</v>
      </c>
      <c r="E17" s="149">
        <f t="shared" si="7"/>
        <v>0.12600446258094156</v>
      </c>
      <c r="F17" s="149">
        <f t="shared" si="7"/>
        <v>0.11017242276648437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863</v>
      </c>
      <c r="D18" s="148">
        <v>1613</v>
      </c>
      <c r="E18" s="148">
        <v>2645</v>
      </c>
      <c r="F18" s="148">
        <v>299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64730</v>
      </c>
      <c r="D19" s="148">
        <v>92093</v>
      </c>
      <c r="E19" s="148">
        <v>223781</v>
      </c>
      <c r="F19" s="148">
        <v>185164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-0.29712355987968686</v>
      </c>
      <c r="D20" s="149">
        <f t="shared" ref="D20:M20" si="8">IF(E19="","",IF(ABS(D19+E19)=ABS(D19)+ABS(E19),IF(D19&lt;0,-1,1)*(D19-E19)/E19,"Turn"))</f>
        <v>-0.58846818988207217</v>
      </c>
      <c r="E20" s="149">
        <f t="shared" si="8"/>
        <v>0.20855565876736298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370</v>
      </c>
      <c r="C21" s="150">
        <v>3572928</v>
      </c>
      <c r="D21" s="148">
        <v>3422650</v>
      </c>
      <c r="E21" s="148">
        <v>1608425</v>
      </c>
      <c r="F21" s="148">
        <v>1225878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3155075</v>
      </c>
      <c r="D22" s="148">
        <v>3103683</v>
      </c>
      <c r="E22" s="148">
        <v>1398268</v>
      </c>
      <c r="F22" s="148">
        <v>1034632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734476</v>
      </c>
      <c r="D23" s="148">
        <v>677999</v>
      </c>
      <c r="E23" s="148">
        <v>1352795</v>
      </c>
      <c r="F23" s="148">
        <v>1205068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6202</v>
      </c>
      <c r="D24" s="148">
        <v>5517</v>
      </c>
      <c r="E24" s="148">
        <v>301783</v>
      </c>
      <c r="F24" s="148">
        <v>3225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6202</v>
      </c>
      <c r="D25" s="152">
        <v>5517</v>
      </c>
      <c r="E25" s="152">
        <v>1783</v>
      </c>
      <c r="F25" s="152">
        <v>3225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10412</v>
      </c>
      <c r="D26" s="148">
        <v>9392</v>
      </c>
      <c r="E26" s="148">
        <v>5096</v>
      </c>
      <c r="F26" s="148">
        <v>6880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10412</v>
      </c>
      <c r="D27" s="152">
        <v>9392</v>
      </c>
      <c r="E27" s="152">
        <v>5096</v>
      </c>
      <c r="F27" s="152">
        <v>6880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16614</v>
      </c>
      <c r="D28" s="51">
        <f t="shared" si="9"/>
        <v>14909</v>
      </c>
      <c r="E28" s="51">
        <f t="shared" si="9"/>
        <v>306879</v>
      </c>
      <c r="F28" s="51">
        <f t="shared" si="9"/>
        <v>10105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2819770</v>
      </c>
      <c r="D29" s="148">
        <v>2735259</v>
      </c>
      <c r="E29" s="148">
        <v>250534</v>
      </c>
      <c r="F29" s="148">
        <v>13930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2812473</v>
      </c>
      <c r="D30" s="152">
        <v>2733761</v>
      </c>
      <c r="E30" s="152">
        <v>247681</v>
      </c>
      <c r="F30" s="152">
        <v>13234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345</v>
      </c>
      <c r="C31" s="150">
        <v>187570</v>
      </c>
      <c r="D31" s="148">
        <v>197933</v>
      </c>
      <c r="E31" s="148">
        <v>172844</v>
      </c>
      <c r="F31" s="148">
        <v>159191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1335766</v>
      </c>
      <c r="D32" s="148">
        <v>2558156</v>
      </c>
      <c r="E32" s="148">
        <v>884766</v>
      </c>
      <c r="F32" s="148">
        <v>511035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338</v>
      </c>
      <c r="C33" s="161">
        <v>24700</v>
      </c>
      <c r="D33" s="161">
        <v>58000</v>
      </c>
      <c r="E33" s="161">
        <v>30500</v>
      </c>
      <c r="F33" s="161">
        <v>38500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364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10050.449999999999</v>
      </c>
      <c r="E35" s="154">
        <f>IF(F7="","",IF(E8&lt;0,0,(E7-F7)*Asset_Model!$D$68))</f>
        <v>47812.799999999996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24700</v>
      </c>
      <c r="D36" s="51">
        <f t="shared" si="11"/>
        <v>68050.45</v>
      </c>
      <c r="E36" s="51">
        <f t="shared" si="11"/>
        <v>78312.799999999988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337</v>
      </c>
      <c r="C37" s="149">
        <f>IF(C36="","",C33/C7)</f>
        <v>1.7126683372694657E-2</v>
      </c>
      <c r="D37" s="149">
        <f t="shared" ref="D37:M37" si="12">IF(D36="","",D33/D7)</f>
        <v>3.2783975644897545E-2</v>
      </c>
      <c r="E37" s="149">
        <f t="shared" si="12"/>
        <v>1.7918472711634787E-2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340</v>
      </c>
      <c r="C38" s="158">
        <f t="shared" ref="C38:M38" si="13">IF(C36="","",C33/C16)</f>
        <v>41.635061104087654</v>
      </c>
      <c r="D38" s="158">
        <f t="shared" si="13"/>
        <v>0.94267557332553187</v>
      </c>
      <c r="E38" s="158">
        <f t="shared" si="13"/>
        <v>0.14220506436527586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96133</v>
      </c>
      <c r="D40" s="163">
        <v>58667</v>
      </c>
      <c r="E40" s="163">
        <v>221311</v>
      </c>
      <c r="F40" s="163">
        <v>220950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7.209992765422174E-2</v>
      </c>
      <c r="D42" s="162">
        <f t="shared" si="14"/>
        <v>4.4000358416883142E-2</v>
      </c>
      <c r="E42" s="162">
        <f t="shared" si="14"/>
        <v>0.16598365898373574</v>
      </c>
      <c r="F42" s="162">
        <f t="shared" si="14"/>
        <v>0.16571290831660609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354</v>
      </c>
      <c r="C45" s="166">
        <f>IF(C30="","",(C21-C30)/C21)</f>
        <v>0.21283804207641463</v>
      </c>
      <c r="D45" s="166">
        <f>IF(D30="","",(D21-D30)/D21)</f>
        <v>0.20127357456941258</v>
      </c>
      <c r="E45" s="166">
        <f t="shared" ref="E45:M45" si="16">IF(E30="","",(E21-E30)/E21)</f>
        <v>0.846010227396366</v>
      </c>
      <c r="F45" s="166">
        <f t="shared" si="16"/>
        <v>0.98920447222317387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366</v>
      </c>
      <c r="C46" s="149">
        <f t="shared" ref="C46:M46" si="17">IF(C30="","",C28/C30)</f>
        <v>5.9072567096644128E-3</v>
      </c>
      <c r="D46" s="149">
        <f t="shared" si="17"/>
        <v>5.4536588970286719E-3</v>
      </c>
      <c r="E46" s="149">
        <f t="shared" si="17"/>
        <v>1.2390090479285856</v>
      </c>
      <c r="F46" s="149">
        <f t="shared" si="17"/>
        <v>0.76356354843584706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4.7610449018899721E-2</v>
      </c>
      <c r="D47" s="165">
        <f t="shared" si="18"/>
        <v>5.5024481856596683</v>
      </c>
      <c r="E47" s="165">
        <f t="shared" si="18"/>
        <v>0.93187217111630316</v>
      </c>
      <c r="F47" s="165">
        <f t="shared" si="18"/>
        <v>20.110539336961899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1.0910240202275601</v>
      </c>
      <c r="D48" s="149">
        <f>IF(D14="","",IF(D18&lt;=0,"-",D18/D14))</f>
        <v>1.9662099566044176E-2</v>
      </c>
      <c r="E48" s="149">
        <f t="shared" ref="E48:M48" si="19">IF(E14="","",IF(E18&lt;=0,"-",E18/E14))</f>
        <v>9.2491572601513441E-3</v>
      </c>
      <c r="F48" s="149">
        <f t="shared" si="19"/>
        <v>1.4713335990591339E-3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4.2956815471165841</v>
      </c>
      <c r="D49" s="167">
        <f t="shared" si="20"/>
        <v>4.5777102916081001</v>
      </c>
      <c r="E49" s="167">
        <f t="shared" si="20"/>
        <v>1.0336141100462377</v>
      </c>
      <c r="F49" s="167">
        <f t="shared" si="20"/>
        <v>0.85856731736300362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5.4846990072070743E-4</v>
      </c>
      <c r="D51" s="166">
        <f t="shared" si="21"/>
        <v>4.6370107344910601E-2</v>
      </c>
      <c r="E51" s="166">
        <f t="shared" si="21"/>
        <v>0.16800595010792208</v>
      </c>
      <c r="F51" s="166">
        <f t="shared" si="21"/>
        <v>0.14689656368864581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0.40364485374460385</v>
      </c>
      <c r="D52" s="149">
        <f>IF(D7="","",D7/D21)</f>
        <v>0.51689684893284449</v>
      </c>
      <c r="E52" s="149">
        <f t="shared" ref="E52:M52" si="22">IF(E7="","",E7/E21)</f>
        <v>1.0582737771422355</v>
      </c>
      <c r="F52" s="149">
        <f t="shared" si="22"/>
        <v>1.128498920773519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372</v>
      </c>
      <c r="C53" s="168">
        <f>C21/C29</f>
        <v>1.2670990896420631</v>
      </c>
      <c r="D53" s="168">
        <f>IF(D29="","",D21/D29)</f>
        <v>1.2513074630226972</v>
      </c>
      <c r="E53" s="168">
        <f t="shared" ref="E53:M53" si="23">IF(E29="","",E21/E29)</f>
        <v>6.4199869079645877</v>
      </c>
      <c r="F53" s="168">
        <f t="shared" si="23"/>
        <v>88.002727925340992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371</v>
      </c>
      <c r="C54" s="149">
        <f>C51*C52*C53</f>
        <v>2.8051933313709979E-4</v>
      </c>
      <c r="D54" s="149">
        <f>IF(D51="","",D51*D52*D53)</f>
        <v>2.9992040973085183E-2</v>
      </c>
      <c r="E54" s="149">
        <f t="shared" ref="E54:M54" si="24">IF(E51="","",E51*E52*E53)</f>
        <v>1.1414498630924346</v>
      </c>
      <c r="F54" s="149">
        <f t="shared" si="24"/>
        <v>14.588442211055275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1.1679439576041071E-2</v>
      </c>
      <c r="D55" s="158">
        <f>IF(D38="","",D38*D54)</f>
        <v>2.8272764419505918E-2</v>
      </c>
      <c r="E55" s="158">
        <f t="shared" ref="E55:M55" si="25">IF(E38="","",E38*E54)</f>
        <v>0.16231995125079499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335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405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6" priority="2">
      <formula>$C$58="No"</formula>
    </cfRule>
  </conditionalFormatting>
  <conditionalFormatting sqref="C7:M38 D45:M49 D51:M55">
    <cfRule type="containsBlanks" dxfId="15" priority="5">
      <formula>LEN(TRIM(C7))=0</formula>
    </cfRule>
  </conditionalFormatting>
  <conditionalFormatting sqref="C40:M43">
    <cfRule type="containsBlanks" dxfId="14" priority="7">
      <formula>LEN(TRIM(C40))=0</formula>
    </cfRule>
  </conditionalFormatting>
  <conditionalFormatting sqref="D17:M18">
    <cfRule type="containsBlanks" dxfId="13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7" zoomScaleNormal="100" workbookViewId="0">
      <selection activeCell="C12" sqref="C12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2969594</v>
      </c>
      <c r="E3" s="191" t="str">
        <f>IF((C49-I49)=D3,"", "Error!")</f>
        <v/>
      </c>
      <c r="F3" s="6"/>
      <c r="G3" s="6"/>
      <c r="H3" s="112" t="s">
        <v>216</v>
      </c>
      <c r="I3" s="163">
        <v>2962991</v>
      </c>
      <c r="K3" s="43"/>
    </row>
    <row r="4" spans="1:11" ht="15" customHeight="1">
      <c r="B4" s="5" t="s">
        <v>193</v>
      </c>
      <c r="C4" s="6"/>
      <c r="D4" s="186">
        <f>D3-I3</f>
        <v>6603</v>
      </c>
      <c r="E4" s="90"/>
      <c r="F4" s="6"/>
      <c r="G4" s="6"/>
      <c r="H4" s="38" t="s">
        <v>71</v>
      </c>
      <c r="I4" s="139">
        <f>(I3*Dashboard!I12*Data!C4)/Dashboard!I5</f>
        <v>2.4135880102554923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316</v>
      </c>
      <c r="C6" s="6"/>
      <c r="D6" s="193">
        <f>E49-I49-E53</f>
        <v>2267642.6</v>
      </c>
      <c r="E6" s="149">
        <f>1-D6/D3</f>
        <v>0.23637958589625385</v>
      </c>
      <c r="F6" s="6"/>
      <c r="G6" s="6"/>
      <c r="H6" s="3" t="s">
        <v>256</v>
      </c>
      <c r="I6" s="184">
        <f>C28/I28</f>
        <v>6.1836649553955665</v>
      </c>
      <c r="J6" s="6"/>
      <c r="K6" s="43"/>
    </row>
    <row r="7" spans="1:11" ht="15" customHeight="1" thickTop="1">
      <c r="B7" s="32" t="s">
        <v>317</v>
      </c>
      <c r="C7" s="6"/>
      <c r="D7" s="187">
        <f>MAX((D6*Exchange_Rate*Data!C4)/Common_Shares, 0)</f>
        <v>1.8471723305621217</v>
      </c>
      <c r="E7" s="18" t="str">
        <f>Dashboard!J4</f>
        <v>HKD</v>
      </c>
      <c r="H7" s="3" t="s">
        <v>257</v>
      </c>
      <c r="I7" s="184">
        <f>C25/I28</f>
        <v>0.89074192209159853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4.9931954190589023</v>
      </c>
      <c r="K8" s="43"/>
    </row>
    <row r="9" spans="1:11" ht="15" customHeight="1">
      <c r="A9" s="4"/>
      <c r="B9" s="111" t="s">
        <v>211</v>
      </c>
      <c r="C9" s="84"/>
      <c r="D9" s="188">
        <v>44926</v>
      </c>
      <c r="E9" s="189" t="s">
        <v>396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769326</v>
      </c>
      <c r="D11" s="180">
        <v>1</v>
      </c>
      <c r="E11" s="51">
        <f t="shared" ref="E11:E21" si="0">C11*D11</f>
        <v>769326</v>
      </c>
      <c r="F11" s="6"/>
      <c r="G11" s="6"/>
      <c r="H11" s="5" t="s">
        <v>79</v>
      </c>
      <c r="I11" s="179">
        <v>0</v>
      </c>
      <c r="J11" s="6"/>
      <c r="K11" s="43"/>
    </row>
    <row r="12" spans="1:11" ht="14">
      <c r="B12" s="3" t="s">
        <v>80</v>
      </c>
      <c r="C12" s="179">
        <v>1696239</v>
      </c>
      <c r="D12" s="180">
        <v>0.95</v>
      </c>
      <c r="E12" s="51">
        <f t="shared" si="0"/>
        <v>1611427.0499999998</v>
      </c>
      <c r="F12" s="6"/>
      <c r="G12" s="6"/>
      <c r="H12" s="5" t="s">
        <v>81</v>
      </c>
      <c r="I12" s="179">
        <v>7102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v>0</v>
      </c>
      <c r="D14" s="180">
        <v>0.85</v>
      </c>
      <c r="E14" s="51">
        <f t="shared" si="0"/>
        <v>0</v>
      </c>
      <c r="F14" s="6"/>
      <c r="G14" s="6"/>
      <c r="H14" s="6" t="s">
        <v>343</v>
      </c>
      <c r="I14" s="179">
        <v>0</v>
      </c>
      <c r="J14" s="6"/>
      <c r="K14" s="47"/>
    </row>
    <row r="15" spans="1:11" ht="14">
      <c r="B15" s="5" t="s">
        <v>86</v>
      </c>
      <c r="C15" s="179">
        <v>251216</v>
      </c>
      <c r="D15" s="180">
        <v>0.3</v>
      </c>
      <c r="E15" s="51">
        <f t="shared" si="0"/>
        <v>75364.800000000003</v>
      </c>
      <c r="F15" s="6"/>
      <c r="G15" s="6"/>
      <c r="H15" s="5" t="s">
        <v>87</v>
      </c>
      <c r="I15" s="130">
        <f>I28-SUM(I11:I14)</f>
        <v>486683</v>
      </c>
      <c r="J15" s="6"/>
    </row>
    <row r="16" spans="1:11" ht="14">
      <c r="B16" s="3" t="s">
        <v>85</v>
      </c>
      <c r="C16" s="179">
        <v>0</v>
      </c>
      <c r="D16" s="180">
        <v>0.6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342</v>
      </c>
      <c r="C17" s="179">
        <f>70620+117999</f>
        <v>188619</v>
      </c>
      <c r="D17" s="180">
        <v>0.4</v>
      </c>
      <c r="E17" s="51">
        <f t="shared" si="0"/>
        <v>75447.600000000006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148001</v>
      </c>
      <c r="D18" s="180">
        <v>0.2</v>
      </c>
      <c r="E18" s="51">
        <f t="shared" si="0"/>
        <v>29600.2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383</v>
      </c>
      <c r="G23" s="6"/>
      <c r="H23" s="6"/>
      <c r="I23" s="6"/>
    </row>
    <row r="24" spans="2:10" ht="15" customHeight="1">
      <c r="B24" s="41" t="s">
        <v>373</v>
      </c>
      <c r="C24" s="182">
        <f>SUM(C11:C14)</f>
        <v>2465565</v>
      </c>
      <c r="D24" s="183">
        <f>IF(E24=0,0,E24/C24)</f>
        <v>0.96560141387471021</v>
      </c>
      <c r="E24" s="51">
        <f>SUM(E11:E14)</f>
        <v>2380753.0499999998</v>
      </c>
      <c r="F24" s="233">
        <f>E24/$E$28</f>
        <v>0.92955840244070109</v>
      </c>
      <c r="G24" s="6"/>
      <c r="H24" s="3" t="s">
        <v>381</v>
      </c>
      <c r="I24" s="312">
        <f>I11+I12+I13</f>
        <v>7102</v>
      </c>
    </row>
    <row r="25" spans="2:10" ht="15" customHeight="1">
      <c r="B25" s="41" t="s">
        <v>377</v>
      </c>
      <c r="C25" s="182">
        <f>SUM(C15:C17)</f>
        <v>439835</v>
      </c>
      <c r="D25" s="183">
        <f>IF(E25=0,0,E25/C25)</f>
        <v>0.34288403605897672</v>
      </c>
      <c r="E25" s="51">
        <f>SUM(E15:E17)</f>
        <v>150812.40000000002</v>
      </c>
      <c r="F25" s="233">
        <f t="shared" ref="F25:F27" si="2">E25/$E$28</f>
        <v>5.8884281850336402E-2</v>
      </c>
      <c r="G25" s="6"/>
      <c r="H25" s="41" t="s">
        <v>384</v>
      </c>
      <c r="I25" s="184">
        <f>E28/I28</f>
        <v>5.186803264578713</v>
      </c>
    </row>
    <row r="26" spans="2:10" ht="15" customHeight="1">
      <c r="B26" s="41" t="s">
        <v>375</v>
      </c>
      <c r="C26" s="182">
        <f>C18+C19+C20</f>
        <v>148001</v>
      </c>
      <c r="D26" s="183">
        <f t="shared" ref="D26:D27" si="3">IF(E26=0,0,E26/C26)</f>
        <v>0.2</v>
      </c>
      <c r="E26" s="51">
        <f>E18+E19+E20</f>
        <v>29600.2</v>
      </c>
      <c r="F26" s="233">
        <f t="shared" si="2"/>
        <v>1.1557315708962441E-2</v>
      </c>
      <c r="G26" s="6"/>
      <c r="H26" s="41" t="s">
        <v>259</v>
      </c>
      <c r="I26" s="184">
        <f>E24/($I$28-I15)</f>
        <v>335.22290199943677</v>
      </c>
      <c r="J26" s="13" t="str">
        <f>IF(I26&lt;1,"Liquidity Problem!","")</f>
        <v/>
      </c>
    </row>
    <row r="27" spans="2:10" ht="15" customHeight="1">
      <c r="B27" s="41" t="s">
        <v>376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5.1268577417296992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3053401</v>
      </c>
      <c r="D28" s="166">
        <f t="shared" ref="D28" si="4">E28/C28</f>
        <v>0.83879112176880788</v>
      </c>
      <c r="E28" s="212">
        <f>SUM(E24:E27)</f>
        <v>2561165.65</v>
      </c>
      <c r="F28" s="6"/>
      <c r="G28" s="6"/>
      <c r="H28" s="306" t="s">
        <v>53</v>
      </c>
      <c r="I28" s="190">
        <v>493785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146031</v>
      </c>
      <c r="D31" s="180">
        <v>0.5</v>
      </c>
      <c r="E31" s="51">
        <f t="shared" ref="E31:E42" si="5">C31*D31</f>
        <v>73015.5</v>
      </c>
      <c r="F31" s="6"/>
      <c r="G31" s="6"/>
      <c r="H31" s="5" t="s">
        <v>97</v>
      </c>
      <c r="I31" s="179">
        <v>8842</v>
      </c>
      <c r="J31" s="6"/>
    </row>
    <row r="32" spans="2:10" ht="15" customHeight="1">
      <c r="B32" s="5" t="s">
        <v>98</v>
      </c>
      <c r="C32" s="179">
        <v>0</v>
      </c>
      <c r="D32" s="180">
        <v>0.6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344</v>
      </c>
      <c r="I33" s="179">
        <v>0</v>
      </c>
      <c r="J33" s="6"/>
    </row>
    <row r="34" spans="2:10" ht="1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8229</v>
      </c>
      <c r="J34" s="6"/>
    </row>
    <row r="35" spans="2:10" ht="14">
      <c r="B35" s="5" t="s">
        <v>103</v>
      </c>
      <c r="C35" s="179">
        <v>1500</v>
      </c>
      <c r="D35" s="180">
        <v>0.6</v>
      </c>
      <c r="E35" s="51">
        <f t="shared" si="5"/>
        <v>900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203</v>
      </c>
      <c r="G36" s="58">
        <f>IF(F36="Y",0,1)</f>
        <v>0</v>
      </c>
      <c r="H36" s="6"/>
      <c r="I36" s="6"/>
    </row>
    <row r="37" spans="2:10" ht="1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160840+23123+171</f>
        <v>184134</v>
      </c>
      <c r="D38" s="180">
        <v>0.4</v>
      </c>
      <c r="E38" s="51">
        <f t="shared" si="5"/>
        <v>73653.600000000006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11486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79973</v>
      </c>
      <c r="D41" s="180">
        <v>0.95</v>
      </c>
      <c r="E41" s="51">
        <f t="shared" si="5"/>
        <v>75974.349999999991</v>
      </c>
      <c r="F41" s="6"/>
      <c r="G41" s="6"/>
      <c r="H41" s="6"/>
      <c r="I41" s="6"/>
    </row>
    <row r="42" spans="2:10" ht="15" customHeight="1">
      <c r="B42" s="5" t="s">
        <v>107</v>
      </c>
      <c r="C42" s="179">
        <v>3925</v>
      </c>
      <c r="D42" s="180">
        <v>0.1</v>
      </c>
      <c r="E42" s="51">
        <f t="shared" si="5"/>
        <v>392.5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374</v>
      </c>
      <c r="C44" s="182">
        <f>SUM(C30:C31)</f>
        <v>146031</v>
      </c>
      <c r="D44" s="183">
        <f>IF(E44=0,0,E44/C44)</f>
        <v>0.5</v>
      </c>
      <c r="E44" s="51">
        <f>SUM(E30:E31)</f>
        <v>73015.5</v>
      </c>
      <c r="F44" s="233"/>
      <c r="G44" s="6"/>
      <c r="H44" s="3" t="s">
        <v>382</v>
      </c>
      <c r="I44" s="312">
        <f>I30+I31+I32</f>
        <v>8842</v>
      </c>
    </row>
    <row r="45" spans="2:10" ht="15" customHeight="1">
      <c r="B45" s="41" t="s">
        <v>378</v>
      </c>
      <c r="C45" s="182">
        <f>SUM(C32:C35)</f>
        <v>1500</v>
      </c>
      <c r="D45" s="183">
        <f>IF(E45=0,0,E45/C45)</f>
        <v>0.6</v>
      </c>
      <c r="E45" s="51">
        <f>SUM(E32:E35)</f>
        <v>900</v>
      </c>
      <c r="F45" s="233"/>
      <c r="G45" s="6"/>
    </row>
    <row r="46" spans="2:10" ht="15" customHeight="1">
      <c r="B46" s="41" t="s">
        <v>379</v>
      </c>
      <c r="C46" s="182">
        <f>C36+C37+C38+C39</f>
        <v>184134</v>
      </c>
      <c r="D46" s="183">
        <f t="shared" ref="D46:D47" si="6">IF(E46=0,0,E46/C46)</f>
        <v>0.4</v>
      </c>
      <c r="E46" s="51">
        <f>E36+E37+E38+E39</f>
        <v>73653.600000000006</v>
      </c>
      <c r="F46" s="6"/>
      <c r="G46" s="6"/>
      <c r="H46" s="41" t="s">
        <v>260</v>
      </c>
      <c r="I46" s="184">
        <f>(E44+E24)/D55</f>
        <v>153.89918151028598</v>
      </c>
      <c r="J46" s="13" t="str">
        <f>IF(I46&lt;1,"Liquidity Problem!","")</f>
        <v/>
      </c>
    </row>
    <row r="47" spans="2:10" ht="15" customHeight="1">
      <c r="B47" s="41" t="s">
        <v>380</v>
      </c>
      <c r="C47" s="182">
        <f>C40+C41+C42</f>
        <v>95384</v>
      </c>
      <c r="D47" s="183">
        <f t="shared" si="6"/>
        <v>0.80062536693785114</v>
      </c>
      <c r="E47" s="51">
        <f>E40+E41+E42</f>
        <v>76366.849999999991</v>
      </c>
      <c r="F47" s="6"/>
      <c r="G47" s="6"/>
      <c r="H47" s="41" t="s">
        <v>264</v>
      </c>
      <c r="I47" s="184">
        <f>(E44+E45+E24+E25)/$I$49</f>
        <v>5.1002257974850052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427049</v>
      </c>
      <c r="D48" s="310">
        <f>E48/C48</f>
        <v>0.52437998918156936</v>
      </c>
      <c r="E48" s="304">
        <f>SUM(E30:E42)</f>
        <v>223935.95</v>
      </c>
      <c r="F48" s="6"/>
      <c r="G48" s="6"/>
      <c r="H48" s="308" t="s">
        <v>109</v>
      </c>
      <c r="I48" s="311">
        <v>17071</v>
      </c>
      <c r="J48" s="13"/>
    </row>
    <row r="49" spans="2:10" ht="15" customHeight="1" thickTop="1">
      <c r="B49" s="5" t="s">
        <v>370</v>
      </c>
      <c r="C49" s="182">
        <f>SUM(C44:C47)+C28</f>
        <v>3480450</v>
      </c>
      <c r="D49" s="149">
        <f>E49/C49</f>
        <v>0.80021307589535839</v>
      </c>
      <c r="E49" s="51">
        <f>E28+E48</f>
        <v>2785101.6</v>
      </c>
      <c r="F49" s="6"/>
      <c r="G49" s="6"/>
      <c r="H49" s="5" t="s">
        <v>261</v>
      </c>
      <c r="I49" s="130">
        <f>I28+I48</f>
        <v>510856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6603</v>
      </c>
      <c r="D53" s="54">
        <f>IF(E53=0, 0,E53/C53)</f>
        <v>1</v>
      </c>
      <c r="E53" s="51">
        <f>MAX(C53,C53*Dashboard!I10)</f>
        <v>6603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6">
        <f>D56+D57+D58</f>
        <v>15944</v>
      </c>
      <c r="E55" s="377"/>
      <c r="F55" s="5"/>
      <c r="G55" s="5"/>
      <c r="H55" s="6"/>
      <c r="I55" s="6"/>
    </row>
    <row r="56" spans="2:10" ht="14.5" thickTop="1">
      <c r="B56" s="37" t="s">
        <v>197</v>
      </c>
      <c r="C56" s="6"/>
      <c r="D56" s="347">
        <f>SUM(I11:I13)+SUM(I30:I32)</f>
        <v>15944</v>
      </c>
      <c r="E56" s="378"/>
      <c r="F56" s="5"/>
      <c r="G56" s="5"/>
      <c r="H56" s="6" t="s">
        <v>262</v>
      </c>
      <c r="I56" s="149">
        <f>D56/I3</f>
        <v>5.3810490818230637E-3</v>
      </c>
    </row>
    <row r="57" spans="2:10" ht="14">
      <c r="B57" s="37" t="s">
        <v>112</v>
      </c>
      <c r="C57" s="6"/>
      <c r="D57" s="383">
        <v>0</v>
      </c>
      <c r="E57" s="31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3">
        <v>0</v>
      </c>
      <c r="E58" s="31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341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398747</v>
      </c>
      <c r="D61" s="149">
        <f>IF(E61=0,0,E61/C61)</f>
        <v>0.37437347491015605</v>
      </c>
      <c r="E61" s="130">
        <f>E14+E15+(E19*G19)+(E20*G20)+E31+E32+(E33*G33)+(E35*G35)+(E36*G36)+(E37*G37)</f>
        <v>149280.29999999999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2465565</v>
      </c>
      <c r="D62" s="54">
        <f>IF(E62=0,0,E62/C62)</f>
        <v>0.96560141387471021</v>
      </c>
      <c r="E62" s="182">
        <f>E11+E12+E30</f>
        <v>2380753.0499999998</v>
      </c>
      <c r="F62" s="6"/>
      <c r="G62" s="6"/>
      <c r="H62" s="6"/>
      <c r="I62" s="6"/>
    </row>
    <row r="63" spans="2:10" ht="14">
      <c r="B63" s="32" t="s">
        <v>116</v>
      </c>
      <c r="C63" s="6"/>
      <c r="D63" s="347">
        <f>((Dashboard!I6*Data!C4)+D55+E53-C61-C62)</f>
        <v>-588437.21888000006</v>
      </c>
      <c r="E63" s="347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1">
        <f>((C28-C11-C12-C14-C15-C16*G16-C19*G19-C20*G20)-I28)/Data!C7</f>
        <v>-0.10897632357366624</v>
      </c>
      <c r="E66" s="382"/>
      <c r="F66" s="6"/>
      <c r="G66" s="6"/>
      <c r="H66" s="6"/>
      <c r="I66" s="6"/>
    </row>
    <row r="67" spans="2:9" ht="15" customHeight="1">
      <c r="B67" s="3" t="s">
        <v>222</v>
      </c>
      <c r="C67" s="6"/>
      <c r="D67" s="379">
        <v>8.5599999999999996E-2</v>
      </c>
      <c r="E67" s="380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79">
        <v>0.15</v>
      </c>
      <c r="E68" s="380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8"/>
  <sheetViews>
    <sheetView showGridLines="0" zoomScaleNormal="100" zoomScalePageLayoutView="80" workbookViewId="0">
      <selection activeCell="F13" sqref="F13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5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1000CNY)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408</v>
      </c>
      <c r="C4" s="205"/>
      <c r="D4" s="205"/>
      <c r="E4" s="205">
        <v>1608309</v>
      </c>
      <c r="F4" s="205">
        <v>1296901</v>
      </c>
      <c r="G4" s="205"/>
      <c r="H4" s="206"/>
      <c r="I4" s="206"/>
      <c r="J4" s="6"/>
      <c r="K4" s="43" t="s">
        <v>389</v>
      </c>
      <c r="L4" s="36"/>
    </row>
    <row r="5" spans="1:12" ht="15.75" customHeight="1">
      <c r="B5" s="118" t="s">
        <v>409</v>
      </c>
      <c r="C5" s="196"/>
      <c r="D5" s="196"/>
      <c r="E5" s="196">
        <v>100817</v>
      </c>
      <c r="F5" s="196">
        <v>64283</v>
      </c>
      <c r="G5" s="196"/>
      <c r="H5" s="197"/>
      <c r="I5" s="197"/>
      <c r="J5" s="6"/>
      <c r="K5" s="43"/>
      <c r="L5" s="36"/>
    </row>
    <row r="6" spans="1:12" ht="15.75" customHeight="1">
      <c r="B6" s="118" t="s">
        <v>410</v>
      </c>
      <c r="C6" s="196"/>
      <c r="D6" s="196"/>
      <c r="E6" s="196">
        <v>52662</v>
      </c>
      <c r="F6" s="196">
        <v>76943</v>
      </c>
      <c r="G6" s="196"/>
      <c r="H6" s="197"/>
      <c r="I6" s="197"/>
      <c r="J6" s="6"/>
      <c r="K6" s="43"/>
      <c r="L6" s="36"/>
    </row>
    <row r="7" spans="1:12" ht="15.75" customHeight="1">
      <c r="B7" s="118" t="s">
        <v>346</v>
      </c>
      <c r="C7" s="196"/>
      <c r="D7" s="196"/>
      <c r="E7" s="196">
        <v>7369</v>
      </c>
      <c r="F7" s="196">
        <v>4067</v>
      </c>
      <c r="G7" s="196"/>
      <c r="H7" s="197"/>
      <c r="I7" s="197"/>
      <c r="J7" s="6"/>
      <c r="K7" s="43"/>
      <c r="L7" s="36"/>
    </row>
    <row r="8" spans="1:12" ht="15.75" customHeight="1">
      <c r="B8" s="5" t="s">
        <v>118</v>
      </c>
      <c r="C8" s="198">
        <f>Data!F7</f>
        <v>1383402</v>
      </c>
      <c r="D8" s="198">
        <f>Data!E7</f>
        <v>1702154</v>
      </c>
      <c r="E8" s="198">
        <f>Data!D7</f>
        <v>1769157</v>
      </c>
      <c r="F8" s="198">
        <f>Data!C7</f>
        <v>1442194</v>
      </c>
      <c r="G8" s="200">
        <f>1132761/0.71</f>
        <v>1595438.0281690143</v>
      </c>
      <c r="H8" s="200"/>
      <c r="I8" s="201"/>
      <c r="J8" s="6"/>
      <c r="K8" s="43"/>
      <c r="L8" s="36"/>
    </row>
    <row r="9" spans="1:12" ht="15.75" customHeight="1">
      <c r="B9" s="14" t="s">
        <v>348</v>
      </c>
      <c r="C9" s="285"/>
      <c r="D9" s="171">
        <f>D8/C8-1</f>
        <v>0.2304116952266948</v>
      </c>
      <c r="E9" s="171">
        <f>E8/D8-1</f>
        <v>3.9363653347464389E-2</v>
      </c>
      <c r="F9" s="171">
        <f>Data!C8</f>
        <v>-0.18481287980659711</v>
      </c>
      <c r="G9" s="149">
        <f>G8/F8-1</f>
        <v>0.1062575687938061</v>
      </c>
      <c r="H9" s="180"/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783542</v>
      </c>
      <c r="D10" s="202">
        <f>Data!E9</f>
        <v>959572</v>
      </c>
      <c r="E10" s="202">
        <f>Data!D9</f>
        <v>981731</v>
      </c>
      <c r="F10" s="202">
        <f>Data!C9</f>
        <v>842386</v>
      </c>
      <c r="G10" s="203">
        <f>664980/0.74</f>
        <v>898621.62162162166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0.43361221105651143</v>
      </c>
      <c r="D11" s="96">
        <f t="shared" si="0"/>
        <v>0.43626017387380928</v>
      </c>
      <c r="E11" s="96">
        <f t="shared" si="0"/>
        <v>0.44508542769239812</v>
      </c>
      <c r="F11" s="96">
        <f>(F8-F10)/F8</f>
        <v>0.41589966398417966</v>
      </c>
      <c r="G11" s="208">
        <f>1-G10/G8</f>
        <v>0.43675554565230323</v>
      </c>
      <c r="H11" s="208"/>
      <c r="I11" s="208"/>
      <c r="J11" s="6"/>
      <c r="K11" s="43"/>
    </row>
    <row r="12" spans="1:12" ht="15.75" customHeight="1">
      <c r="B12" s="5" t="s">
        <v>347</v>
      </c>
      <c r="C12" s="51">
        <f>C8-C10</f>
        <v>599860</v>
      </c>
      <c r="D12" s="51">
        <f t="shared" ref="D12:E12" si="1">D8-D10</f>
        <v>742582</v>
      </c>
      <c r="E12" s="51">
        <f t="shared" si="1"/>
        <v>787426</v>
      </c>
      <c r="F12" s="51">
        <f>F8-F10</f>
        <v>599808</v>
      </c>
      <c r="G12" s="51">
        <f>G8-G10</f>
        <v>696816.4065473926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0.28671564736786559</v>
      </c>
      <c r="D13" s="54">
        <f t="shared" ref="D13:E13" si="2">D14/D8</f>
        <v>0.2682542237658872</v>
      </c>
      <c r="E13" s="54">
        <f t="shared" si="2"/>
        <v>0.39871532034748752</v>
      </c>
      <c r="F13" s="54">
        <f>F14/F8</f>
        <v>0.41535119408345894</v>
      </c>
      <c r="G13" s="207">
        <f>G14/G8</f>
        <v>0.42153394127681648</v>
      </c>
      <c r="H13" s="180"/>
      <c r="I13" s="180"/>
      <c r="J13" s="6"/>
      <c r="K13" s="43"/>
    </row>
    <row r="14" spans="1:12" ht="15.75" customHeight="1">
      <c r="B14" s="8" t="s">
        <v>120</v>
      </c>
      <c r="C14" s="198">
        <f>Data!F11</f>
        <v>396643</v>
      </c>
      <c r="D14" s="198">
        <f>Data!E11</f>
        <v>456610</v>
      </c>
      <c r="E14" s="198">
        <f>Data!D11</f>
        <v>705390</v>
      </c>
      <c r="F14" s="198">
        <f>Data!C11</f>
        <v>599017</v>
      </c>
      <c r="G14" s="161">
        <f>(264799+84581)/0.5195</f>
        <v>672531.28007699712</v>
      </c>
      <c r="H14" s="161"/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0.14689656368864581</v>
      </c>
      <c r="D15" s="166">
        <f t="shared" si="3"/>
        <v>0.16800595010792208</v>
      </c>
      <c r="E15" s="166">
        <f t="shared" si="3"/>
        <v>4.6370107344910601E-2</v>
      </c>
      <c r="F15" s="166">
        <f>F17/F8</f>
        <v>5.4846990072070743E-4</v>
      </c>
      <c r="G15" s="166">
        <f>G17/G8</f>
        <v>1.5221604375486787E-2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0.40722478926467764</v>
      </c>
      <c r="E16" s="171">
        <f t="shared" si="4"/>
        <v>-0.71313275425566136</v>
      </c>
      <c r="F16" s="171">
        <f>F17/E17-1</f>
        <v>-0.99035789165732113</v>
      </c>
      <c r="G16" s="149">
        <f>IF(ABS(F17+G17)=ABS(F17)+ABS(G17),IF(G17&lt;0,-1,1)*(G17-F17)/F17,"Turn")</f>
        <v>29.701803375974059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203217</v>
      </c>
      <c r="D17" s="154">
        <f t="shared" si="5"/>
        <v>285972</v>
      </c>
      <c r="E17" s="154">
        <f>E12-E14</f>
        <v>82036</v>
      </c>
      <c r="F17" s="154">
        <f>F12-F14</f>
        <v>791</v>
      </c>
      <c r="G17" s="154">
        <f>G12-G14</f>
        <v>24285.12647039548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4.1135242554053063E-4</v>
      </c>
      <c r="G19" s="149">
        <f>G20/G8</f>
        <v>1.141620328161509E-2</v>
      </c>
      <c r="H19" s="149" t="str">
        <f>IF(H8="","",H20/H8)</f>
        <v/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593.25</v>
      </c>
      <c r="G20" s="210">
        <f>IF(G17="","",IF(G17&lt;=0,G17,G17*(1-G18)))</f>
        <v>18213.84485279661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>
      <c r="B21" s="14" t="s">
        <v>334</v>
      </c>
      <c r="C21" s="287"/>
      <c r="D21" s="287"/>
      <c r="E21" s="287"/>
      <c r="F21" s="212">
        <f>Data!C35</f>
        <v>0</v>
      </c>
      <c r="G21" s="213">
        <f>IF(G9&lt;=0,0,(G8-F8)*Asset_Model!$D$67)</f>
        <v>13117.688811267621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>
      <c r="B22" s="14" t="s">
        <v>336</v>
      </c>
      <c r="C22" s="288"/>
      <c r="D22" s="288"/>
      <c r="E22" s="288"/>
      <c r="F22" s="95">
        <f>Data!C33</f>
        <v>24700</v>
      </c>
      <c r="G22" s="161">
        <v>37925</v>
      </c>
      <c r="H22" s="161"/>
      <c r="I22" s="161" t="str">
        <f>IF(I15="","",IF(ABS(H23+I23)=ABS(H23)+ABS(I23),IF(I23&lt;0,-1,1)*(I23-H23)/H23,"Turn"))</f>
        <v/>
      </c>
    </row>
    <row r="23" spans="2:12" ht="15.75" customHeight="1">
      <c r="B23" s="85" t="s">
        <v>339</v>
      </c>
      <c r="C23" s="289"/>
      <c r="D23" s="289"/>
      <c r="E23" s="289"/>
      <c r="F23" s="214">
        <f>F21+F22</f>
        <v>24700</v>
      </c>
      <c r="G23" s="214">
        <f>IF(G15="","",G21+G22)</f>
        <v>51042.688811267624</v>
      </c>
      <c r="H23" s="214" t="str">
        <f>IF(H15="","",H21+H22)</f>
        <v/>
      </c>
      <c r="I23" s="214" t="str">
        <f>IF(I15="","",I21+I22)</f>
        <v/>
      </c>
    </row>
    <row r="24" spans="2:12" ht="15.75" customHeight="1">
      <c r="B24" s="14" t="s">
        <v>331</v>
      </c>
      <c r="C24" s="285"/>
      <c r="D24" s="285"/>
      <c r="E24" s="285"/>
      <c r="F24" s="171">
        <f>AVERAGE(Data!C54:E54)</f>
        <v>0.39057414113288563</v>
      </c>
      <c r="G24" s="384"/>
      <c r="H24" s="385"/>
      <c r="I24" s="386"/>
    </row>
    <row r="25" spans="2:12" ht="15.75" customHeight="1">
      <c r="B25" s="84" t="s">
        <v>123</v>
      </c>
      <c r="C25" s="289"/>
      <c r="D25" s="289"/>
      <c r="E25" s="289"/>
      <c r="F25" s="214">
        <f>F20-F23</f>
        <v>-24106.75</v>
      </c>
      <c r="G25" s="214">
        <f>G20-G23</f>
        <v>-32828.843958471014</v>
      </c>
      <c r="H25" s="214" t="str">
        <f>IF(H20="","",H20-H23)</f>
        <v/>
      </c>
      <c r="I25" s="214" t="str">
        <f>IF(I20="","",I20-I23)</f>
        <v/>
      </c>
    </row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</sheetData>
  <mergeCells count="1">
    <mergeCell ref="G24:I24"/>
  </mergeCells>
  <phoneticPr fontId="31" type="noConversion"/>
  <conditionalFormatting sqref="G18:G20">
    <cfRule type="containsBlanks" dxfId="12" priority="20">
      <formula>LEN(TRIM(G18))=0</formula>
    </cfRule>
  </conditionalFormatting>
  <conditionalFormatting sqref="G24">
    <cfRule type="containsBlanks" dxfId="11" priority="9">
      <formula>LEN(TRIM(G24))=0</formula>
    </cfRule>
  </conditionalFormatting>
  <conditionalFormatting sqref="H9">
    <cfRule type="containsBlanks" dxfId="10" priority="1">
      <formula>LEN(TRIM(H9))=0</formula>
    </cfRule>
  </conditionalFormatting>
  <conditionalFormatting sqref="H9:H13">
    <cfRule type="containsBlanks" priority="2">
      <formula>LEN(TRIM(H9))=0</formula>
    </cfRule>
  </conditionalFormatting>
  <conditionalFormatting sqref="H10:H23">
    <cfRule type="containsBlanks" dxfId="9" priority="28">
      <formula>LEN(TRIM(H10))=0</formula>
    </cfRule>
  </conditionalFormatting>
  <conditionalFormatting sqref="H15:H17">
    <cfRule type="containsBlanks" priority="29">
      <formula>LEN(TRIM(H15))=0</formula>
    </cfRule>
  </conditionalFormatting>
  <conditionalFormatting sqref="H20:I20">
    <cfRule type="containsBlanks" dxfId="8" priority="22">
      <formula>LEN(TRIM(H20))=0</formula>
    </cfRule>
  </conditionalFormatting>
  <conditionalFormatting sqref="H21:I23 H25:I25">
    <cfRule type="containsBlanks" dxfId="7" priority="10">
      <formula>LEN(TRIM(H21))=0</formula>
    </cfRule>
    <cfRule type="containsBlanks" priority="11">
      <formula>LEN(TRIM(H21))=0</formula>
    </cfRule>
  </conditionalFormatting>
  <conditionalFormatting sqref="I9:I17">
    <cfRule type="containsBlanks" priority="25">
      <formula>LEN(TRIM(I9))=0</formula>
    </cfRule>
  </conditionalFormatting>
  <conditionalFormatting sqref="I9:I23">
    <cfRule type="containsBlanks" dxfId="6" priority="24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topLeftCell="A13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385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386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387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388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346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349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359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350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351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352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353</v>
      </c>
      <c r="J76" s="296"/>
      <c r="K76" s="296"/>
      <c r="L76" s="296"/>
      <c r="M76" s="296"/>
    </row>
    <row r="78" spans="2:13" ht="13">
      <c r="B78" s="297" t="s">
        <v>358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356</v>
      </c>
      <c r="J80" s="295"/>
      <c r="K80" s="295"/>
      <c r="L80" s="295"/>
      <c r="M80" s="295"/>
    </row>
    <row r="81" spans="2:13">
      <c r="B81" s="292" t="s">
        <v>357</v>
      </c>
      <c r="J81" s="295"/>
      <c r="K81" s="295"/>
      <c r="L81" s="295"/>
      <c r="M81" s="295"/>
    </row>
    <row r="82" spans="2:13">
      <c r="B82" s="292" t="s">
        <v>355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360</v>
      </c>
      <c r="J104" s="298">
        <f>Data!F19</f>
        <v>185164</v>
      </c>
      <c r="K104" s="298">
        <f>Data!E19</f>
        <v>223781</v>
      </c>
      <c r="L104" s="298">
        <f>Data!D19</f>
        <v>92093</v>
      </c>
      <c r="M104" s="298">
        <f>Data!C19</f>
        <v>64730</v>
      </c>
    </row>
    <row r="105" spans="2:13">
      <c r="B105" t="s">
        <v>361</v>
      </c>
      <c r="J105" s="298">
        <f>Data!F33</f>
        <v>38500</v>
      </c>
      <c r="K105" s="298">
        <f>Data!E33</f>
        <v>30500</v>
      </c>
      <c r="L105" s="298">
        <f>Data!D33</f>
        <v>58000</v>
      </c>
      <c r="M105" s="298">
        <f>Data!C33</f>
        <v>24700</v>
      </c>
    </row>
    <row r="106" spans="2:13">
      <c r="B106" t="s">
        <v>362</v>
      </c>
      <c r="J106" s="298">
        <f>Data!F40</f>
        <v>220950</v>
      </c>
      <c r="K106" s="298">
        <f>Data!E40</f>
        <v>221311</v>
      </c>
      <c r="L106" s="298">
        <f>Data!D40</f>
        <v>58667</v>
      </c>
      <c r="M106" s="298">
        <f>Data!C40</f>
        <v>96133</v>
      </c>
    </row>
    <row r="107" spans="2:13">
      <c r="B107" t="s">
        <v>363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365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367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368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369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3" zoomScaleNormal="100" zoomScalePageLayoutView="80" workbookViewId="0">
      <selection activeCell="D36" sqref="D36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326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1000CNY)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593.25</v>
      </c>
      <c r="D4" s="243">
        <f>IF(B4="NOPAT",Projections!G20,Projections!G8)</f>
        <v>18213.84485279661</v>
      </c>
      <c r="E4" s="243" t="str">
        <f>IF(OR(Projections!H8="",E3=""),"",IF(B4="NOPAT",Projections!H20,Projections!H8))</f>
        <v/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29.701803375974059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41.635061104087654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Projections!F23</f>
        <v>24700</v>
      </c>
      <c r="D7" s="313">
        <f>Projections!G23</f>
        <v>51042.688811267624</v>
      </c>
      <c r="E7" s="247" t="str">
        <f>Projections!H23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-24106.75</v>
      </c>
      <c r="D8" s="210">
        <f>Projections!G20-D7</f>
        <v>-32828.843958471014</v>
      </c>
      <c r="E8" s="210" t="str">
        <f>IF(E4="","",Projections!H20-E7)</f>
        <v/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-1.8080107049383769E-2</v>
      </c>
      <c r="D9" s="248">
        <f>D8/(Common_Shares/Data!$C$4)</f>
        <v>-2.4621693636706382E-2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INDEX(D9:F9,Projections!E2)</f>
        <v>-2.4621693636706382E-2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IF(F10="",IF(E10="",1,D11),E11)*(1+G10)*(1+G10)</f>
        <v>1.1664000000000001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1000CNY)</v>
      </c>
      <c r="E14" s="42" t="s">
        <v>191</v>
      </c>
    </row>
    <row r="15" spans="1:10" ht="15.75" customHeight="1">
      <c r="B15" s="37" t="s">
        <v>201</v>
      </c>
      <c r="C15" s="51">
        <f>Asset_Model!E62</f>
        <v>2380753.0499999998</v>
      </c>
      <c r="D15" s="106">
        <f>C15/(Dashboard!I5/Data!C4)*Exchange_Rate</f>
        <v>1.9393096424724863</v>
      </c>
      <c r="E15" s="52" t="s">
        <v>199</v>
      </c>
      <c r="G15" s="199">
        <f>C15+C16+C17+C18</f>
        <v>2507486.3499999996</v>
      </c>
    </row>
    <row r="16" spans="1:10" ht="15.75" customHeight="1">
      <c r="B16" s="37" t="s">
        <v>205</v>
      </c>
      <c r="C16" s="51">
        <f>Asset_Model!E61</f>
        <v>149280.29999999999</v>
      </c>
      <c r="D16" s="106">
        <f>C16/(Dashboard!I5/Data!C4)*Exchange_Rate</f>
        <v>0.12160048486389022</v>
      </c>
      <c r="E16" s="52" t="s">
        <v>274</v>
      </c>
      <c r="G16" s="264">
        <f>(G15+MIN(D4,0))*Data!C$4/Dashboard!I5*Exchange_Rate</f>
        <v>2.0425438316347591</v>
      </c>
    </row>
    <row r="17" spans="1:9" ht="15.75" customHeight="1">
      <c r="B17" s="37" t="s">
        <v>192</v>
      </c>
      <c r="C17" s="51">
        <f>-Asset_Model!D55</f>
        <v>-15944</v>
      </c>
      <c r="D17" s="106">
        <f>C17/(Dashboard!I5/Data!C4)*Exchange_Rate</f>
        <v>-1.2987635546484473E-2</v>
      </c>
      <c r="E17" s="339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-6603</v>
      </c>
      <c r="D18" s="106">
        <f>C18/(Dashboard!I5/Data!C4)*Exchange_Rate</f>
        <v>-5.3786601551327751E-3</v>
      </c>
      <c r="E18" s="339"/>
      <c r="F18" s="89">
        <f>D15+(MIN(D4,0)*Data!C$4/Dashboard!I5)</f>
        <v>1.9393096424724863</v>
      </c>
      <c r="G18" s="88">
        <f>SUM(D16:D18)</f>
        <v>0.10323418916227298</v>
      </c>
    </row>
    <row r="19" spans="1:9" ht="15.75" customHeight="1">
      <c r="F19" s="6"/>
      <c r="G19" s="6"/>
    </row>
    <row r="20" spans="1:9" ht="15.75" customHeight="1">
      <c r="B20" s="20" t="s">
        <v>325</v>
      </c>
      <c r="C20" s="100" t="str">
        <f>B3</f>
        <v>(Numbers in 1000CNY)</v>
      </c>
      <c r="E20" s="387" t="s">
        <v>195</v>
      </c>
      <c r="F20" s="387"/>
      <c r="G20" s="60"/>
    </row>
    <row r="21" spans="1:9" ht="15.75" customHeight="1">
      <c r="B21" s="81" t="str">
        <f>"TV after Year "&amp;Projections!E2</f>
        <v>TV after Year 1</v>
      </c>
      <c r="C21" s="265" t="s">
        <v>189</v>
      </c>
      <c r="D21" s="38" t="s">
        <v>322</v>
      </c>
      <c r="E21" s="266" t="s">
        <v>194</v>
      </c>
      <c r="F21" s="108" t="str">
        <f>"Equity Value ("&amp;Dashboard!I11&amp;")"</f>
        <v>Equity Value (CNY)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5</v>
      </c>
      <c r="D22" s="268"/>
      <c r="E22" s="239">
        <f>IF(D22="",IF(G9&lt;0,G9,G9*C22/G11),D22)</f>
        <v>-2.4621693636706382E-2</v>
      </c>
      <c r="F22" s="239">
        <f>SUM(D12:F12)+E22+$G$16</f>
        <v>2.0179221379980525</v>
      </c>
      <c r="G22" s="271">
        <f>F22*Exchange_Rate</f>
        <v>2.1916685660559936</v>
      </c>
      <c r="I22" s="43"/>
    </row>
    <row r="23" spans="1:9" ht="15.75" customHeight="1">
      <c r="B23" s="132" t="s">
        <v>249</v>
      </c>
      <c r="C23" s="269">
        <v>8</v>
      </c>
      <c r="D23" s="270"/>
      <c r="E23" s="98">
        <f>IF(D23="",IF(G9&lt;0,G9,G9*C23/G11),D23)</f>
        <v>-2.4621693636706382E-2</v>
      </c>
      <c r="F23" s="98">
        <f>SUM(D12:F12)+E23+$G$16</f>
        <v>2.0179221379980525</v>
      </c>
      <c r="G23" s="272">
        <f>F23*Exchange_Rate</f>
        <v>2.1916685660559936</v>
      </c>
      <c r="I23" s="43"/>
    </row>
    <row r="24" spans="1:9" ht="15.5" customHeight="1">
      <c r="C24" s="6"/>
      <c r="D24" s="6"/>
      <c r="E24" s="388" t="s">
        <v>330</v>
      </c>
      <c r="F24" s="389"/>
      <c r="G24" s="143">
        <f>MIN(G22,G23)+ABS(G22-G23)*Qualitative_Analysis!$E$64</f>
        <v>2.1916685660559936</v>
      </c>
    </row>
    <row r="25" spans="1:9" ht="15.75" customHeight="1"/>
    <row r="26" spans="1:9" ht="15.75" customHeight="1">
      <c r="A26" s="4"/>
      <c r="B26" s="56" t="s">
        <v>296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1000CNY)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318</v>
      </c>
    </row>
    <row r="28" spans="1:9" ht="15.75" customHeight="1">
      <c r="B28" s="5" t="s">
        <v>123</v>
      </c>
      <c r="C28" s="51">
        <f>C8</f>
        <v>-24106.75</v>
      </c>
      <c r="D28" s="51">
        <f>D8</f>
        <v>-32828.843958471014</v>
      </c>
      <c r="E28" s="51" t="str">
        <f>E8</f>
        <v/>
      </c>
      <c r="F28" s="51" t="str">
        <f>F8</f>
        <v/>
      </c>
      <c r="G28" s="161"/>
      <c r="I28" s="43" t="s">
        <v>315</v>
      </c>
    </row>
    <row r="29" spans="1:9" ht="15.75" customHeight="1">
      <c r="B29" s="141" t="s">
        <v>297</v>
      </c>
      <c r="C29" s="180">
        <f>5.31095%+1.8%</f>
        <v>7.1109500000000006E-2</v>
      </c>
      <c r="D29" s="207">
        <v>0.08</v>
      </c>
      <c r="E29" s="180"/>
      <c r="F29" s="207"/>
      <c r="G29" s="207"/>
      <c r="I29" s="43"/>
    </row>
    <row r="30" spans="1:9" ht="15.75" customHeight="1">
      <c r="B30" s="141" t="s">
        <v>306</v>
      </c>
      <c r="C30" s="95">
        <f>MAX(Asset_Model!D55,0)</f>
        <v>15944</v>
      </c>
      <c r="D30" s="150">
        <f>C30</f>
        <v>15944</v>
      </c>
      <c r="E30" s="161"/>
      <c r="F30" s="161"/>
      <c r="G30" s="161"/>
      <c r="I30" s="43" t="s">
        <v>307</v>
      </c>
    </row>
    <row r="31" spans="1:9" ht="15.75" customHeight="1">
      <c r="B31" s="141" t="s">
        <v>311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310</v>
      </c>
      <c r="C32" s="276">
        <f>C30*(C29*(1-Projections!F18))</f>
        <v>850.32740100000012</v>
      </c>
      <c r="D32" s="276">
        <f>(D30*D29)*(1-D31)</f>
        <v>956.64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298</v>
      </c>
      <c r="C33" s="51">
        <f>C28-C32</f>
        <v>-24957.077400999999</v>
      </c>
      <c r="D33" s="210">
        <f>D28-D32</f>
        <v>-33785.483958471013</v>
      </c>
      <c r="E33" s="210" t="str">
        <f>IF(E28="","",E28-E32)</f>
        <v/>
      </c>
      <c r="F33" s="210" t="str">
        <f>IF(F28="","",F28-F32)</f>
        <v/>
      </c>
      <c r="G33" s="317"/>
      <c r="I33" s="43" t="s">
        <v>302</v>
      </c>
    </row>
    <row r="34" spans="1:9" ht="15.75" customHeight="1">
      <c r="B34" s="120" t="s">
        <v>299</v>
      </c>
      <c r="C34" s="139">
        <f>C33/(Common_Shares/Data!$C$4)</f>
        <v>-1.8717854171542678E-2</v>
      </c>
      <c r="D34" s="245">
        <f>D33/(Common_Shares/Data!$C$4)</f>
        <v>-2.5339175404581457E-2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-2.5339175404581457E-2</v>
      </c>
      <c r="H34" s="6"/>
      <c r="I34" s="43"/>
    </row>
    <row r="35" spans="1:9" ht="15.75" customHeight="1">
      <c r="B35" s="141" t="s">
        <v>304</v>
      </c>
      <c r="C35" s="273">
        <f>Dashboard!C31</f>
        <v>1.71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>
      <c r="B36" s="142" t="s">
        <v>303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0.1368</v>
      </c>
      <c r="H36" s="6"/>
      <c r="I36" s="43"/>
    </row>
    <row r="37" spans="1:9" ht="15.75" customHeight="1" thickTop="1">
      <c r="B37" s="5" t="s">
        <v>300</v>
      </c>
      <c r="C37" s="274">
        <f>Qualitative_Analysis!E64^2</f>
        <v>0.19437901337405711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-0.16213917540458145</v>
      </c>
      <c r="I37" s="43" t="s">
        <v>301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IF(F36="",IF(E36="",1,D38),E38)*(1+G35-C37)</f>
        <v>0.88562098662594302</v>
      </c>
      <c r="I38" s="43"/>
    </row>
    <row r="39" spans="1:9" ht="15.75" customHeight="1">
      <c r="B39" s="85" t="s">
        <v>309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-0.18307964451283229</v>
      </c>
      <c r="I39" s="43"/>
    </row>
    <row r="40" spans="1:9" ht="15.75" customHeight="1">
      <c r="B40" s="20" t="s">
        <v>328</v>
      </c>
      <c r="C40" s="6"/>
      <c r="D40" s="6"/>
      <c r="E40" s="390" t="s">
        <v>319</v>
      </c>
      <c r="F40" s="368"/>
      <c r="G40" s="280">
        <f>Asset_Model!D7</f>
        <v>1.8471723305621217</v>
      </c>
    </row>
    <row r="41" spans="1:9" ht="15.75" customHeight="1">
      <c r="C41" s="6"/>
      <c r="D41" s="6"/>
      <c r="E41" s="388" t="s">
        <v>305</v>
      </c>
      <c r="F41" s="388"/>
      <c r="G41" s="281">
        <f ca="1">MAX((G40+SUM(D39:G39))*Exchange_Rate,0)</f>
        <v>1.8073738140541835</v>
      </c>
    </row>
    <row r="42" spans="1:9" ht="15.75" customHeight="1"/>
    <row r="43" spans="1:9" ht="15.75" customHeight="1">
      <c r="A43" s="4"/>
      <c r="B43" s="254" t="s">
        <v>329</v>
      </c>
      <c r="C43" s="6"/>
      <c r="D43" s="6"/>
      <c r="E43" s="22" t="s">
        <v>189</v>
      </c>
      <c r="F43" s="22" t="s">
        <v>323</v>
      </c>
      <c r="G43" s="22" t="s">
        <v>324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2.053322455335342</v>
      </c>
      <c r="D44" s="262" t="str">
        <f>Dashboard!J4</f>
        <v>HKD</v>
      </c>
      <c r="E44" s="263">
        <f ca="1">(C44-G16)/C9</f>
        <v>-0.59615928551431252</v>
      </c>
      <c r="F44" s="263">
        <f ca="1">C44/(Data!C29*Exchange_Rate*Data!C4/Common_Shares)</f>
        <v>0.89394471983990509</v>
      </c>
      <c r="G44" s="263">
        <f ca="1">C44/(Data!C7*Data!C4*Exchange_Rate/Common_Shares)</f>
        <v>1.7478359379271924</v>
      </c>
      <c r="I44" s="43"/>
    </row>
    <row r="45" spans="1:9" ht="15.75" customHeight="1">
      <c r="B45" s="6" t="s">
        <v>312</v>
      </c>
      <c r="C45" s="255">
        <f>Asset_Model!I3*Exchange_Rate*Data!C4/Common_Shares*1.01</f>
        <v>2.4377238903580474</v>
      </c>
      <c r="D45" s="256" t="str">
        <f>D44</f>
        <v>HKD</v>
      </c>
      <c r="E45" s="223">
        <f>(C45-G16)/C9</f>
        <v>-21.857174719369674</v>
      </c>
      <c r="F45" s="223">
        <f>C45/(Asset_Model!I3*Exchange_Rate*Data!C4/Common_Shares)</f>
        <v>1.01</v>
      </c>
      <c r="G45" s="223">
        <f>C45/(Data!C7*Data!C4*Exchange_Rate/Common_Shares)</f>
        <v>2.0750474000030512</v>
      </c>
      <c r="I45" s="43" t="s">
        <v>404</v>
      </c>
    </row>
    <row r="46" spans="1:9" ht="15.75" customHeight="1">
      <c r="B46" s="257" t="s">
        <v>313</v>
      </c>
      <c r="C46" s="258">
        <f ca="1">MIN(C45,C44)+ABS(C45-C44)*Qualitative_Analysis!E64</f>
        <v>2.2227990335926315</v>
      </c>
      <c r="D46" s="256" t="str">
        <f>D45</f>
        <v>HKD</v>
      </c>
      <c r="E46" s="223">
        <f ca="1">(C46-G16)/C9</f>
        <v>-9.9698083349576283</v>
      </c>
      <c r="F46" s="223">
        <f ca="1">C46/(Asset_Model!I3*Exchange_Rate*Data!C4/Common_Shares)</f>
        <v>0.92095213605131199</v>
      </c>
      <c r="G46" s="223">
        <f ca="1">C46/(Data!C7*Data!C4*Exchange_Rate/Common_Shares)</f>
        <v>1.8920983519213177</v>
      </c>
    </row>
    <row r="47" spans="1:9" ht="15.75" customHeight="1">
      <c r="B47" s="84" t="s">
        <v>279</v>
      </c>
      <c r="C47" s="259">
        <f ca="1">MAX(G41,C44)/(1+Dashboard!I14)</f>
        <v>1.6426579642682735</v>
      </c>
      <c r="D47" s="260" t="str">
        <f>D45</f>
        <v>HKD</v>
      </c>
      <c r="E47" s="224">
        <f ca="1">(C47-G16)/C9</f>
        <v>22.117450205037088</v>
      </c>
      <c r="F47" s="224">
        <f ca="1">C47/(Asset_Model!I3*Exchange_Rate*Data!C4/Common_Shares)</f>
        <v>0.68058755565925633</v>
      </c>
      <c r="G47" s="224">
        <f ca="1">C47/(Data!C7*Data!C4*Exchange_Rate/Common_Shares)</f>
        <v>1.3982687503417539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3" sqref="G3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/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 ht="14">
      <c r="B5" s="6" t="s">
        <v>228</v>
      </c>
      <c r="C5" s="60"/>
      <c r="D5" s="58">
        <f>AVERAGE(D12:D16)</f>
        <v>1.6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229</v>
      </c>
      <c r="C6" s="60"/>
      <c r="D6" s="58">
        <f>AVERAGE(D24:D28)</f>
        <v>2.2000000000000002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2.56</v>
      </c>
      <c r="E8" s="215">
        <f>D8/4</f>
        <v>0.64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1</v>
      </c>
      <c r="E14" s="175" t="s">
        <v>135</v>
      </c>
      <c r="F14" s="6"/>
      <c r="G14" s="119"/>
    </row>
    <row r="15" spans="1:7" ht="15" customHeight="1">
      <c r="B15" s="32" t="s">
        <v>134</v>
      </c>
      <c r="D15" s="63">
        <f>IF(E15="Strongly disagree",0,IF(E15="disagree",1,IF(E15="unclear",2,IF(E15="agree",3,4))))</f>
        <v>1</v>
      </c>
      <c r="E15" s="175" t="s">
        <v>135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1</v>
      </c>
      <c r="E19" s="175" t="s">
        <v>135</v>
      </c>
      <c r="F19" s="6"/>
      <c r="G19" s="119"/>
    </row>
    <row r="20" spans="2:7" ht="15" customHeight="1">
      <c r="B20" s="32" t="s">
        <v>140</v>
      </c>
      <c r="D20" s="63">
        <f t="shared" si="1"/>
        <v>1</v>
      </c>
      <c r="E20" s="175" t="s">
        <v>135</v>
      </c>
      <c r="F20" s="6"/>
      <c r="G20" s="119"/>
    </row>
    <row r="21" spans="2:7" ht="15" customHeight="1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3</v>
      </c>
      <c r="E24" s="175" t="s">
        <v>128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2</v>
      </c>
      <c r="E27" s="175" t="s">
        <v>127</v>
      </c>
      <c r="F27" s="6"/>
      <c r="G27" s="119"/>
    </row>
    <row r="28" spans="2:7" ht="15" customHeight="1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0.5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1</v>
      </c>
      <c r="E31" s="175" t="s">
        <v>135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1</v>
      </c>
      <c r="E33" s="175" t="s">
        <v>135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2</v>
      </c>
      <c r="E35" s="175" t="s">
        <v>127</v>
      </c>
      <c r="G35" s="119"/>
    </row>
    <row r="36" spans="2:7" ht="15" customHeight="1">
      <c r="B36" s="1" t="s">
        <v>151</v>
      </c>
      <c r="D36" s="64">
        <f>SUM(D37:D41)/(5*4)</f>
        <v>0.35</v>
      </c>
      <c r="E36" s="18" t="str">
        <f>IF(D36&gt;80%,"Very High",IF(D36&lt;=20%,"Very Low",IF(D36&lt;=40%,"Low",IF(D36&lt;=60%,"Medium","High"))))</f>
        <v>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2</v>
      </c>
      <c r="E37" s="175" t="s">
        <v>127</v>
      </c>
      <c r="F37" s="6"/>
      <c r="G37" s="119"/>
    </row>
    <row r="38" spans="2:7" ht="15" customHeight="1">
      <c r="B38" s="32" t="s">
        <v>239</v>
      </c>
      <c r="D38" s="63">
        <f t="shared" si="4"/>
        <v>2</v>
      </c>
      <c r="E38" s="175" t="s">
        <v>127</v>
      </c>
      <c r="F38" s="6"/>
      <c r="G38" s="119"/>
    </row>
    <row r="39" spans="2:7" ht="15" customHeight="1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>
      <c r="B40" s="32" t="s">
        <v>241</v>
      </c>
      <c r="D40" s="63">
        <f t="shared" si="4"/>
        <v>2</v>
      </c>
      <c r="E40" s="175" t="s">
        <v>127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0.5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0</v>
      </c>
      <c r="E43" s="175" t="s">
        <v>150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0</v>
      </c>
      <c r="E47" s="175" t="s">
        <v>150</v>
      </c>
      <c r="F47" s="6"/>
      <c r="G47" s="119"/>
    </row>
    <row r="48" spans="2:7" ht="15" customHeight="1">
      <c r="B48" s="32" t="s">
        <v>184</v>
      </c>
      <c r="D48" s="63">
        <f t="shared" si="5"/>
        <v>4</v>
      </c>
      <c r="E48" s="175" t="s">
        <v>137</v>
      </c>
      <c r="F48" s="6"/>
      <c r="G48" s="119"/>
    </row>
    <row r="49" spans="2:8" ht="15" customHeight="1">
      <c r="B49" s="1" t="s">
        <v>159</v>
      </c>
      <c r="D49" s="64">
        <f>SUM(D50:D54)/(5*4)</f>
        <v>0.41564625850340137</v>
      </c>
      <c r="E49" s="18" t="str">
        <f>IF(D49&gt;80%,"Very High",IF(D49&lt;=20%,"Very Low",IF(D49&lt;=40%,"Low",IF(D49&lt;=60%,"Medium","High"))))</f>
        <v>Medium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2.3129251700680271</v>
      </c>
      <c r="E54" s="175" t="s">
        <v>403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0.91666666666666663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3</v>
      </c>
      <c r="E61" s="175" t="s">
        <v>128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0.46353741496598633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1.7635374149659864</v>
      </c>
      <c r="E64" s="217">
        <f>AVERAGE(AVERAGE(D12:D16)/4,AVERAGE(D18:D22)/4,AVERAGE(D24:D28)/4,D62)</f>
        <v>0.44088435374149659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2023-08-29T09:34:31Z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