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 chen\PycharmProjects\Invest_Proc\financial_models\Model_templates\Listed_template\"/>
    </mc:Choice>
  </mc:AlternateContent>
  <xr:revisionPtr revIDLastSave="0" documentId="13_ncr:1_{2E3C14F5-1CA8-476D-A7A7-483C96E7368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ashboard" sheetId="1" r:id="rId1"/>
    <sheet name="Data" sheetId="2" r:id="rId2"/>
    <sheet name="Asset_Model" sheetId="3" r:id="rId3"/>
    <sheet name="Val_Models" sheetId="7" r:id="rId4"/>
    <sheet name="Qualitative_Analysis" sheetId="5" r:id="rId5"/>
  </sheets>
  <definedNames>
    <definedName name="Common_Shares">Dashboard!$I$5</definedName>
    <definedName name="Exchange_Rate">Dashboard!$I$12</definedName>
  </definedNames>
  <calcPr calcId="181029" concurrentManualCount="32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42" i="7" l="1"/>
  <c r="D43" i="7" s="1"/>
  <c r="D45" i="7" s="1"/>
  <c r="I62" i="3"/>
  <c r="C32" i="7" s="1"/>
  <c r="D32" i="7" s="1"/>
  <c r="F34" i="7" s="1"/>
  <c r="C33" i="7"/>
  <c r="D33" i="7"/>
  <c r="C34" i="7"/>
  <c r="D34" i="7" s="1"/>
  <c r="C35" i="7"/>
  <c r="D35" i="7" s="1"/>
  <c r="F23" i="7"/>
  <c r="F14" i="7"/>
  <c r="G14" i="7" s="1"/>
  <c r="E14" i="7"/>
  <c r="D14" i="7"/>
  <c r="C14" i="7"/>
  <c r="F10" i="7"/>
  <c r="E10" i="7"/>
  <c r="D10" i="7"/>
  <c r="C10" i="7"/>
  <c r="C12" i="1"/>
  <c r="G27" i="7" s="1"/>
  <c r="G28" i="7" s="1"/>
  <c r="F38" i="2"/>
  <c r="G38" i="2"/>
  <c r="H38" i="2"/>
  <c r="I38" i="2"/>
  <c r="J38" i="2"/>
  <c r="K38" i="2"/>
  <c r="L38" i="2"/>
  <c r="M38" i="2"/>
  <c r="F37" i="2"/>
  <c r="G37" i="2"/>
  <c r="H37" i="2"/>
  <c r="I37" i="2"/>
  <c r="F36" i="2"/>
  <c r="G36" i="2"/>
  <c r="H36" i="2"/>
  <c r="I36" i="2"/>
  <c r="J36" i="2"/>
  <c r="J37" i="2" s="1"/>
  <c r="K36" i="2"/>
  <c r="K37" i="2" s="1"/>
  <c r="L36" i="2"/>
  <c r="L37" i="2" s="1"/>
  <c r="M36" i="2"/>
  <c r="M37" i="2" s="1"/>
  <c r="E33" i="2"/>
  <c r="E36" i="2" s="1"/>
  <c r="D33" i="2"/>
  <c r="D36" i="2" s="1"/>
  <c r="C33" i="2"/>
  <c r="C36" i="2" s="1"/>
  <c r="D11" i="2"/>
  <c r="C11" i="2"/>
  <c r="G21" i="7"/>
  <c r="C34" i="3"/>
  <c r="C38" i="3"/>
  <c r="C14" i="3"/>
  <c r="C17" i="3"/>
  <c r="D44" i="7" l="1"/>
  <c r="G34" i="7"/>
  <c r="G32" i="7"/>
  <c r="G35" i="7" s="1"/>
  <c r="C45" i="7" s="1"/>
  <c r="F22" i="7"/>
  <c r="F24" i="7" s="1"/>
  <c r="C37" i="2"/>
  <c r="E37" i="2"/>
  <c r="D37" i="2"/>
  <c r="I19" i="7"/>
  <c r="H19" i="7"/>
  <c r="F35" i="2"/>
  <c r="G35" i="2"/>
  <c r="H35" i="2"/>
  <c r="I35" i="2"/>
  <c r="J35" i="2"/>
  <c r="K35" i="2"/>
  <c r="L35" i="2"/>
  <c r="M35" i="2"/>
  <c r="F45" i="7" l="1"/>
  <c r="G45" i="7"/>
  <c r="G22" i="7"/>
  <c r="I44" i="3"/>
  <c r="I24" i="3"/>
  <c r="C47" i="3"/>
  <c r="C45" i="3"/>
  <c r="C25" i="3"/>
  <c r="C27" i="3"/>
  <c r="C26" i="3"/>
  <c r="C44" i="3"/>
  <c r="C46" i="3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C8" i="7" l="1"/>
  <c r="F8" i="7"/>
  <c r="F11" i="7" s="1"/>
  <c r="E8" i="7"/>
  <c r="D8" i="7"/>
  <c r="I15" i="3"/>
  <c r="B18" i="1"/>
  <c r="J20" i="1"/>
  <c r="F42" i="1"/>
  <c r="I23" i="7"/>
  <c r="G33" i="2"/>
  <c r="H33" i="2"/>
  <c r="I33" i="2"/>
  <c r="J33" i="2"/>
  <c r="K33" i="2"/>
  <c r="L33" i="2"/>
  <c r="M33" i="2"/>
  <c r="D61" i="2"/>
  <c r="E61" i="2"/>
  <c r="J10" i="1"/>
  <c r="E5" i="1"/>
  <c r="D12" i="7" l="1"/>
  <c r="D17" i="7" s="1"/>
  <c r="D11" i="7"/>
  <c r="E12" i="7"/>
  <c r="E17" i="7" s="1"/>
  <c r="E11" i="7"/>
  <c r="C12" i="7"/>
  <c r="C17" i="7" s="1"/>
  <c r="C11" i="7"/>
  <c r="F12" i="7"/>
  <c r="F17" i="7" s="1"/>
  <c r="G8" i="7"/>
  <c r="E13" i="7"/>
  <c r="D13" i="7"/>
  <c r="C13" i="7"/>
  <c r="C15" i="7"/>
  <c r="D9" i="7"/>
  <c r="E15" i="7"/>
  <c r="E9" i="7"/>
  <c r="J27" i="1"/>
  <c r="G10" i="7" l="1"/>
  <c r="G12" i="7" s="1"/>
  <c r="G17" i="7" s="1"/>
  <c r="G13" i="7"/>
  <c r="D15" i="7"/>
  <c r="D16" i="7"/>
  <c r="E16" i="7"/>
  <c r="G9" i="7"/>
  <c r="G23" i="7" s="1"/>
  <c r="B16" i="1" l="1"/>
  <c r="H23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D8" i="2"/>
  <c r="D35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9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55" i="2"/>
  <c r="G55" i="2"/>
  <c r="D16" i="2"/>
  <c r="D38" i="2" s="1"/>
  <c r="I16" i="2"/>
  <c r="C16" i="2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I7" i="3"/>
  <c r="F13" i="7"/>
  <c r="G17" i="2"/>
  <c r="G47" i="2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D55" i="3"/>
  <c r="E62" i="3"/>
  <c r="F47" i="2"/>
  <c r="C13" i="2"/>
  <c r="I10" i="7"/>
  <c r="I12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J16" i="1"/>
  <c r="B3" i="7"/>
  <c r="C17" i="2" l="1"/>
  <c r="C38" i="2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E55" i="2"/>
  <c r="I17" i="7"/>
  <c r="I15" i="7" s="1"/>
  <c r="I24" i="7" s="1"/>
  <c r="G12" i="2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D62" i="5"/>
  <c r="E62" i="5" s="1"/>
  <c r="D63" i="3"/>
  <c r="E35" i="1"/>
  <c r="C38" i="1"/>
  <c r="F20" i="7"/>
  <c r="D53" i="3"/>
  <c r="D24" i="3"/>
  <c r="D52" i="3"/>
  <c r="F17" i="2"/>
  <c r="E17" i="2"/>
  <c r="F19" i="7" l="1"/>
  <c r="F25" i="7"/>
  <c r="F26" i="7" s="1"/>
  <c r="F38" i="7" s="1"/>
  <c r="F39" i="7" s="1"/>
  <c r="F27" i="3"/>
  <c r="F26" i="3"/>
  <c r="F24" i="3"/>
  <c r="F25" i="3"/>
  <c r="D28" i="3"/>
  <c r="E49" i="3"/>
  <c r="D49" i="3" s="1"/>
  <c r="C3" i="7"/>
  <c r="I22" i="7"/>
  <c r="C55" i="2"/>
  <c r="D44" i="3"/>
  <c r="D45" i="3"/>
  <c r="J27" i="3"/>
  <c r="D25" i="3"/>
  <c r="F43" i="7" l="1"/>
  <c r="G43" i="7"/>
  <c r="E14" i="1"/>
  <c r="C42" i="7"/>
  <c r="D6" i="3"/>
  <c r="D7" i="3" s="1"/>
  <c r="G16" i="7"/>
  <c r="G15" i="7"/>
  <c r="G24" i="7" s="1"/>
  <c r="G18" i="7"/>
  <c r="J47" i="3"/>
  <c r="J28" i="3" s="1"/>
  <c r="G20" i="7" l="1"/>
  <c r="G19" i="7" s="1"/>
  <c r="D18" i="5"/>
  <c r="E64" i="5" s="1"/>
  <c r="F44" i="1"/>
  <c r="G25" i="7" l="1"/>
  <c r="G26" i="7" s="1"/>
  <c r="E45" i="7" s="1"/>
  <c r="E18" i="5"/>
  <c r="F43" i="1"/>
  <c r="D64" i="5"/>
  <c r="E7" i="5" s="1"/>
  <c r="D7" i="5" s="1"/>
  <c r="D8" i="5" s="1"/>
  <c r="E8" i="5" s="1"/>
  <c r="F41" i="1" s="1"/>
  <c r="G38" i="7" l="1"/>
  <c r="G39" i="7" s="1"/>
  <c r="E43" i="7"/>
  <c r="E42" i="7"/>
  <c r="G29" i="7"/>
  <c r="F16" i="1"/>
  <c r="H16" i="1" s="1"/>
  <c r="E33" i="7"/>
  <c r="E6" i="3"/>
  <c r="H10" i="7" l="1"/>
  <c r="H3" i="7"/>
  <c r="H12" i="7" l="1"/>
  <c r="H17" i="7" s="1"/>
  <c r="I16" i="7" l="1"/>
  <c r="I3" i="7" s="1"/>
  <c r="H18" i="7"/>
  <c r="H16" i="7"/>
  <c r="H15" i="7"/>
  <c r="H24" i="7" s="1"/>
  <c r="I18" i="7" l="1"/>
  <c r="H20" i="7"/>
  <c r="H25" i="7" s="1"/>
  <c r="H26" i="7" s="1"/>
  <c r="H27" i="7" s="1"/>
  <c r="H28" i="7" l="1"/>
  <c r="H29" i="7" s="1"/>
  <c r="H38" i="7" s="1"/>
  <c r="H39" i="7" s="1"/>
  <c r="I20" i="7"/>
  <c r="I25" i="7" s="1"/>
  <c r="I26" i="7" s="1"/>
  <c r="I27" i="7" s="1"/>
  <c r="I28" i="7" s="1"/>
  <c r="I29" i="7" s="1"/>
  <c r="I38" i="7" s="1"/>
  <c r="I39" i="7" s="1"/>
  <c r="I38" i="1" l="1"/>
  <c r="F48" i="1"/>
  <c r="E48" i="1"/>
  <c r="F42" i="7" l="1"/>
  <c r="G42" i="7"/>
  <c r="C44" i="7"/>
  <c r="E44" i="7" s="1"/>
  <c r="J18" i="1"/>
  <c r="H18" i="1"/>
  <c r="F44" i="7" l="1"/>
  <c r="G44" i="7"/>
  <c r="I37" i="1"/>
  <c r="B17" i="1" l="1"/>
  <c r="D18" i="1"/>
  <c r="D16" i="1"/>
  <c r="E47" i="1"/>
  <c r="E51" i="1" s="1"/>
  <c r="F47" i="1"/>
  <c r="F51" i="1" s="1"/>
  <c r="E52" i="1" l="1"/>
  <c r="E50" i="1"/>
  <c r="F52" i="1"/>
  <c r="F50" i="1"/>
  <c r="E37" i="1"/>
  <c r="D17" i="1"/>
  <c r="H17" i="1"/>
  <c r="J17" i="1"/>
  <c r="F53" i="1" l="1"/>
  <c r="E53" i="1"/>
</calcChain>
</file>

<file path=xl/sharedStrings.xml><?xml version="1.0" encoding="utf-8"?>
<sst xmlns="http://schemas.openxmlformats.org/spreadsheetml/2006/main" count="428" uniqueCount="369">
  <si>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</si>
  <si>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</si>
  <si>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</si>
  <si>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</si>
  <si>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</si>
  <si>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</si>
  <si>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</si>
  <si>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</si>
  <si>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</si>
  <si>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</si>
  <si>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</si>
  <si>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</si>
  <si>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</si>
  <si>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</si>
  <si>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</si>
  <si>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</si>
  <si>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</si>
  <si>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</si>
  <si>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</si>
  <si>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</si>
  <si>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</si>
  <si>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</si>
  <si>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</si>
  <si>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</si>
  <si>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</si>
  <si>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</si>
  <si>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</si>
  <si>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</si>
  <si>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</si>
  <si>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</si>
  <si>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</si>
  <si>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</si>
  <si>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</si>
  <si>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</si>
  <si>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</si>
  <si>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</si>
  <si>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</si>
  <si>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</si>
  <si>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</si>
  <si>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</si>
  <si>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</si>
  <si>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</si>
  <si>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</si>
  <si>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</si>
  <si>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</si>
  <si>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</si>
  <si>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</si>
  <si>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</si>
  <si>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</si>
  <si>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</si>
  <si>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</si>
  <si>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</si>
  <si>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</si>
  <si>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</si>
  <si>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</si>
  <si>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</si>
  <si>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</si>
  <si>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</si>
  <si>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</si>
  <si>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</si>
  <si>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</si>
  <si>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</si>
  <si>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</si>
  <si>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</si>
  <si>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</si>
  <si>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</si>
  <si>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</si>
  <si>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</si>
  <si>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</si>
  <si>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</si>
  <si>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</si>
  <si>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</si>
  <si>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</si>
  <si>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</si>
  <si>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</si>
  <si>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</si>
  <si>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</si>
  <si>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</si>
  <si>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</si>
  <si>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</si>
  <si>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</si>
  <si>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</si>
  <si>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</si>
  <si>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</si>
  <si>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</si>
  <si>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</si>
  <si>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</si>
  <si>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</si>
  <si>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</si>
  <si>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</si>
  <si>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</si>
  <si>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</si>
  <si>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</si>
  <si>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</si>
  <si>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</si>
  <si>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</si>
  <si>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</si>
  <si>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</si>
  <si>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</si>
  <si>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</si>
  <si>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</si>
  <si>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</si>
  <si>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</si>
  <si>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</si>
  <si>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</si>
  <si>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</si>
  <si>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</si>
  <si>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</si>
  <si>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</si>
  <si>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</si>
  <si>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</si>
  <si>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</si>
  <si>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</si>
  <si>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</si>
  <si>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</si>
  <si>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</si>
  <si>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</si>
  <si>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</si>
  <si>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</si>
  <si>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</si>
  <si>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</si>
  <si>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</si>
  <si>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</si>
  <si>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</si>
  <si>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</si>
  <si>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</si>
  <si>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</si>
  <si>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</si>
  <si>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</si>
  <si>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</si>
  <si>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</si>
  <si>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</si>
  <si>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</si>
  <si>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</si>
  <si>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</si>
  <si>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</si>
  <si>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</si>
  <si>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</si>
  <si>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</si>
  <si>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</si>
  <si>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</si>
  <si>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</si>
  <si>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</si>
  <si>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</si>
  <si>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</si>
  <si>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</si>
  <si>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</si>
  <si>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</si>
  <si>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</si>
  <si>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</si>
  <si>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</si>
  <si>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</si>
  <si>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</si>
  <si>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</si>
  <si>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</si>
  <si>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</si>
  <si>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</si>
  <si>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</si>
  <si>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</si>
  <si>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</si>
  <si>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</si>
  <si>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</si>
  <si>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</si>
  <si>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</si>
  <si>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</si>
  <si>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</si>
  <si>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</si>
  <si>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</si>
  <si>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</si>
  <si>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</si>
  <si>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</si>
  <si>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</si>
  <si>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</si>
  <si>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</si>
  <si>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</si>
  <si>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</si>
  <si>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</si>
  <si>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</si>
  <si>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</si>
  <si>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</si>
  <si>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</si>
  <si>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</si>
  <si>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</si>
  <si>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</si>
  <si>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</si>
  <si>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</si>
  <si>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</si>
  <si>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</si>
  <si>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</si>
  <si>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</si>
  <si>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</si>
  <si>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</si>
  <si>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</si>
  <si>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</si>
  <si>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</si>
  <si>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</si>
  <si>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</si>
  <si>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</si>
  <si>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</si>
  <si>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</si>
  <si>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</si>
  <si>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</si>
  <si>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</si>
  <si>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</si>
  <si>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</si>
  <si>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</si>
  <si>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</si>
  <si>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</si>
  <si>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</si>
  <si>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</si>
  <si>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</si>
  <si>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</si>
  <si>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</si>
  <si>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</si>
  <si>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</si>
  <si>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</si>
  <si>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</si>
  <si>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</si>
  <si>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</si>
  <si>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</si>
  <si>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</si>
  <si>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</si>
  <si>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</si>
  <si>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</si>
  <si>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</si>
  <si>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</si>
  <si>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</si>
  <si>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</si>
  <si>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</si>
  <si>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</si>
  <si>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</si>
  <si>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</si>
  <si>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</si>
  <si>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</si>
  <si>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</si>
  <si>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</si>
  <si>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</si>
  <si>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</si>
  <si>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</si>
  <si>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</si>
  <si>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</si>
  <si>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</si>
  <si>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</si>
  <si>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</si>
  <si>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</si>
  <si>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</si>
  <si>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</si>
  <si>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</si>
  <si>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</si>
  <si>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</si>
  <si>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</si>
  <si>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</si>
  <si>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</si>
  <si>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</si>
  <si>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</si>
  <si>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</si>
  <si>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</si>
  <si>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</si>
  <si>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</si>
  <si>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</si>
  <si>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</si>
  <si>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</si>
  <si>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</si>
  <si>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</si>
  <si>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</si>
  <si>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</si>
  <si>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</si>
  <si>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</si>
  <si>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</si>
  <si>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</si>
  <si>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</si>
  <si>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</si>
  <si>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</si>
  <si>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</si>
  <si>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</si>
  <si>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</si>
  <si>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</si>
  <si>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</si>
  <si>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</si>
  <si>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</si>
  <si>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</si>
  <si>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</si>
  <si>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</si>
  <si>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</si>
  <si>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</si>
  <si>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</si>
  <si>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</si>
  <si>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</si>
  <si>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</si>
  <si>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Frd. DPS</t>
  </si>
  <si>
    <t>Conservative Exit Price =</t>
  </si>
  <si>
    <t>Orderly Liquidation Values =</t>
  </si>
  <si>
    <t>Orderly Liquidation Value per Shares =</t>
  </si>
  <si>
    <t>Target Return</t>
  </si>
  <si>
    <t>MOS =</t>
  </si>
  <si>
    <t>CN</t>
  </si>
  <si>
    <t>P/B</t>
  </si>
  <si>
    <t>LFY P/S</t>
  </si>
  <si>
    <t>DCF Model Ouput</t>
  </si>
  <si>
    <t>P/B &amp; P/S Ratios:</t>
  </si>
  <si>
    <t>Expected Prices</t>
  </si>
  <si>
    <t>4. The Company's Liquidity and leverage rating</t>
  </si>
  <si>
    <t>Despite a cylical one</t>
  </si>
  <si>
    <t>R&amp;D</t>
  </si>
  <si>
    <t>Reinvestment =</t>
  </si>
  <si>
    <t>Value @</t>
  </si>
  <si>
    <t>ST AR + Contract Assets</t>
  </si>
  <si>
    <t>ST Financial Liabilities</t>
  </si>
  <si>
    <t>LT Financial Liabilities</t>
  </si>
  <si>
    <t>PP&amp;E</t>
  </si>
  <si>
    <t>Gross profit =</t>
  </si>
  <si>
    <t>Total Liabilities / Total Assets</t>
  </si>
  <si>
    <t>M&amp;A</t>
  </si>
  <si>
    <t>Total Debt / Common Equity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</si>
  <si>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</si>
  <si>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</si>
  <si>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</si>
  <si>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</si>
  <si>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</si>
  <si>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</si>
  <si>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</si>
  <si>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</si>
  <si>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</si>
  <si>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</si>
  <si>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</si>
  <si>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</si>
  <si>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</si>
  <si>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</si>
  <si>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</si>
  <si>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2. Sentiment Trap</t>
  </si>
  <si>
    <t>b). Rely on bottom-up research to uncover bargains in a pessimistic market.</t>
  </si>
  <si>
    <t>a). It's our job as a value investor to catch the falling knife</t>
  </si>
  <si>
    <t>FCInv = Δ PP&amp;E + D&amp;A</t>
  </si>
  <si>
    <t>9959.HK</t>
  </si>
  <si>
    <t>LINKLOGIS-W</t>
  </si>
  <si>
    <t>CNY</t>
  </si>
  <si>
    <t>中国供应链金融科技解决方案提供商中排名第一</t>
  </si>
  <si>
    <t>核心企业云(保理业务)</t>
  </si>
  <si>
    <t>金融机构云(资产证券化业务)</t>
  </si>
  <si>
    <t>跨境云(保理业务)</t>
  </si>
  <si>
    <t>中小企业信用(保理业务)</t>
  </si>
  <si>
    <t>Quarter</t>
  </si>
  <si>
    <t>Doesn't have a real brand yet</t>
  </si>
  <si>
    <t>Reinvestment / Sales</t>
  </si>
  <si>
    <t>b = Reinvestment/NOPAT</t>
  </si>
  <si>
    <t xml:space="preserve">Asset Plays </t>
  </si>
  <si>
    <t>1. 行业周期性兴衰，下降中
2.中国金融监管不完善
3. EBIT Margin接近0%</t>
  </si>
  <si>
    <t>1. 先发竞争优势:Scale and Network Effect in Sales and Distribution
2. 政策方面的支持有利于行业的发展
3. 公司背靠腾讯，可以与腾讯进行战术合作</t>
  </si>
  <si>
    <t>1. 很多资金借给了目前困难的房地产行业。而且业务细节比较复杂，容易有金融风险
2. 经济困难导致贷款需求下降、ABS发行量放缓
3. 规模上升、竞争激烈。平均费率下降</t>
  </si>
  <si>
    <t>1. Yes, 房地产风险敞口正逐步缩小，应收款优先级理论上高于债权及股权。风险很大程度已经被暴露及做空了，市场对其也很悲观
2. Maybe. 经济及行业周期性问题，看不出公司本身竞争力下降
3. Yes. 需要研发投入，增加自动化，长远有利公司构建更强护城河</t>
  </si>
  <si>
    <t>1. 中国供应链金融市场的发展迅猛，资金来源渠道也越来越多
2. 理论上，随着利率下行, ABS 发行量将显著回暖
3. 通过建立生态体系，可能会有"飞轮效应"</t>
  </si>
  <si>
    <t>1. 联易融过桥资金的风险问题 (先买入客户的应收账款，再转卖)
2. 2023Q2貸款總體需求指數下降
3. 下跌快得很吓人</t>
  </si>
  <si>
    <t>D&amp;A</t>
  </si>
  <si>
    <t xml:space="preserve">- FCInv </t>
  </si>
  <si>
    <t>- WCInv</t>
  </si>
  <si>
    <t>No</t>
  </si>
  <si>
    <t>FCFF Per shares</t>
  </si>
  <si>
    <t>Base Year Case</t>
  </si>
  <si>
    <t>- COGS</t>
  </si>
  <si>
    <t>Total Revenue</t>
  </si>
  <si>
    <t>Revenue Growth rate</t>
  </si>
  <si>
    <t>银行为了高效便捷地获取更多由大型核心企业背书的优质信贷资产，将会更愿意主动寻求第三方供应链金融科技平台提供的撮合服务，并借此完成普惠金融的考核指</t>
  </si>
  <si>
    <t>Terminal Values</t>
  </si>
  <si>
    <t>Valuations</t>
  </si>
  <si>
    <t>% OP</t>
  </si>
  <si>
    <t>OP_Cash</t>
  </si>
  <si>
    <t>Best Case Value =</t>
  </si>
  <si>
    <t>Conservative Case Value =</t>
  </si>
  <si>
    <t>Average Case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</si>
</sst>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7" formatCode="&quot;Total &quot;0.0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2"/>
      <color theme="0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6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3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0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1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0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2" fontId="2" fillId="17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0" fontId="15" fillId="0" borderId="9" xfId="0" applyFont="1" applyBorder="1" applyAlignment="1">
      <alignment horizontal="left"/>
    </xf>
    <xf numFmtId="179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3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27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4" borderId="9" xfId="0" applyNumberFormat="1" applyFont="1" applyFill="1" applyBorder="1" applyAlignment="1">
      <alignment horizontal="center"/>
    </xf>
    <xf numFmtId="3" fontId="11" fillId="14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4" borderId="9" xfId="0" applyNumberFormat="1" applyFont="1" applyFill="1" applyBorder="1" applyAlignment="1">
      <alignment horizontal="right"/>
    </xf>
    <xf numFmtId="3" fontId="1" fillId="12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2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2" borderId="11" xfId="0" applyNumberFormat="1" applyFont="1" applyFill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67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77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77" fontId="15" fillId="7" borderId="9" xfId="0" applyNumberFormat="1" applyFont="1" applyFill="1" applyBorder="1" applyAlignment="1">
      <alignment horizontal="center"/>
    </xf>
    <xf numFmtId="3" fontId="5" fillId="15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1" fillId="15" borderId="9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10" fontId="2" fillId="18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2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0" fontId="2" fillId="8" borderId="11" xfId="0" applyNumberFormat="1" applyFont="1" applyFill="1" applyBorder="1" applyAlignment="1">
      <alignment horizontal="center"/>
    </xf>
    <xf numFmtId="164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67" fontId="1" fillId="0" borderId="9" xfId="0" applyNumberFormat="1" applyFont="1" applyBorder="1" applyAlignment="1">
      <alignment horizontal="center"/>
    </xf>
    <xf numFmtId="167" fontId="1" fillId="0" borderId="11" xfId="0" applyNumberFormat="1" applyFont="1" applyBorder="1" applyAlignment="1">
      <alignment horizontal="center"/>
    </xf>
    <xf numFmtId="166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6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1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3" borderId="11" xfId="0" applyNumberFormat="1" applyFont="1" applyFill="1" applyBorder="1" applyAlignment="1">
      <alignment horizontal="center"/>
    </xf>
    <xf numFmtId="10" fontId="1" fillId="13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0" borderId="28" xfId="0" applyNumberFormat="1" applyFont="1" applyFill="1" applyBorder="1" applyAlignment="1">
      <alignment horizontal="center"/>
    </xf>
    <xf numFmtId="4" fontId="1" fillId="2" borderId="28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67" fontId="1" fillId="0" borderId="12" xfId="0" applyNumberFormat="1" applyFont="1" applyBorder="1" applyAlignment="1">
      <alignment horizontal="center"/>
    </xf>
    <xf numFmtId="4" fontId="5" fillId="12" borderId="9" xfId="0" applyNumberFormat="1" applyFont="1" applyFill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7" fillId="11" borderId="9" xfId="0" applyNumberFormat="1" applyFont="1" applyFill="1" applyBorder="1" applyAlignment="1">
      <alignment horizontal="center"/>
    </xf>
    <xf numFmtId="3" fontId="1" fillId="0" borderId="29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29" xfId="0" applyFont="1" applyBorder="1"/>
    <xf numFmtId="3" fontId="8" fillId="0" borderId="29" xfId="0" applyNumberFormat="1" applyFont="1" applyBorder="1"/>
    <xf numFmtId="10" fontId="1" fillId="0" borderId="29" xfId="0" applyNumberFormat="1" applyFont="1" applyBorder="1" applyAlignment="1">
      <alignment horizontal="center"/>
    </xf>
    <xf numFmtId="3" fontId="2" fillId="8" borderId="29" xfId="0" applyNumberFormat="1" applyFont="1" applyFill="1" applyBorder="1"/>
    <xf numFmtId="3" fontId="5" fillId="0" borderId="0" xfId="0" applyNumberFormat="1" applyFont="1"/>
    <xf numFmtId="0" fontId="32" fillId="0" borderId="2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right"/>
    </xf>
    <xf numFmtId="3" fontId="1" fillId="20" borderId="9" xfId="0" applyNumberFormat="1" applyFont="1" applyFill="1" applyBorder="1" applyAlignment="1">
      <alignment horizontal="center"/>
    </xf>
    <xf numFmtId="3" fontId="2" fillId="20" borderId="9" xfId="0" applyNumberFormat="1" applyFont="1" applyFill="1" applyBorder="1" applyAlignment="1">
      <alignment horizontal="center"/>
    </xf>
    <xf numFmtId="10" fontId="2" fillId="9" borderId="9" xfId="0" applyNumberFormat="1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8" fontId="4" fillId="9" borderId="9" xfId="0" applyNumberFormat="1" applyFont="1" applyFill="1" applyBorder="1" applyAlignment="1">
      <alignment horizontal="center"/>
    </xf>
    <xf numFmtId="171" fontId="1" fillId="0" borderId="11" xfId="0" applyNumberFormat="1" applyFont="1" applyBorder="1" applyAlignment="1">
      <alignment horizontal="center"/>
    </xf>
    <xf numFmtId="0" fontId="5" fillId="0" borderId="11" xfId="0" applyFont="1" applyBorder="1"/>
    <xf numFmtId="6" fontId="3" fillId="0" borderId="12" xfId="0" applyNumberFormat="1" applyFont="1" applyBorder="1" applyAlignment="1">
      <alignment horizontal="center"/>
    </xf>
    <xf numFmtId="0" fontId="7" fillId="0" borderId="12" xfId="0" applyFont="1" applyBorder="1"/>
    <xf numFmtId="8" fontId="3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10" fontId="2" fillId="8" borderId="25" xfId="0" applyNumberFormat="1" applyFont="1" applyFill="1" applyBorder="1" applyAlignment="1">
      <alignment horizontal="center"/>
    </xf>
    <xf numFmtId="10" fontId="2" fillId="8" borderId="26" xfId="0" applyNumberFormat="1" applyFont="1" applyFill="1" applyBorder="1" applyAlignment="1">
      <alignment horizontal="center"/>
    </xf>
    <xf numFmtId="0" fontId="1" fillId="11" borderId="9" xfId="0" applyFont="1" applyFill="1" applyBorder="1"/>
    <xf numFmtId="169" fontId="1" fillId="0" borderId="9" xfId="0" applyNumberFormat="1" applyFont="1" applyBorder="1" applyAlignment="1">
      <alignment horizontal="center"/>
    </xf>
    <xf numFmtId="168" fontId="1" fillId="0" borderId="9" xfId="0" applyNumberFormat="1" applyFont="1" applyBorder="1" applyAlignment="1">
      <alignment horizontal="center"/>
    </xf>
    <xf numFmtId="4" fontId="2" fillId="8" borderId="21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2" xfId="0" applyNumberFormat="1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187" fontId="1" fillId="13" borderId="9" xfId="0" applyNumberFormat="1" applyFont="1" applyFill="1" applyBorder="1" applyAlignment="1">
      <alignment horizontal="center"/>
    </xf>
    <xf numFmtId="170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77" fontId="2" fillId="9" borderId="12" xfId="0" applyNumberFormat="1" applyFont="1" applyFill="1" applyBorder="1" applyAlignment="1">
      <alignment horizontal="center"/>
    </xf>
    <xf numFmtId="177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5" borderId="24" xfId="0" applyNumberFormat="1" applyFont="1" applyFill="1" applyBorder="1" applyAlignment="1">
      <alignment horizontal="center"/>
    </xf>
    <xf numFmtId="10" fontId="2" fillId="15" borderId="23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0" fontId="7" fillId="11" borderId="9" xfId="0" applyFont="1" applyFill="1" applyBorder="1"/>
    <xf numFmtId="0" fontId="1" fillId="11" borderId="11" xfId="0" applyFont="1" applyFill="1" applyBorder="1"/>
    <xf numFmtId="0" fontId="7" fillId="11" borderId="11" xfId="0" applyFont="1" applyFill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3" fontId="1" fillId="0" borderId="9" xfId="0" applyNumberFormat="1" applyFont="1" applyFill="1" applyBorder="1" applyAlignment="1">
      <alignment horizontal="center"/>
    </xf>
    <xf numFmtId="3" fontId="1" fillId="0" borderId="11" xfId="0" applyNumberFormat="1" applyFont="1" applyBorder="1" applyAlignment="1">
      <alignment horizontal="center"/>
    </xf>
    <xf numFmtId="0" fontId="1" fillId="0" borderId="15" xfId="0" applyFont="1" applyBorder="1"/>
    <xf numFmtId="4" fontId="5" fillId="0" borderId="0" xfId="0" applyNumberFormat="1" applyFont="1" applyAlignment="1">
      <alignment horizontal="center"/>
    </xf>
    <xf numFmtId="3" fontId="1" fillId="0" borderId="15" xfId="0" applyNumberFormat="1" applyFont="1" applyFill="1" applyBorder="1" applyAlignment="1">
      <alignment horizontal="center"/>
    </xf>
    <xf numFmtId="0" fontId="1" fillId="0" borderId="9" xfId="0" quotePrefix="1" applyFont="1" applyBorder="1"/>
    <xf numFmtId="38" fontId="1" fillId="0" borderId="11" xfId="0" applyNumberFormat="1" applyFont="1" applyBorder="1" applyAlignment="1">
      <alignment horizontal="center"/>
    </xf>
    <xf numFmtId="3" fontId="5" fillId="15" borderId="11" xfId="0" applyNumberFormat="1" applyFont="1" applyFill="1" applyBorder="1" applyAlignment="1">
      <alignment horizontal="center"/>
    </xf>
    <xf numFmtId="3" fontId="2" fillId="15" borderId="11" xfId="0" applyNumberFormat="1" applyFont="1" applyFill="1" applyBorder="1" applyAlignment="1">
      <alignment horizontal="center"/>
    </xf>
    <xf numFmtId="175" fontId="2" fillId="19" borderId="11" xfId="0" applyNumberFormat="1" applyFont="1" applyFill="1" applyBorder="1" applyAlignment="1">
      <alignment horizontal="center"/>
    </xf>
    <xf numFmtId="10" fontId="1" fillId="0" borderId="9" xfId="0" applyNumberFormat="1" applyFont="1" applyFill="1" applyBorder="1" applyAlignment="1">
      <alignment horizontal="center"/>
    </xf>
    <xf numFmtId="4" fontId="1" fillId="0" borderId="9" xfId="0" applyNumberFormat="1" applyFont="1" applyFill="1" applyBorder="1" applyAlignment="1">
      <alignment horizontal="center"/>
    </xf>
    <xf numFmtId="3" fontId="1" fillId="0" borderId="11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left"/>
    </xf>
    <xf numFmtId="4" fontId="4" fillId="8" borderId="11" xfId="0" applyNumberFormat="1" applyFont="1" applyFill="1" applyBorder="1" applyAlignment="1">
      <alignment horizontal="right"/>
    </xf>
    <xf numFmtId="3" fontId="2" fillId="0" borderId="12" xfId="0" applyNumberFormat="1" applyFont="1" applyFill="1" applyBorder="1" applyAlignment="1">
      <alignment horizontal="right"/>
    </xf>
    <xf numFmtId="38" fontId="2" fillId="0" borderId="12" xfId="0" applyNumberFormat="1" applyFont="1" applyFill="1" applyBorder="1" applyAlignment="1">
      <alignment horizontal="right"/>
    </xf>
    <xf numFmtId="3" fontId="2" fillId="0" borderId="9" xfId="0" applyNumberFormat="1" applyFont="1" applyFill="1" applyBorder="1" applyAlignment="1">
      <alignment horizontal="right"/>
    </xf>
    <xf numFmtId="38" fontId="2" fillId="0" borderId="9" xfId="0" applyNumberFormat="1" applyFont="1" applyFill="1" applyBorder="1" applyAlignment="1">
      <alignment horizontal="right"/>
    </xf>
    <xf numFmtId="3" fontId="2" fillId="0" borderId="9" xfId="0" applyNumberFormat="1" applyFont="1" applyFill="1" applyBorder="1" applyAlignment="1">
      <alignment horizontal="center"/>
    </xf>
    <xf numFmtId="10" fontId="2" fillId="0" borderId="9" xfId="0" applyNumberFormat="1" applyFont="1" applyFill="1" applyBorder="1" applyAlignment="1">
      <alignment horizontal="center"/>
    </xf>
    <xf numFmtId="10" fontId="2" fillId="0" borderId="12" xfId="0" applyNumberFormat="1" applyFont="1" applyFill="1" applyBorder="1" applyAlignment="1">
      <alignment horizontal="center"/>
    </xf>
    <xf numFmtId="3" fontId="2" fillId="0" borderId="11" xfId="0" applyNumberFormat="1" applyFont="1" applyFill="1" applyBorder="1" applyAlignment="1">
      <alignment horizontal="center"/>
    </xf>
    <xf numFmtId="3" fontId="2" fillId="0" borderId="15" xfId="0" applyNumberFormat="1" applyFont="1" applyFill="1" applyBorder="1" applyAlignment="1">
      <alignment horizontal="center"/>
    </xf>
  </cellXfs>
  <cellStyles count="3">
    <cellStyle name="一般" xfId="0" builtinId="0"/>
    <cellStyle name="千分位" xfId="1" builtinId="3"/>
    <cellStyle name="超連結" xfId="2" builtinId="8"/>
  </cellStyles>
  <dxfs count="22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C22" sqref="C22:F22"/>
    </sheetView>
  </sheetViews>
  <sheetFormatPr defaultColWidth="12.42578125" defaultRowHeight="15" customHeight="1"/>
  <cols>
    <col min="1" max="1" width="2.42578125" style="3" customWidth="1"/>
    <col min="2" max="2" width="28.42578125" style="3" customWidth="1"/>
    <col min="3" max="10" width="14.85546875" style="3" customWidth="1"/>
    <col min="11" max="11" width="14.42578125" style="3" bestFit="1" customWidth="1"/>
    <col min="12" max="16384" width="12.42578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3" t="str">
        <f>C3&amp;" : "&amp;C4</f>
        <v>9959.HK : LINKLOGIS-W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270" t="s">
        <v>333</v>
      </c>
      <c r="D3" s="271"/>
      <c r="E3" s="6"/>
      <c r="G3" s="7" t="s">
        <v>2</v>
      </c>
      <c r="I3" s="279" t="s">
        <v>3</v>
      </c>
      <c r="J3" s="279"/>
    </row>
    <row r="4" spans="1:12" ht="15.75" customHeight="1">
      <c r="B4" s="5" t="s">
        <v>4</v>
      </c>
      <c r="C4" s="272" t="s">
        <v>334</v>
      </c>
      <c r="D4" s="241"/>
      <c r="E4" s="6"/>
      <c r="G4" s="5" t="s">
        <v>5</v>
      </c>
      <c r="I4" s="189">
        <v>1.81</v>
      </c>
      <c r="J4" s="190" t="s">
        <v>6</v>
      </c>
      <c r="K4" s="87"/>
    </row>
    <row r="5" spans="1:12" ht="15.75" customHeight="1">
      <c r="B5" s="5" t="s">
        <v>7</v>
      </c>
      <c r="C5" s="273">
        <v>45177</v>
      </c>
      <c r="D5" s="241"/>
      <c r="E5" s="75" t="str">
        <f ca="1">IF(C5+30&gt;=TODAY(),"Patience Premium","")</f>
        <v/>
      </c>
      <c r="G5" s="5" t="s">
        <v>8</v>
      </c>
      <c r="I5" s="240">
        <v>2017360000</v>
      </c>
      <c r="J5" s="240"/>
      <c r="K5" s="86"/>
      <c r="L5" s="49"/>
    </row>
    <row r="6" spans="1:12" ht="15.75" customHeight="1">
      <c r="B6" s="12" t="s">
        <v>208</v>
      </c>
      <c r="C6" s="187">
        <v>8</v>
      </c>
      <c r="D6" s="188">
        <f>EOMONTH(EDATE(Asset_Model!D9,C6),0)</f>
        <v>45351</v>
      </c>
      <c r="E6" s="118">
        <f>IF(Asset_Model!E9="FY",Asset_Model!D9,Data!C3)</f>
        <v>44926</v>
      </c>
      <c r="G6" s="80" t="s">
        <v>9</v>
      </c>
      <c r="H6" s="79"/>
      <c r="I6" s="280">
        <f>I4*I5/1000000</f>
        <v>3651.4216000000001</v>
      </c>
      <c r="J6" s="280"/>
      <c r="K6" s="86"/>
    </row>
    <row r="7" spans="1:12" ht="15.75" customHeight="1">
      <c r="B7" s="81" t="s">
        <v>10</v>
      </c>
      <c r="C7" s="186">
        <f>(Data!C42*Exchange_Rate)/I4</f>
        <v>0</v>
      </c>
      <c r="D7" s="186">
        <f>(Data!C43*Exchange_Rate)/I4</f>
        <v>1.7342820477175891E-2</v>
      </c>
      <c r="E7" s="88"/>
      <c r="F7" s="6"/>
    </row>
    <row r="8" spans="1:12" ht="15.75" customHeight="1">
      <c r="C8" s="56"/>
      <c r="E8" s="6"/>
      <c r="G8" s="17" t="s">
        <v>11</v>
      </c>
      <c r="H8" s="78"/>
      <c r="I8" s="6"/>
      <c r="J8" s="6"/>
    </row>
    <row r="9" spans="1:12" ht="15.75" customHeight="1">
      <c r="B9" s="17" t="s">
        <v>12</v>
      </c>
      <c r="C9" s="113"/>
      <c r="D9" s="111"/>
      <c r="E9" s="5"/>
      <c r="G9" s="5" t="s">
        <v>13</v>
      </c>
      <c r="I9" s="193" t="str">
        <f>IF(Data!F3&lt;=0,"NNI",I4/((Data!F3*I12)/(I5/Data!C4)))</f>
        <v>NNI</v>
      </c>
      <c r="J9" s="147" t="str">
        <f>IF(I9="NNI","NNI",1/I9)</f>
        <v>NNI</v>
      </c>
    </row>
    <row r="10" spans="1:12" ht="15.75" customHeight="1">
      <c r="B10" s="3" t="s">
        <v>220</v>
      </c>
      <c r="C10" s="112" t="s">
        <v>295</v>
      </c>
      <c r="D10" s="112">
        <v>2.8999999999999998E-2</v>
      </c>
      <c r="E10" s="5"/>
      <c r="G10" s="80" t="s">
        <v>299</v>
      </c>
      <c r="H10" s="79"/>
      <c r="I10" s="146">
        <f>I4/(Data!C29*I12*Data!C4/Common_Shares)</f>
        <v>0.33893872779632422</v>
      </c>
      <c r="J10" s="191">
        <f>I4/(Data!C7*Data!C4/Common_Shares*Exchange_Rate)</f>
        <v>3.6514314364731448</v>
      </c>
    </row>
    <row r="11" spans="1:12" ht="15.75" customHeight="1" thickBot="1">
      <c r="B11" s="114" t="s">
        <v>221</v>
      </c>
      <c r="C11" s="250">
        <f ca="1">C12-D10</f>
        <v>0.121</v>
      </c>
      <c r="D11" s="251"/>
      <c r="E11" s="13"/>
      <c r="G11" s="5" t="s">
        <v>14</v>
      </c>
      <c r="H11" s="6"/>
      <c r="I11" s="279" t="s">
        <v>335</v>
      </c>
      <c r="J11" s="279"/>
    </row>
    <row r="12" spans="1:12" ht="15.75" customHeight="1" thickTop="1">
      <c r="B12" s="115" t="s">
        <v>122</v>
      </c>
      <c r="C12" s="286">
        <f ca="1">IF(C10="CN",15%,15%)*IF($C$5+30&gt;=TODAY(),1.2,1)</f>
        <v>0.15</v>
      </c>
      <c r="D12" s="287"/>
      <c r="G12" s="80" t="s">
        <v>15</v>
      </c>
      <c r="H12" s="79"/>
      <c r="I12" s="194">
        <v>1.0820139646530151</v>
      </c>
      <c r="J12" s="195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22" t="s">
        <v>270</v>
      </c>
      <c r="D14" s="79"/>
      <c r="E14" s="148">
        <f ca="1">Val_Models!F39</f>
        <v>2.3397821731303656</v>
      </c>
      <c r="F14" s="93"/>
      <c r="G14" s="94"/>
      <c r="H14" s="122" t="s">
        <v>294</v>
      </c>
      <c r="I14" s="208">
        <v>0.25</v>
      </c>
      <c r="J14" s="79"/>
    </row>
    <row r="15" spans="1:12" ht="15.75" customHeight="1">
      <c r="A15" s="6"/>
      <c r="B15" s="98" t="str">
        <f>"(in "&amp;J4&amp;")"</f>
        <v>(in HKD)</v>
      </c>
      <c r="C15" s="199" t="s">
        <v>293</v>
      </c>
      <c r="D15" s="51" t="s">
        <v>17</v>
      </c>
      <c r="E15" s="6"/>
      <c r="F15" s="38" t="s">
        <v>20</v>
      </c>
      <c r="G15" s="6"/>
      <c r="H15" s="124" t="s">
        <v>19</v>
      </c>
      <c r="I15" s="51" t="s">
        <v>289</v>
      </c>
      <c r="J15" s="51" t="s">
        <v>18</v>
      </c>
    </row>
    <row r="16" spans="1:12" ht="15.75" customHeight="1">
      <c r="B16" s="77">
        <f>I4</f>
        <v>1.81</v>
      </c>
      <c r="C16" s="266">
        <v>0.2</v>
      </c>
      <c r="D16" s="206">
        <f ca="1">I37/B16-(1+C16)</f>
        <v>-1.8778727018524011E-2</v>
      </c>
      <c r="E16" s="260" t="s">
        <v>21</v>
      </c>
      <c r="F16" s="281">
        <f>(Val_Models!G35)*Exchange_Rate</f>
        <v>1.522327915599994</v>
      </c>
      <c r="G16" s="260" t="s">
        <v>22</v>
      </c>
      <c r="H16" s="207">
        <f>B16-$F$16</f>
        <v>0.28767208440000602</v>
      </c>
      <c r="I16" s="255">
        <v>0</v>
      </c>
      <c r="J16" s="147">
        <f>I16/B16</f>
        <v>0</v>
      </c>
    </row>
    <row r="17" spans="1:10" ht="15.75" customHeight="1">
      <c r="B17" s="106">
        <f ca="1">MIN((I37+I38)/2,I37/(1+C16), IF(J20=0,E14,I37/(1+C16)))</f>
        <v>1.7724748769010819</v>
      </c>
      <c r="C17" s="267"/>
      <c r="D17" s="130">
        <f ca="1">I37/B17-(1+C16)</f>
        <v>6.2289468578964335E-3</v>
      </c>
      <c r="E17" s="261"/>
      <c r="F17" s="282"/>
      <c r="G17" s="261"/>
      <c r="H17" s="204">
        <f ca="1">B17-$F$16</f>
        <v>0.25014696130108782</v>
      </c>
      <c r="I17" s="256"/>
      <c r="J17" s="130">
        <f ca="1">I16/B17</f>
        <v>0</v>
      </c>
    </row>
    <row r="18" spans="1:10" ht="15.75" customHeight="1">
      <c r="B18" s="119">
        <f>C37</f>
        <v>0.9</v>
      </c>
      <c r="C18" s="268"/>
      <c r="D18" s="205">
        <f ca="1">I37/B18-(1+C16)</f>
        <v>1.1755672267738573</v>
      </c>
      <c r="E18" s="262"/>
      <c r="F18" s="283"/>
      <c r="G18" s="262"/>
      <c r="H18" s="93">
        <f>B18-$F$16</f>
        <v>-0.62232791559999401</v>
      </c>
      <c r="I18" s="257"/>
      <c r="J18" s="139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206</v>
      </c>
      <c r="D20" s="170" t="s">
        <v>345</v>
      </c>
      <c r="E20" s="99" t="s">
        <v>213</v>
      </c>
      <c r="F20" s="6"/>
      <c r="G20" s="6"/>
      <c r="H20" s="6"/>
      <c r="I20" s="6"/>
      <c r="J20" s="12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276" t="s">
        <v>336</v>
      </c>
      <c r="D21" s="277"/>
      <c r="E21" s="278"/>
      <c r="F21" s="278"/>
      <c r="G21" s="278"/>
      <c r="H21" s="278"/>
      <c r="I21" s="278"/>
      <c r="J21" s="278"/>
    </row>
    <row r="22" spans="1:10" ht="52.5" customHeight="1">
      <c r="A22" s="6"/>
      <c r="B22" s="19" t="s">
        <v>25</v>
      </c>
      <c r="C22" s="285" t="s">
        <v>347</v>
      </c>
      <c r="D22" s="271"/>
      <c r="E22" s="271"/>
      <c r="F22" s="271"/>
      <c r="G22" s="285" t="s">
        <v>346</v>
      </c>
      <c r="H22" s="285"/>
      <c r="I22" s="271"/>
      <c r="J22" s="271"/>
    </row>
    <row r="23" spans="1:10" ht="52.5" customHeight="1">
      <c r="A23" s="6"/>
      <c r="B23" s="126" t="s">
        <v>26</v>
      </c>
      <c r="C23" s="258" t="s">
        <v>350</v>
      </c>
      <c r="D23" s="259"/>
      <c r="E23" s="259"/>
      <c r="F23" s="259"/>
      <c r="G23" s="258" t="s">
        <v>351</v>
      </c>
      <c r="H23" s="258"/>
      <c r="I23" s="259"/>
      <c r="J23" s="259"/>
    </row>
    <row r="24" spans="1:10" ht="52.5" customHeight="1">
      <c r="A24" s="6"/>
      <c r="B24" s="19" t="s">
        <v>283</v>
      </c>
      <c r="C24" s="288" t="s">
        <v>348</v>
      </c>
      <c r="D24" s="288"/>
      <c r="E24" s="288"/>
      <c r="F24" s="288"/>
      <c r="G24" s="288"/>
      <c r="H24" s="288"/>
      <c r="I24" s="288"/>
      <c r="J24" s="288"/>
    </row>
    <row r="25" spans="1:10" ht="52.5" customHeight="1">
      <c r="A25" s="6"/>
      <c r="B25" s="126" t="s">
        <v>282</v>
      </c>
      <c r="C25" s="289" t="s">
        <v>349</v>
      </c>
      <c r="D25" s="289"/>
      <c r="E25" s="289"/>
      <c r="F25" s="289"/>
      <c r="G25" s="289"/>
      <c r="H25" s="289"/>
      <c r="I25" s="289"/>
      <c r="J25" s="28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196">
        <v>660000</v>
      </c>
      <c r="E27" s="6"/>
      <c r="F27" s="5"/>
      <c r="G27" s="6"/>
      <c r="H27" s="197" t="s">
        <v>277</v>
      </c>
      <c r="I27" s="22"/>
      <c r="J27" s="50">
        <f>C16</f>
        <v>0.2</v>
      </c>
    </row>
    <row r="28" spans="1:10" ht="15.75" customHeight="1">
      <c r="B28" s="18" t="s">
        <v>29</v>
      </c>
      <c r="C28" s="274">
        <v>45180</v>
      </c>
      <c r="D28" s="275"/>
      <c r="E28" s="265" t="str">
        <f>IF(C28="","","Action_Planning")</f>
        <v>Action_Planning</v>
      </c>
      <c r="F28" s="265"/>
      <c r="G28" s="265"/>
      <c r="H28" s="265"/>
      <c r="I28" s="284" t="s">
        <v>30</v>
      </c>
      <c r="J28" s="284"/>
    </row>
    <row r="29" spans="1:10" ht="15.75" customHeight="1">
      <c r="B29" s="18" t="s">
        <v>31</v>
      </c>
      <c r="C29" s="254">
        <f>C33/D27</f>
        <v>8.1818181818181818E-2</v>
      </c>
      <c r="D29" s="248"/>
      <c r="E29" s="253">
        <f>E33/D27</f>
        <v>7.2727272727272724E-2</v>
      </c>
      <c r="F29" s="248"/>
      <c r="G29" s="264">
        <f>G33/D27</f>
        <v>0</v>
      </c>
      <c r="H29" s="264"/>
      <c r="I29" s="263">
        <f>C29+E29+G29</f>
        <v>0.15454545454545454</v>
      </c>
      <c r="J29" s="263"/>
    </row>
    <row r="30" spans="1:10" ht="15.75" customHeight="1">
      <c r="B30" s="18" t="s">
        <v>32</v>
      </c>
      <c r="C30" s="240">
        <v>30000</v>
      </c>
      <c r="D30" s="241"/>
      <c r="E30" s="240">
        <v>30000</v>
      </c>
      <c r="F30" s="241"/>
      <c r="G30" s="240"/>
      <c r="H30" s="240"/>
      <c r="I30" s="269">
        <f>C30+E30+G30</f>
        <v>60000</v>
      </c>
      <c r="J30" s="269"/>
    </row>
    <row r="31" spans="1:10" ht="15.75" customHeight="1">
      <c r="B31" s="18" t="s">
        <v>33</v>
      </c>
      <c r="C31" s="242">
        <v>1.8</v>
      </c>
      <c r="D31" s="241"/>
      <c r="E31" s="242">
        <v>1.6</v>
      </c>
      <c r="F31" s="241"/>
      <c r="G31" s="242"/>
      <c r="H31" s="242"/>
      <c r="I31" s="252"/>
      <c r="J31" s="252"/>
    </row>
    <row r="32" spans="1:10" ht="15.75" customHeight="1">
      <c r="B32" s="18" t="s">
        <v>34</v>
      </c>
      <c r="C32" s="249">
        <f>C31*$I$5/1000000</f>
        <v>3631.248</v>
      </c>
      <c r="D32" s="248"/>
      <c r="E32" s="249">
        <f>E31*$I$5/1000000</f>
        <v>3227.7759999999998</v>
      </c>
      <c r="F32" s="248"/>
      <c r="G32" s="249">
        <f>G31*$I$5/1000000</f>
        <v>0</v>
      </c>
      <c r="H32" s="249"/>
      <c r="I32" s="252"/>
      <c r="J32" s="252"/>
    </row>
    <row r="33" spans="2:11" ht="15.75" customHeight="1">
      <c r="B33" s="2" t="s">
        <v>35</v>
      </c>
      <c r="C33" s="245">
        <f>C30*C31</f>
        <v>54000</v>
      </c>
      <c r="D33" s="246"/>
      <c r="E33" s="245">
        <f>E30*E31</f>
        <v>48000</v>
      </c>
      <c r="F33" s="246"/>
      <c r="G33" s="245">
        <f>G30*G31</f>
        <v>0</v>
      </c>
      <c r="H33" s="245"/>
      <c r="I33" s="245">
        <f>C33+E33+G33</f>
        <v>102000</v>
      </c>
      <c r="J33" s="245"/>
    </row>
    <row r="34" spans="2:11" ht="15.75" customHeight="1">
      <c r="B34" s="1" t="s">
        <v>36</v>
      </c>
      <c r="C34" s="252"/>
      <c r="D34" s="295"/>
      <c r="E34" s="247">
        <f>IF(C33=0,"-",(C33+E33)/(C30+E30))</f>
        <v>1.7</v>
      </c>
      <c r="F34" s="248"/>
      <c r="G34" s="74"/>
      <c r="H34" s="74"/>
      <c r="I34" s="247">
        <f>IF(I33=0,"",I33/I30)</f>
        <v>1.7</v>
      </c>
      <c r="J34" s="247"/>
    </row>
    <row r="35" spans="2:11" ht="15.75" customHeight="1">
      <c r="B35" s="1" t="s">
        <v>37</v>
      </c>
      <c r="C35" s="296"/>
      <c r="D35" s="297"/>
      <c r="E35" s="243">
        <f>IF(E34="-","-",E34*$I$5/1000000)</f>
        <v>3429.5120000000002</v>
      </c>
      <c r="F35" s="244"/>
      <c r="G35" s="198"/>
      <c r="H35" s="198"/>
      <c r="I35" s="243">
        <f>IF(I34="","",I34*$I$5/1000000)</f>
        <v>3429.5120000000002</v>
      </c>
      <c r="J35" s="243"/>
    </row>
    <row r="36" spans="2:11" ht="15.75" customHeight="1"/>
    <row r="37" spans="2:11" ht="15.75" customHeight="1">
      <c r="B37" s="82" t="s">
        <v>247</v>
      </c>
      <c r="C37" s="293">
        <v>0.9</v>
      </c>
      <c r="D37" s="294"/>
      <c r="E37" s="75" t="str">
        <f ca="1">IF(C37&gt;B17,"Caution! &gt; Breakeven price!","")</f>
        <v/>
      </c>
      <c r="F37" s="6"/>
      <c r="G37" s="290" t="s">
        <v>290</v>
      </c>
      <c r="H37" s="290"/>
      <c r="I37" s="291">
        <f ca="1">Val_Models!C44</f>
        <v>2.1380105040964716</v>
      </c>
      <c r="J37" s="292"/>
    </row>
    <row r="38" spans="2:11" ht="15.75" customHeight="1">
      <c r="B38" s="82" t="s">
        <v>272</v>
      </c>
      <c r="C38" s="293">
        <f>E34</f>
        <v>1.7</v>
      </c>
      <c r="D38" s="294"/>
      <c r="E38" s="6"/>
      <c r="F38" s="6"/>
      <c r="G38" s="290" t="s">
        <v>271</v>
      </c>
      <c r="H38" s="290"/>
      <c r="I38" s="291">
        <f>Val_Models!C45</f>
        <v>1.4069392497056918</v>
      </c>
      <c r="J38" s="292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257</v>
      </c>
      <c r="C40" s="6"/>
      <c r="D40" s="6"/>
      <c r="E40" s="6"/>
      <c r="F40" s="6"/>
      <c r="G40" s="117" t="s">
        <v>117</v>
      </c>
      <c r="H40" s="79"/>
      <c r="I40" s="79"/>
      <c r="J40" s="79"/>
      <c r="K40" s="120"/>
    </row>
    <row r="41" spans="2:11" ht="15.75" customHeight="1">
      <c r="B41" s="3" t="s">
        <v>259</v>
      </c>
      <c r="C41" s="6"/>
      <c r="D41" s="6"/>
      <c r="E41" s="6"/>
      <c r="F41" s="50">
        <f>Qualitative_Analysis!E8</f>
        <v>0.42000000000000004</v>
      </c>
      <c r="G41" s="73"/>
      <c r="H41" s="73"/>
      <c r="I41" s="73"/>
      <c r="J41" s="73"/>
    </row>
    <row r="42" spans="2:11" ht="15.75" customHeight="1">
      <c r="B42" s="3" t="s">
        <v>258</v>
      </c>
      <c r="C42" s="6"/>
      <c r="D42" s="6"/>
      <c r="E42" s="6"/>
      <c r="F42" s="50">
        <f>80%-(5%*IF(LEFT(D20,2)="St",3,IF(LEFT(D20,2)="Sl",2,IF(LEFT(D20,2)="Cy",6,IF(LEFT(D20,2)="Tu",7,IF(LEFT(D20,2)="Fa",8,0))))))</f>
        <v>0.8</v>
      </c>
      <c r="G42" s="73"/>
      <c r="H42" s="73"/>
      <c r="I42" s="73"/>
      <c r="J42" s="73"/>
    </row>
    <row r="43" spans="2:11" ht="15.75" customHeight="1">
      <c r="B43" s="3" t="s">
        <v>264</v>
      </c>
      <c r="C43" s="6"/>
      <c r="D43" s="6"/>
      <c r="E43" s="6"/>
      <c r="F43" s="152">
        <f>Qualitative_Analysis!E64</f>
        <v>0.40617346938775512</v>
      </c>
      <c r="G43" s="73"/>
      <c r="H43" s="73"/>
      <c r="I43" s="73"/>
      <c r="J43" s="73"/>
    </row>
    <row r="44" spans="2:11" ht="15.75" customHeight="1">
      <c r="B44" s="3" t="s">
        <v>301</v>
      </c>
      <c r="C44" s="6"/>
      <c r="D44" s="6"/>
      <c r="E44" s="6"/>
      <c r="F44" s="152">
        <f>AVERAGE(Asset_Model!J28/4,1-Asset_Model!I56)</f>
        <v>0.96676949101151388</v>
      </c>
      <c r="G44" s="73"/>
      <c r="H44" s="73"/>
      <c r="I44" s="73"/>
      <c r="J44" s="73"/>
    </row>
    <row r="45" spans="2:11" ht="15.75" customHeight="1">
      <c r="C45" s="6"/>
      <c r="D45" s="6"/>
      <c r="E45" s="6"/>
      <c r="F45" s="6"/>
      <c r="G45" s="73"/>
      <c r="H45" s="73"/>
      <c r="I45" s="73"/>
      <c r="J45" s="73"/>
    </row>
    <row r="46" spans="2:11" ht="15.75" customHeight="1">
      <c r="C46" s="6"/>
      <c r="D46" s="6"/>
      <c r="E46" s="38" t="s">
        <v>273</v>
      </c>
      <c r="F46" s="38" t="s">
        <v>274</v>
      </c>
      <c r="G46" s="6"/>
      <c r="H46" s="6"/>
      <c r="I46" s="6"/>
      <c r="J46" s="6"/>
    </row>
    <row r="47" spans="2:11" ht="15.75" customHeight="1">
      <c r="B47" s="3" t="s">
        <v>260</v>
      </c>
      <c r="C47" s="6"/>
      <c r="D47" s="6"/>
      <c r="E47" s="152">
        <f ca="1">I37/C31-1</f>
        <v>0.18778361338692862</v>
      </c>
      <c r="F47" s="152">
        <f ca="1">I37/C38-1</f>
        <v>0.25765323770380699</v>
      </c>
      <c r="G47" s="6"/>
      <c r="H47" s="6"/>
      <c r="I47" s="6"/>
      <c r="J47" s="201"/>
    </row>
    <row r="48" spans="2:11" ht="15.75" customHeight="1">
      <c r="B48" s="3" t="s">
        <v>261</v>
      </c>
      <c r="C48" s="6"/>
      <c r="D48" s="6"/>
      <c r="E48" s="152">
        <f>Val_Models!C45/C31-1</f>
        <v>-0.21836708349683787</v>
      </c>
      <c r="F48" s="152">
        <f>Val_Models!C45/C38-1</f>
        <v>-0.17238867664371071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263</v>
      </c>
      <c r="C50" s="6"/>
      <c r="D50" s="6"/>
      <c r="E50" s="50">
        <f ca="1">IF(E47&lt;=0,0,AVERAGE(F41:F44,0.5*(1+E47+E48-C16)))</f>
        <v>0.59553024506886287</v>
      </c>
      <c r="F50" s="152">
        <f ca="1">IF(F47&lt;=0,0,AVERAGE(F41:F44,0.5*(1+F47+F48-C16)))</f>
        <v>0.60711504818586348</v>
      </c>
      <c r="G50" s="73"/>
      <c r="H50" s="6"/>
      <c r="I50" s="6"/>
      <c r="J50" s="6"/>
    </row>
    <row r="51" spans="2:10" ht="15.75" customHeight="1">
      <c r="B51" s="3" t="s">
        <v>262</v>
      </c>
      <c r="C51" s="6"/>
      <c r="D51" s="62"/>
      <c r="E51" s="202">
        <f ca="1">IF(E48&gt;=0,100,E47/ABS(E48))</f>
        <v>0.85994468754100417</v>
      </c>
      <c r="F51" s="202">
        <f ca="1">IF(F48&gt;=0,100,F47/ABS(F48))</f>
        <v>1.4946065061820695</v>
      </c>
      <c r="G51" s="73"/>
      <c r="H51" s="6"/>
      <c r="I51" s="6"/>
      <c r="J51" s="6"/>
    </row>
    <row r="52" spans="2:10" ht="15.75" customHeight="1">
      <c r="B52" s="3" t="s">
        <v>275</v>
      </c>
      <c r="C52" s="6"/>
      <c r="D52" s="6"/>
      <c r="E52" s="200">
        <f ca="1">MAX(C16*2.5/E47,1)+IF(E47&lt;C16,100,0)+IF(J20=1,2/(1+E47+E48-C16),0)</f>
        <v>102.66263914609924</v>
      </c>
      <c r="F52" s="200">
        <f ca="1">MAX(C16*2.5/F47,1)+IF(F47&lt;C16,100,0)+IF(D18&lt;0,100,0)+IF(J20=1,2/(1+F47+F48-C16),0)</f>
        <v>1.9405927301980579</v>
      </c>
      <c r="G52" s="151"/>
      <c r="H52" s="203"/>
      <c r="I52" s="203"/>
      <c r="J52" s="6"/>
    </row>
    <row r="53" spans="2:10" ht="15.75" customHeight="1">
      <c r="B53" s="3" t="s">
        <v>276</v>
      </c>
      <c r="C53" s="6"/>
      <c r="D53" s="6"/>
      <c r="E53" s="185">
        <f ca="1">MIN(MAX(E50-ABS((1-E50)/E51),0)/E52,H53)</f>
        <v>1.2193951622879447E-3</v>
      </c>
      <c r="F53" s="185">
        <f ca="1">MIN(MAX(F50-ABS((1-F50)/F51),0)/F52,H53)</f>
        <v>0.17739248181464695</v>
      </c>
      <c r="G53" s="151" t="s">
        <v>265</v>
      </c>
      <c r="H53" s="152">
        <v>0.4</v>
      </c>
      <c r="I53" s="6"/>
      <c r="J53" s="6"/>
    </row>
    <row r="54" spans="2:10" ht="15.75" customHeight="1"/>
    <row r="55" spans="2:10" ht="15.75" customHeight="1">
      <c r="B55" s="17" t="s">
        <v>267</v>
      </c>
    </row>
    <row r="56" spans="2:10" ht="15.75" customHeight="1">
      <c r="B56" s="125" t="s">
        <v>268</v>
      </c>
    </row>
    <row r="57" spans="2:10" ht="15.75" customHeight="1">
      <c r="B57" s="3" t="s">
        <v>279</v>
      </c>
    </row>
    <row r="58" spans="2:10" ht="15.75" customHeight="1">
      <c r="B58" s="3" t="s">
        <v>278</v>
      </c>
    </row>
    <row r="59" spans="2:10" ht="15.75" customHeight="1"/>
    <row r="60" spans="2:10" ht="15.75" customHeight="1">
      <c r="B60" s="125" t="s">
        <v>269</v>
      </c>
    </row>
    <row r="61" spans="2:10" ht="15.75" customHeight="1">
      <c r="B61" s="3" t="s">
        <v>280</v>
      </c>
    </row>
    <row r="62" spans="2:10" ht="15.75" customHeight="1">
      <c r="B62" s="3" t="s">
        <v>281</v>
      </c>
    </row>
    <row r="63" spans="2:10" ht="15.75" customHeight="1"/>
    <row r="64" spans="2:10" ht="15.75" customHeight="1">
      <c r="B64" s="125" t="s">
        <v>329</v>
      </c>
    </row>
    <row r="65" spans="2:2" ht="15.75" customHeight="1">
      <c r="B65" s="3" t="s">
        <v>331</v>
      </c>
    </row>
    <row r="66" spans="2:2" ht="15.75" customHeight="1">
      <c r="B66" s="3" t="s">
        <v>330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0" type="noConversion"/>
  <conditionalFormatting sqref="B16">
    <cfRule type="cellIs" dxfId="21" priority="12" operator="lessThan">
      <formula>$B$18</formula>
    </cfRule>
  </conditionalFormatting>
  <conditionalFormatting sqref="B18">
    <cfRule type="cellIs" dxfId="20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9" priority="25" operator="lessThan">
      <formula>0</formula>
    </cfRule>
  </conditionalFormatting>
  <conditionalFormatting sqref="E14">
    <cfRule type="cellIs" dxfId="18" priority="17" operator="greaterThan">
      <formula>$B$16</formula>
    </cfRule>
  </conditionalFormatting>
  <conditionalFormatting sqref="E51:F51">
    <cfRule type="cellIs" dxfId="17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6" priority="13">
      <formula>LEN(TRIM(E28))=0</formula>
    </cfRule>
  </conditionalFormatting>
  <conditionalFormatting sqref="F16">
    <cfRule type="cellIs" dxfId="15" priority="20" operator="greaterThan">
      <formula>$B$16</formula>
    </cfRule>
  </conditionalFormatting>
  <conditionalFormatting sqref="G16">
    <cfRule type="cellIs" dxfId="14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0" sqref="C10"/>
    </sheetView>
  </sheetViews>
  <sheetFormatPr defaultColWidth="12.42578125" defaultRowHeight="15" customHeight="1"/>
  <cols>
    <col min="1" max="1" width="1.42578125" style="3" customWidth="1"/>
    <col min="2" max="2" width="26.42578125" style="3" customWidth="1"/>
    <col min="3" max="13" width="24.5703125" style="3" customWidth="1"/>
    <col min="14" max="16384" width="12.4257812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57">
        <v>44926</v>
      </c>
      <c r="D3" s="6"/>
      <c r="E3" s="92">
        <v>1</v>
      </c>
      <c r="F3" s="159">
        <f t="array" ref="F3">AVERAGE(C19:INDEX(C19:M19,1,E3))</f>
        <v>-13458</v>
      </c>
      <c r="G3" s="6"/>
      <c r="H3" s="5"/>
      <c r="I3" s="6"/>
      <c r="J3" s="91"/>
      <c r="K3" s="6"/>
      <c r="L3" s="6"/>
      <c r="M3" s="6"/>
    </row>
    <row r="4" spans="1:14" ht="15.75" customHeight="1">
      <c r="A4" s="9"/>
      <c r="B4" s="5" t="s">
        <v>40</v>
      </c>
      <c r="C4" s="129">
        <v>1000</v>
      </c>
      <c r="D4" s="6"/>
      <c r="E4" s="28">
        <f>E3</f>
        <v>1</v>
      </c>
      <c r="F4" s="158">
        <f>AVERAGE(C16:INDEX(C16:M16,1,E4))</f>
        <v>282282</v>
      </c>
      <c r="G4" s="6"/>
      <c r="I4" s="6"/>
      <c r="J4" s="50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03">
        <f>C3</f>
        <v>44926</v>
      </c>
      <c r="D6" s="104">
        <f>EOMONTH(EDATE(C6,-12),0)</f>
        <v>44561</v>
      </c>
      <c r="E6" s="104">
        <f t="shared" ref="E6:M6" si="0">EOMONTH(EDATE(D6,-12),0)</f>
        <v>44196</v>
      </c>
      <c r="F6" s="104">
        <f t="shared" si="0"/>
        <v>43830</v>
      </c>
      <c r="G6" s="104">
        <f t="shared" si="0"/>
        <v>43465</v>
      </c>
      <c r="H6" s="104">
        <f t="shared" si="0"/>
        <v>43100</v>
      </c>
      <c r="I6" s="104">
        <f t="shared" si="0"/>
        <v>42735</v>
      </c>
      <c r="J6" s="104">
        <f t="shared" si="0"/>
        <v>42369</v>
      </c>
      <c r="K6" s="104">
        <f t="shared" si="0"/>
        <v>42004</v>
      </c>
      <c r="L6" s="104">
        <f t="shared" si="0"/>
        <v>41639</v>
      </c>
      <c r="M6" s="104">
        <f t="shared" si="0"/>
        <v>41274</v>
      </c>
    </row>
    <row r="7" spans="1:14" ht="15.75" customHeight="1">
      <c r="A7" s="9"/>
      <c r="B7" s="140" t="s">
        <v>41</v>
      </c>
      <c r="C7" s="141">
        <v>924200</v>
      </c>
      <c r="D7" s="141">
        <v>1198013</v>
      </c>
      <c r="E7" s="141">
        <v>1028541</v>
      </c>
      <c r="F7" s="141">
        <v>699593</v>
      </c>
      <c r="G7" s="141"/>
      <c r="H7" s="141"/>
      <c r="I7" s="141"/>
      <c r="J7" s="141"/>
      <c r="K7" s="141"/>
      <c r="L7" s="141"/>
      <c r="M7" s="141"/>
      <c r="N7" s="6"/>
    </row>
    <row r="8" spans="1:14" ht="15.75" customHeight="1">
      <c r="A8" s="9"/>
      <c r="B8" s="136" t="s">
        <v>42</v>
      </c>
      <c r="C8" s="130">
        <f t="shared" ref="C8:L8" si="1">IF(D7="","",C7/D7-1)</f>
        <v>-0.22855595056147138</v>
      </c>
      <c r="D8" s="130">
        <f t="shared" si="1"/>
        <v>0.16476931887012758</v>
      </c>
      <c r="E8" s="130">
        <f t="shared" si="1"/>
        <v>0.47019910147757349</v>
      </c>
      <c r="F8" s="130" t="str">
        <f t="shared" si="1"/>
        <v/>
      </c>
      <c r="G8" s="130" t="str">
        <f t="shared" si="1"/>
        <v/>
      </c>
      <c r="H8" s="130" t="str">
        <f t="shared" si="1"/>
        <v/>
      </c>
      <c r="I8" s="130" t="str">
        <f t="shared" si="1"/>
        <v/>
      </c>
      <c r="J8" s="130" t="str">
        <f t="shared" si="1"/>
        <v/>
      </c>
      <c r="K8" s="130" t="str">
        <f t="shared" si="1"/>
        <v/>
      </c>
      <c r="L8" s="130" t="str">
        <f t="shared" si="1"/>
        <v/>
      </c>
      <c r="M8" s="130"/>
      <c r="N8" s="6"/>
    </row>
    <row r="9" spans="1:14" ht="15.75" customHeight="1">
      <c r="A9" s="9"/>
      <c r="B9" s="136" t="s">
        <v>43</v>
      </c>
      <c r="C9" s="129">
        <v>149665</v>
      </c>
      <c r="D9" s="129">
        <v>270763</v>
      </c>
      <c r="E9" s="129">
        <v>398163</v>
      </c>
      <c r="F9" s="129">
        <v>336621</v>
      </c>
      <c r="G9" s="129"/>
      <c r="H9" s="129"/>
      <c r="I9" s="129"/>
      <c r="J9" s="129"/>
      <c r="K9" s="129"/>
      <c r="L9" s="129"/>
      <c r="M9" s="129"/>
      <c r="N9" s="6"/>
    </row>
    <row r="10" spans="1:14" ht="15.75" customHeight="1">
      <c r="A10" s="9"/>
      <c r="B10" s="136" t="s">
        <v>44</v>
      </c>
      <c r="C10" s="130">
        <f t="shared" ref="C10:M10" si="2">IF(C7="","",(C7-C9)/C7)</f>
        <v>0.83805994373512227</v>
      </c>
      <c r="D10" s="130">
        <f t="shared" si="2"/>
        <v>0.77398993166184338</v>
      </c>
      <c r="E10" s="130">
        <f t="shared" si="2"/>
        <v>0.61288563119992301</v>
      </c>
      <c r="F10" s="130">
        <f t="shared" si="2"/>
        <v>0.51883309295547553</v>
      </c>
      <c r="G10" s="130" t="str">
        <f t="shared" si="2"/>
        <v/>
      </c>
      <c r="H10" s="130" t="str">
        <f t="shared" si="2"/>
        <v/>
      </c>
      <c r="I10" s="130" t="str">
        <f t="shared" si="2"/>
        <v/>
      </c>
      <c r="J10" s="130" t="str">
        <f t="shared" si="2"/>
        <v/>
      </c>
      <c r="K10" s="130" t="str">
        <f t="shared" si="2"/>
        <v/>
      </c>
      <c r="L10" s="130" t="str">
        <f t="shared" si="2"/>
        <v/>
      </c>
      <c r="M10" s="130" t="str">
        <f t="shared" si="2"/>
        <v/>
      </c>
      <c r="N10" s="6"/>
    </row>
    <row r="11" spans="1:14" ht="15.75" customHeight="1">
      <c r="A11" s="9"/>
      <c r="B11" s="136" t="s">
        <v>45</v>
      </c>
      <c r="C11" s="129">
        <f>162582+235577</f>
        <v>398159</v>
      </c>
      <c r="D11" s="129">
        <f>136252+220149</f>
        <v>356401</v>
      </c>
      <c r="E11" s="129">
        <v>124222</v>
      </c>
      <c r="F11" s="129">
        <v>94347</v>
      </c>
      <c r="G11" s="129"/>
      <c r="H11" s="129"/>
      <c r="I11" s="129"/>
      <c r="J11" s="129"/>
      <c r="K11" s="129"/>
      <c r="L11" s="129"/>
      <c r="M11" s="129"/>
      <c r="N11" s="6"/>
    </row>
    <row r="12" spans="1:14" ht="15.75" customHeight="1">
      <c r="A12" s="9"/>
      <c r="B12" s="136" t="s">
        <v>46</v>
      </c>
      <c r="C12" s="130">
        <f t="shared" ref="C12:M12" si="3">IF(C7="","",C10-C13)</f>
        <v>0.43081475871023589</v>
      </c>
      <c r="D12" s="130">
        <f t="shared" si="3"/>
        <v>0.29749343287593705</v>
      </c>
      <c r="E12" s="130">
        <f t="shared" si="3"/>
        <v>0.1207749618148426</v>
      </c>
      <c r="F12" s="130">
        <f t="shared" si="3"/>
        <v>0.13485983993550532</v>
      </c>
      <c r="G12" s="130" t="str">
        <f t="shared" si="3"/>
        <v/>
      </c>
      <c r="H12" s="130" t="str">
        <f t="shared" si="3"/>
        <v/>
      </c>
      <c r="I12" s="130" t="str">
        <f t="shared" si="3"/>
        <v/>
      </c>
      <c r="J12" s="130" t="str">
        <f t="shared" si="3"/>
        <v/>
      </c>
      <c r="K12" s="130" t="str">
        <f t="shared" si="3"/>
        <v/>
      </c>
      <c r="L12" s="130" t="str">
        <f t="shared" si="3"/>
        <v/>
      </c>
      <c r="M12" s="130" t="str">
        <f t="shared" si="3"/>
        <v/>
      </c>
      <c r="N12" s="6"/>
    </row>
    <row r="13" spans="1:14" ht="15.75" customHeight="1">
      <c r="A13" s="9"/>
      <c r="B13" s="136" t="s">
        <v>47</v>
      </c>
      <c r="C13" s="130">
        <f t="shared" ref="C13:M13" si="4">IF(C14="","",C14/C7)</f>
        <v>0.40724518502488638</v>
      </c>
      <c r="D13" s="130">
        <f t="shared" si="4"/>
        <v>0.47649649878590633</v>
      </c>
      <c r="E13" s="130">
        <f t="shared" si="4"/>
        <v>0.49211066938508041</v>
      </c>
      <c r="F13" s="130">
        <f t="shared" si="4"/>
        <v>0.38397325301997021</v>
      </c>
      <c r="G13" s="130" t="str">
        <f t="shared" si="4"/>
        <v/>
      </c>
      <c r="H13" s="130" t="str">
        <f t="shared" si="4"/>
        <v/>
      </c>
      <c r="I13" s="130" t="str">
        <f t="shared" si="4"/>
        <v/>
      </c>
      <c r="J13" s="130" t="str">
        <f t="shared" si="4"/>
        <v/>
      </c>
      <c r="K13" s="130" t="str">
        <f t="shared" si="4"/>
        <v/>
      </c>
      <c r="L13" s="130" t="str">
        <f t="shared" si="4"/>
        <v/>
      </c>
      <c r="M13" s="130" t="str">
        <f t="shared" si="4"/>
        <v/>
      </c>
      <c r="N13" s="6"/>
    </row>
    <row r="14" spans="1:14" ht="15.75" customHeight="1">
      <c r="A14" s="9"/>
      <c r="B14" s="136" t="s">
        <v>48</v>
      </c>
      <c r="C14" s="48">
        <f t="shared" ref="C14:M14" si="5">IF(C7="","",C7-C9-C11)</f>
        <v>376376</v>
      </c>
      <c r="D14" s="48">
        <f t="shared" si="5"/>
        <v>570849</v>
      </c>
      <c r="E14" s="48">
        <f t="shared" si="5"/>
        <v>506156</v>
      </c>
      <c r="F14" s="48">
        <f t="shared" si="5"/>
        <v>268625</v>
      </c>
      <c r="G14" s="48" t="str">
        <f t="shared" si="5"/>
        <v/>
      </c>
      <c r="H14" s="48" t="str">
        <f t="shared" si="5"/>
        <v/>
      </c>
      <c r="I14" s="48" t="str">
        <f t="shared" si="5"/>
        <v/>
      </c>
      <c r="J14" s="48" t="str">
        <f t="shared" si="5"/>
        <v/>
      </c>
      <c r="K14" s="48" t="str">
        <f t="shared" si="5"/>
        <v/>
      </c>
      <c r="L14" s="48" t="str">
        <f t="shared" si="5"/>
        <v/>
      </c>
      <c r="M14" s="48" t="str">
        <f t="shared" si="5"/>
        <v/>
      </c>
      <c r="N14" s="6"/>
    </row>
    <row r="15" spans="1:14" ht="15.75" customHeight="1">
      <c r="A15" s="9"/>
      <c r="B15" s="136" t="s">
        <v>49</v>
      </c>
      <c r="C15" s="130">
        <f>IF(D14="","",IF(ABS(C14+D14)=ABS(C14)+ABS(D14),IF(C14&lt;0,-1,1)*(C14-D14)/D14,"Turn"))</f>
        <v>-0.34067327787208174</v>
      </c>
      <c r="D15" s="130">
        <f t="shared" ref="D15:M15" si="6">IF(E14="","",IF(ABS(D14+E14)=ABS(D14)+ABS(E14),IF(D14&lt;0,-1,1)*(D14-E14)/E14,"Turn"))</f>
        <v>0.12781237405068793</v>
      </c>
      <c r="E15" s="130">
        <f t="shared" si="6"/>
        <v>0.8842475570032573</v>
      </c>
      <c r="F15" s="130" t="str">
        <f t="shared" si="6"/>
        <v/>
      </c>
      <c r="G15" s="130" t="str">
        <f t="shared" si="6"/>
        <v/>
      </c>
      <c r="H15" s="130" t="str">
        <f t="shared" si="6"/>
        <v/>
      </c>
      <c r="I15" s="130" t="str">
        <f t="shared" si="6"/>
        <v/>
      </c>
      <c r="J15" s="130" t="str">
        <f t="shared" si="6"/>
        <v/>
      </c>
      <c r="K15" s="130" t="str">
        <f t="shared" si="6"/>
        <v/>
      </c>
      <c r="L15" s="130" t="str">
        <f t="shared" si="6"/>
        <v/>
      </c>
      <c r="M15" s="130" t="str">
        <f t="shared" si="6"/>
        <v/>
      </c>
      <c r="N15" s="6"/>
    </row>
    <row r="16" spans="1:14" ht="15.75" customHeight="1">
      <c r="A16" s="9"/>
      <c r="B16" s="136" t="s">
        <v>50</v>
      </c>
      <c r="C16" s="48">
        <f>IF(C14="","",C14*(1-Val_Models!$F$18))</f>
        <v>282282</v>
      </c>
      <c r="D16" s="48">
        <f>IF(D14="","",D14*(1-Val_Models!$F$18))</f>
        <v>428136.75</v>
      </c>
      <c r="E16" s="48">
        <f>IF(E14="","",E14*(1-Val_Models!$F$18))</f>
        <v>379617</v>
      </c>
      <c r="F16" s="48">
        <f>IF(F14="","",F14*(1-Val_Models!$F$18))</f>
        <v>201468.75</v>
      </c>
      <c r="G16" s="48" t="str">
        <f>IF(G14="","",G14*(1-Val_Models!$F$18))</f>
        <v/>
      </c>
      <c r="H16" s="48" t="str">
        <f>IF(H14="","",H14*(1-Val_Models!$F$18))</f>
        <v/>
      </c>
      <c r="I16" s="48" t="str">
        <f>IF(I14="","",I14*(1-Val_Models!$F$18))</f>
        <v/>
      </c>
      <c r="J16" s="48" t="str">
        <f>IF(J14="","",J14*(1-Val_Models!$F$18))</f>
        <v/>
      </c>
      <c r="K16" s="48" t="str">
        <f>IF(K14="","",K14*(1-Val_Models!$F$18))</f>
        <v/>
      </c>
      <c r="L16" s="48" t="str">
        <f>IF(L14="","",L14*(1-Val_Models!$F$18))</f>
        <v/>
      </c>
      <c r="M16" s="48" t="str">
        <f>IF(M14="","",M14*(1-Val_Models!$F$18))</f>
        <v/>
      </c>
      <c r="N16" s="6"/>
    </row>
    <row r="17" spans="1:14" ht="15.75" customHeight="1">
      <c r="A17" s="9"/>
      <c r="B17" s="136" t="s">
        <v>51</v>
      </c>
      <c r="C17" s="130">
        <f t="shared" ref="C17:M17" si="7">IF(C7="","",C16/C7)</f>
        <v>0.30543388876866479</v>
      </c>
      <c r="D17" s="130">
        <f t="shared" si="7"/>
        <v>0.35737237408942973</v>
      </c>
      <c r="E17" s="130">
        <f t="shared" si="7"/>
        <v>0.36908300203881034</v>
      </c>
      <c r="F17" s="130">
        <f t="shared" si="7"/>
        <v>0.28797993976497765</v>
      </c>
      <c r="G17" s="130" t="str">
        <f t="shared" si="7"/>
        <v/>
      </c>
      <c r="H17" s="130" t="str">
        <f t="shared" si="7"/>
        <v/>
      </c>
      <c r="I17" s="130" t="str">
        <f t="shared" si="7"/>
        <v/>
      </c>
      <c r="J17" s="130" t="str">
        <f t="shared" si="7"/>
        <v/>
      </c>
      <c r="K17" s="130" t="str">
        <f t="shared" si="7"/>
        <v/>
      </c>
      <c r="L17" s="130" t="str">
        <f t="shared" si="7"/>
        <v/>
      </c>
      <c r="M17" s="130" t="str">
        <f t="shared" si="7"/>
        <v/>
      </c>
      <c r="N17" s="6"/>
    </row>
    <row r="18" spans="1:14" ht="15.75" customHeight="1">
      <c r="A18" s="9"/>
      <c r="B18" s="136" t="s">
        <v>209</v>
      </c>
      <c r="C18" s="129">
        <v>30280</v>
      </c>
      <c r="D18" s="129">
        <v>135144</v>
      </c>
      <c r="E18" s="129">
        <v>140407</v>
      </c>
      <c r="F18" s="129">
        <v>108297</v>
      </c>
      <c r="G18" s="129"/>
      <c r="H18" s="129"/>
      <c r="I18" s="129"/>
      <c r="J18" s="129"/>
      <c r="K18" s="129"/>
      <c r="L18" s="129"/>
      <c r="M18" s="129"/>
      <c r="N18" s="6"/>
    </row>
    <row r="19" spans="1:14" ht="15.75" customHeight="1">
      <c r="A19" s="9"/>
      <c r="B19" s="136" t="s">
        <v>52</v>
      </c>
      <c r="C19" s="129">
        <v>-13458</v>
      </c>
      <c r="D19" s="129">
        <v>-12991790</v>
      </c>
      <c r="E19" s="129">
        <v>-717056</v>
      </c>
      <c r="F19" s="129">
        <v>-1081638</v>
      </c>
      <c r="G19" s="129"/>
      <c r="H19" s="129"/>
      <c r="I19" s="129"/>
      <c r="J19" s="129"/>
      <c r="K19" s="129"/>
      <c r="L19" s="129"/>
      <c r="M19" s="129"/>
      <c r="N19" s="6"/>
    </row>
    <row r="20" spans="1:14" ht="15.75" customHeight="1">
      <c r="A20" s="9"/>
      <c r="B20" s="136" t="s">
        <v>219</v>
      </c>
      <c r="C20" s="130">
        <f>IF(D19="","",IF(ABS(C19+D19)=ABS(C19)+ABS(D19),IF(C19&lt;0,-1,1)*(C19-D19)/D19,"Turn"))</f>
        <v>0.99896411502956872</v>
      </c>
      <c r="D20" s="130">
        <f t="shared" ref="D20:M20" si="8">IF(E19="","",IF(ABS(D19+E19)=ABS(D19)+ABS(E19),IF(D19&lt;0,-1,1)*(D19-E19)/E19,"Turn"))</f>
        <v>-17.118236232595503</v>
      </c>
      <c r="E20" s="130">
        <f t="shared" si="8"/>
        <v>0.3370647111140696</v>
      </c>
      <c r="F20" s="130" t="str">
        <f t="shared" si="8"/>
        <v/>
      </c>
      <c r="G20" s="130" t="str">
        <f t="shared" si="8"/>
        <v/>
      </c>
      <c r="H20" s="130" t="str">
        <f t="shared" si="8"/>
        <v/>
      </c>
      <c r="I20" s="130" t="str">
        <f t="shared" si="8"/>
        <v/>
      </c>
      <c r="J20" s="130" t="str">
        <f t="shared" si="8"/>
        <v/>
      </c>
      <c r="K20" s="130" t="str">
        <f t="shared" si="8"/>
        <v/>
      </c>
      <c r="L20" s="130" t="str">
        <f t="shared" si="8"/>
        <v/>
      </c>
      <c r="M20" s="130" t="str">
        <f t="shared" si="8"/>
        <v/>
      </c>
      <c r="N20" s="6"/>
    </row>
    <row r="21" spans="1:14" ht="15.75" customHeight="1">
      <c r="A21" s="9"/>
      <c r="B21" s="136" t="s">
        <v>314</v>
      </c>
      <c r="C21" s="131">
        <v>11924356</v>
      </c>
      <c r="D21" s="129">
        <v>11808265</v>
      </c>
      <c r="E21" s="129">
        <v>6136803</v>
      </c>
      <c r="F21" s="129">
        <v>3771652</v>
      </c>
      <c r="G21" s="129"/>
      <c r="H21" s="129"/>
      <c r="I21" s="129"/>
      <c r="J21" s="129"/>
      <c r="K21" s="129"/>
      <c r="L21" s="129"/>
      <c r="M21" s="129"/>
      <c r="N21" s="6"/>
    </row>
    <row r="22" spans="1:14" ht="15.75" customHeight="1">
      <c r="A22" s="9"/>
      <c r="B22" s="136" t="s">
        <v>93</v>
      </c>
      <c r="C22" s="131">
        <v>11098580</v>
      </c>
      <c r="D22" s="129">
        <v>11219637</v>
      </c>
      <c r="E22" s="129">
        <v>5753012</v>
      </c>
      <c r="F22" s="129">
        <v>3489602</v>
      </c>
      <c r="G22" s="129"/>
      <c r="H22" s="129"/>
      <c r="I22" s="129"/>
      <c r="J22" s="129"/>
      <c r="K22" s="129"/>
      <c r="L22" s="129"/>
      <c r="M22" s="129"/>
      <c r="N22" s="6"/>
    </row>
    <row r="23" spans="1:14" ht="15.75" customHeight="1">
      <c r="A23" s="9"/>
      <c r="B23" s="136" t="s">
        <v>53</v>
      </c>
      <c r="C23" s="131">
        <v>1937845</v>
      </c>
      <c r="D23" s="129">
        <v>2024596</v>
      </c>
      <c r="E23" s="129">
        <v>9408613</v>
      </c>
      <c r="F23" s="129">
        <v>6338479</v>
      </c>
      <c r="G23" s="129"/>
      <c r="H23" s="129"/>
      <c r="I23" s="129"/>
      <c r="J23" s="129"/>
      <c r="K23" s="129"/>
      <c r="L23" s="129"/>
      <c r="M23" s="129"/>
      <c r="N23" s="6"/>
    </row>
    <row r="24" spans="1:14" ht="15.6" customHeight="1">
      <c r="A24" s="9"/>
      <c r="B24" s="136" t="s">
        <v>54</v>
      </c>
      <c r="C24" s="131">
        <v>29464</v>
      </c>
      <c r="D24" s="129">
        <v>1195554</v>
      </c>
      <c r="E24" s="129">
        <v>2707794</v>
      </c>
      <c r="F24" s="129">
        <v>1053656</v>
      </c>
      <c r="G24" s="129"/>
      <c r="H24" s="129"/>
      <c r="I24" s="129"/>
      <c r="J24" s="129"/>
      <c r="K24" s="129"/>
      <c r="L24" s="129"/>
      <c r="M24" s="129"/>
      <c r="N24" s="6"/>
    </row>
    <row r="25" spans="1:14" ht="15.75" customHeight="1">
      <c r="A25" s="9"/>
      <c r="B25" s="137" t="s">
        <v>55</v>
      </c>
      <c r="C25" s="132">
        <v>19452</v>
      </c>
      <c r="D25" s="133">
        <v>18476</v>
      </c>
      <c r="E25" s="133">
        <v>10915</v>
      </c>
      <c r="F25" s="133">
        <v>8110</v>
      </c>
      <c r="G25" s="133"/>
      <c r="H25" s="133"/>
      <c r="I25" s="133"/>
      <c r="J25" s="133"/>
      <c r="K25" s="133"/>
      <c r="L25" s="133"/>
      <c r="M25" s="133"/>
      <c r="N25" s="6"/>
    </row>
    <row r="26" spans="1:14" ht="15.75" customHeight="1">
      <c r="A26" s="9"/>
      <c r="B26" s="136" t="s">
        <v>56</v>
      </c>
      <c r="C26" s="131">
        <v>29983</v>
      </c>
      <c r="D26" s="129">
        <v>61277</v>
      </c>
      <c r="E26" s="129">
        <v>51229</v>
      </c>
      <c r="F26" s="129">
        <v>23195</v>
      </c>
      <c r="G26" s="129"/>
      <c r="H26" s="129"/>
      <c r="I26" s="129"/>
      <c r="J26" s="129"/>
      <c r="K26" s="129"/>
      <c r="L26" s="129"/>
      <c r="M26" s="129"/>
      <c r="N26" s="6"/>
    </row>
    <row r="27" spans="1:14" ht="15.75" customHeight="1">
      <c r="A27" s="9"/>
      <c r="B27" s="137" t="s">
        <v>57</v>
      </c>
      <c r="C27" s="134">
        <v>29983</v>
      </c>
      <c r="D27" s="133">
        <v>48063</v>
      </c>
      <c r="E27" s="133">
        <v>38071</v>
      </c>
      <c r="F27" s="133">
        <v>503</v>
      </c>
      <c r="G27" s="133"/>
      <c r="H27" s="133"/>
      <c r="I27" s="133"/>
      <c r="J27" s="133"/>
      <c r="K27" s="133"/>
      <c r="L27" s="133"/>
      <c r="M27" s="133"/>
      <c r="N27" s="6"/>
    </row>
    <row r="28" spans="1:14" ht="15.75" customHeight="1">
      <c r="A28" s="9"/>
      <c r="B28" s="136" t="s">
        <v>58</v>
      </c>
      <c r="C28" s="48">
        <f t="shared" ref="C28:M28" si="9">IF(C7="","",C24+C26)</f>
        <v>59447</v>
      </c>
      <c r="D28" s="48">
        <f t="shared" si="9"/>
        <v>1256831</v>
      </c>
      <c r="E28" s="48">
        <f t="shared" si="9"/>
        <v>2759023</v>
      </c>
      <c r="F28" s="48">
        <f t="shared" si="9"/>
        <v>1076851</v>
      </c>
      <c r="G28" s="48" t="str">
        <f t="shared" si="9"/>
        <v/>
      </c>
      <c r="H28" s="48" t="str">
        <f t="shared" si="9"/>
        <v/>
      </c>
      <c r="I28" s="48" t="str">
        <f t="shared" si="9"/>
        <v/>
      </c>
      <c r="J28" s="48" t="str">
        <f t="shared" si="9"/>
        <v/>
      </c>
      <c r="K28" s="48" t="str">
        <f t="shared" si="9"/>
        <v/>
      </c>
      <c r="L28" s="48" t="str">
        <f t="shared" si="9"/>
        <v/>
      </c>
      <c r="M28" s="48" t="str">
        <f t="shared" si="9"/>
        <v/>
      </c>
      <c r="N28" s="6"/>
    </row>
    <row r="29" spans="1:14" ht="15.75" customHeight="1">
      <c r="A29" s="9"/>
      <c r="B29" s="136" t="s">
        <v>59</v>
      </c>
      <c r="C29" s="131">
        <v>9956528</v>
      </c>
      <c r="D29" s="129">
        <v>9722107</v>
      </c>
      <c r="E29" s="129">
        <v>-3323489</v>
      </c>
      <c r="F29" s="129">
        <v>-2590443</v>
      </c>
      <c r="G29" s="129"/>
      <c r="H29" s="129"/>
      <c r="I29" s="129"/>
      <c r="J29" s="129"/>
      <c r="K29" s="129"/>
      <c r="L29" s="129"/>
      <c r="M29" s="129"/>
      <c r="N29" s="6"/>
    </row>
    <row r="30" spans="1:14" ht="15.75" customHeight="1">
      <c r="A30" s="9"/>
      <c r="B30" s="137" t="s">
        <v>181</v>
      </c>
      <c r="C30" s="134">
        <v>9957299</v>
      </c>
      <c r="D30" s="133">
        <v>9714578</v>
      </c>
      <c r="E30" s="133">
        <v>-3329901</v>
      </c>
      <c r="F30" s="133">
        <v>-2595281</v>
      </c>
      <c r="G30" s="133"/>
      <c r="H30" s="133"/>
      <c r="I30" s="133"/>
      <c r="J30" s="133"/>
      <c r="K30" s="133"/>
      <c r="L30" s="133"/>
      <c r="M30" s="133"/>
      <c r="N30" s="6"/>
    </row>
    <row r="31" spans="1:14" ht="15.75" customHeight="1">
      <c r="A31" s="9"/>
      <c r="B31" s="136" t="s">
        <v>309</v>
      </c>
      <c r="C31" s="131">
        <v>69919</v>
      </c>
      <c r="D31" s="129">
        <v>92416</v>
      </c>
      <c r="E31" s="129">
        <v>68053</v>
      </c>
      <c r="F31" s="129">
        <v>21197</v>
      </c>
      <c r="G31" s="129"/>
      <c r="H31" s="129"/>
      <c r="I31" s="129"/>
      <c r="J31" s="129"/>
      <c r="K31" s="129"/>
      <c r="L31" s="129"/>
      <c r="M31" s="129"/>
      <c r="N31" s="6"/>
    </row>
    <row r="32" spans="1:14" ht="15.75" customHeight="1">
      <c r="A32" s="9"/>
      <c r="B32" s="136" t="s">
        <v>192</v>
      </c>
      <c r="C32" s="131">
        <v>5731387</v>
      </c>
      <c r="D32" s="129">
        <v>4927885</v>
      </c>
      <c r="E32" s="129">
        <v>587337</v>
      </c>
      <c r="F32" s="129">
        <v>390027</v>
      </c>
      <c r="G32" s="129"/>
      <c r="H32" s="129"/>
      <c r="I32" s="129"/>
      <c r="J32" s="129"/>
      <c r="K32" s="129"/>
      <c r="L32" s="129"/>
      <c r="M32" s="129"/>
      <c r="N32" s="6"/>
    </row>
    <row r="33" spans="1:14" ht="15.75" customHeight="1">
      <c r="A33" s="9"/>
      <c r="B33" s="136" t="s">
        <v>332</v>
      </c>
      <c r="C33" s="142">
        <f>Val_Models!F21</f>
        <v>105067</v>
      </c>
      <c r="D33" s="142">
        <f>D31-E31+Val_Models!E21</f>
        <v>101343</v>
      </c>
      <c r="E33" s="142">
        <f>E31-F31+Val_Models!D21</f>
        <v>89534</v>
      </c>
      <c r="F33" s="142"/>
      <c r="G33" s="142" t="str">
        <f t="shared" ref="G33:M33" si="10">IF(H7="","",G31-H31+IF($C$58="Yes",G60,0))</f>
        <v/>
      </c>
      <c r="H33" s="142" t="str">
        <f t="shared" si="10"/>
        <v/>
      </c>
      <c r="I33" s="142" t="str">
        <f t="shared" si="10"/>
        <v/>
      </c>
      <c r="J33" s="142" t="str">
        <f t="shared" si="10"/>
        <v/>
      </c>
      <c r="K33" s="142" t="str">
        <f t="shared" si="10"/>
        <v/>
      </c>
      <c r="L33" s="142" t="str">
        <f t="shared" si="10"/>
        <v/>
      </c>
      <c r="M33" s="142" t="str">
        <f t="shared" si="10"/>
        <v/>
      </c>
      <c r="N33" s="6"/>
    </row>
    <row r="34" spans="1:14" ht="15.75" customHeight="1">
      <c r="A34" s="9"/>
      <c r="B34" s="136" t="s">
        <v>312</v>
      </c>
      <c r="C34" s="142">
        <v>0</v>
      </c>
      <c r="D34" s="142">
        <v>0</v>
      </c>
      <c r="E34" s="142">
        <v>0</v>
      </c>
      <c r="F34" s="142"/>
      <c r="G34" s="142"/>
      <c r="H34" s="142"/>
      <c r="I34" s="142"/>
      <c r="J34" s="142"/>
      <c r="K34" s="142"/>
      <c r="L34" s="142"/>
      <c r="M34" s="142"/>
      <c r="N34" s="6"/>
    </row>
    <row r="35" spans="1:14" ht="15.75" customHeight="1">
      <c r="A35" s="9"/>
      <c r="B35" s="136" t="s">
        <v>60</v>
      </c>
      <c r="C35" s="135">
        <f>IF(D7="","",IF(C8&lt;0,0,(C7-D7)*Asset_Model!$D$68))</f>
        <v>0</v>
      </c>
      <c r="D35" s="135">
        <f>IF(E7="","",IF(D8&lt;0,0,(D7-E7)*Asset_Model!$D$68))</f>
        <v>33894.400000000001</v>
      </c>
      <c r="E35" s="135">
        <f>IF(F7="","",IF(E8&lt;0,0,(E7-F7)*Asset_Model!$D$68))</f>
        <v>65789.600000000006</v>
      </c>
      <c r="F35" s="135" t="str">
        <f>IF(G7="","",IF(F8&lt;0,0,(F7-G7)*Asset_Model!$D$68))</f>
        <v/>
      </c>
      <c r="G35" s="135" t="str">
        <f>IF(H7="","",IF(G8&lt;0,0,(G7-H7)*Asset_Model!$D$68))</f>
        <v/>
      </c>
      <c r="H35" s="135" t="str">
        <f>IF(I7="","",IF(H8&lt;0,0,(H7-I7)*Asset_Model!$D$68))</f>
        <v/>
      </c>
      <c r="I35" s="135" t="str">
        <f>IF(J7="","",IF(I8&lt;0,0,(I7-J7)*Asset_Model!$D$68))</f>
        <v/>
      </c>
      <c r="J35" s="135" t="str">
        <f>IF(K7="","",IF(J8&lt;0,0,(J7-K7)*Asset_Model!$D$68))</f>
        <v/>
      </c>
      <c r="K35" s="135" t="str">
        <f>IF(L7="","",IF(K8&lt;0,0,(K7-L7)*Asset_Model!$D$68))</f>
        <v/>
      </c>
      <c r="L35" s="135" t="str">
        <f>IF(M7="","",IF(L8&lt;0,0,(L7-M7)*Asset_Model!$D$68))</f>
        <v/>
      </c>
      <c r="M35" s="135" t="str">
        <f>IF(N7="","",IF(M8&lt;0,0,(M7-N7)*Asset_Model!$D$68))</f>
        <v/>
      </c>
      <c r="N35" s="6"/>
    </row>
    <row r="36" spans="1:14" ht="15.75" customHeight="1">
      <c r="A36" s="9"/>
      <c r="B36" s="136" t="s">
        <v>68</v>
      </c>
      <c r="C36" s="48">
        <f>IF(D7="","",C33+C35+IF($C$58="yes",C60,0))</f>
        <v>105067</v>
      </c>
      <c r="D36" s="48">
        <f t="shared" ref="D36:M36" si="11">IF(E7="","",D33+D35+IF($C$58="yes",D60,0))</f>
        <v>135237.4</v>
      </c>
      <c r="E36" s="48">
        <f t="shared" si="11"/>
        <v>155323.6</v>
      </c>
      <c r="F36" s="48" t="str">
        <f t="shared" si="11"/>
        <v/>
      </c>
      <c r="G36" s="48" t="str">
        <f t="shared" si="11"/>
        <v/>
      </c>
      <c r="H36" s="48" t="str">
        <f t="shared" si="11"/>
        <v/>
      </c>
      <c r="I36" s="48" t="str">
        <f t="shared" si="11"/>
        <v/>
      </c>
      <c r="J36" s="48" t="str">
        <f t="shared" si="11"/>
        <v/>
      </c>
      <c r="K36" s="48" t="str">
        <f t="shared" si="11"/>
        <v/>
      </c>
      <c r="L36" s="48" t="str">
        <f t="shared" si="11"/>
        <v/>
      </c>
      <c r="M36" s="48" t="str">
        <f t="shared" si="11"/>
        <v/>
      </c>
      <c r="N36" s="6"/>
    </row>
    <row r="37" spans="1:14" ht="15.75" customHeight="1">
      <c r="A37" s="9"/>
      <c r="B37" s="136" t="s">
        <v>343</v>
      </c>
      <c r="C37" s="130">
        <f>IF(C36="","",C36/C7)</f>
        <v>0.11368426747457261</v>
      </c>
      <c r="D37" s="130">
        <f t="shared" ref="D37:M37" si="12">IF(D36="","",D36/D7)</f>
        <v>0.11288475166797021</v>
      </c>
      <c r="E37" s="130">
        <f t="shared" si="12"/>
        <v>0.15101352303894547</v>
      </c>
      <c r="F37" s="130" t="str">
        <f t="shared" si="12"/>
        <v/>
      </c>
      <c r="G37" s="130" t="str">
        <f t="shared" si="12"/>
        <v/>
      </c>
      <c r="H37" s="130" t="str">
        <f t="shared" si="12"/>
        <v/>
      </c>
      <c r="I37" s="130" t="str">
        <f t="shared" si="12"/>
        <v/>
      </c>
      <c r="J37" s="130" t="str">
        <f t="shared" si="12"/>
        <v/>
      </c>
      <c r="K37" s="130" t="str">
        <f t="shared" si="12"/>
        <v/>
      </c>
      <c r="L37" s="130" t="str">
        <f t="shared" si="12"/>
        <v/>
      </c>
      <c r="M37" s="130" t="str">
        <f t="shared" si="12"/>
        <v/>
      </c>
      <c r="N37" s="6"/>
    </row>
    <row r="38" spans="1:14" ht="15.75" customHeight="1">
      <c r="A38" s="9"/>
      <c r="B38" s="138" t="s">
        <v>344</v>
      </c>
      <c r="C38" s="139">
        <f>IF(C36="","",C36/C16)</f>
        <v>0.37220580837602113</v>
      </c>
      <c r="D38" s="139">
        <f t="shared" ref="D38:M38" si="13">IF(D36="","",D36/D16)</f>
        <v>0.31587430885108553</v>
      </c>
      <c r="E38" s="139">
        <f t="shared" si="13"/>
        <v>0.40915870469446841</v>
      </c>
      <c r="F38" s="139" t="str">
        <f t="shared" si="13"/>
        <v/>
      </c>
      <c r="G38" s="139" t="str">
        <f t="shared" si="13"/>
        <v/>
      </c>
      <c r="H38" s="139" t="str">
        <f t="shared" si="13"/>
        <v/>
      </c>
      <c r="I38" s="139" t="str">
        <f t="shared" si="13"/>
        <v/>
      </c>
      <c r="J38" s="139" t="str">
        <f t="shared" si="13"/>
        <v/>
      </c>
      <c r="K38" s="139" t="str">
        <f t="shared" si="13"/>
        <v/>
      </c>
      <c r="L38" s="139" t="str">
        <f t="shared" si="13"/>
        <v/>
      </c>
      <c r="M38" s="139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40" t="s">
        <v>210</v>
      </c>
      <c r="C40" s="144">
        <v>0</v>
      </c>
      <c r="D40" s="144">
        <v>0</v>
      </c>
      <c r="E40" s="144">
        <v>0</v>
      </c>
      <c r="F40" s="144">
        <v>0</v>
      </c>
      <c r="G40" s="144"/>
      <c r="H40" s="144"/>
      <c r="I40" s="144"/>
      <c r="J40" s="144"/>
      <c r="K40" s="144"/>
      <c r="L40" s="144"/>
      <c r="M40" s="144"/>
      <c r="N40" s="6"/>
    </row>
    <row r="41" spans="1:14" ht="15.75" customHeight="1">
      <c r="A41" s="9"/>
      <c r="B41" s="136" t="s">
        <v>62</v>
      </c>
      <c r="C41" s="142">
        <v>58526</v>
      </c>
      <c r="D41" s="142">
        <v>246343</v>
      </c>
      <c r="E41" s="142">
        <v>0</v>
      </c>
      <c r="F41" s="142">
        <v>0</v>
      </c>
      <c r="G41" s="142"/>
      <c r="H41" s="142"/>
      <c r="I41" s="142"/>
      <c r="J41" s="142"/>
      <c r="K41" s="142"/>
      <c r="L41" s="142"/>
      <c r="M41" s="142"/>
      <c r="N41" s="6"/>
    </row>
    <row r="42" spans="1:14" ht="15.75" customHeight="1">
      <c r="A42" s="9"/>
      <c r="B42" s="136" t="s">
        <v>177</v>
      </c>
      <c r="C42" s="143">
        <f t="shared" ref="C42:M42" si="14">IF(C40="","",C40*$C$4/Common_Shares)</f>
        <v>0</v>
      </c>
      <c r="D42" s="143">
        <f t="shared" si="14"/>
        <v>0</v>
      </c>
      <c r="E42" s="143">
        <f t="shared" si="14"/>
        <v>0</v>
      </c>
      <c r="F42" s="143">
        <f t="shared" si="14"/>
        <v>0</v>
      </c>
      <c r="G42" s="143" t="str">
        <f t="shared" si="14"/>
        <v/>
      </c>
      <c r="H42" s="143" t="str">
        <f t="shared" si="14"/>
        <v/>
      </c>
      <c r="I42" s="143" t="str">
        <f t="shared" si="14"/>
        <v/>
      </c>
      <c r="J42" s="143" t="str">
        <f t="shared" si="14"/>
        <v/>
      </c>
      <c r="K42" s="143" t="str">
        <f t="shared" si="14"/>
        <v/>
      </c>
      <c r="L42" s="143" t="str">
        <f t="shared" si="14"/>
        <v/>
      </c>
      <c r="M42" s="143" t="str">
        <f t="shared" si="14"/>
        <v/>
      </c>
      <c r="N42" s="6"/>
    </row>
    <row r="43" spans="1:14" ht="15.75" customHeight="1">
      <c r="A43" s="9"/>
      <c r="B43" s="138" t="s">
        <v>178</v>
      </c>
      <c r="C43" s="145">
        <f t="shared" ref="C43:M43" si="15">IF(C41="","",C41*$C$4/Common_Shares)</f>
        <v>2.9011182932148948E-2</v>
      </c>
      <c r="D43" s="145">
        <f t="shared" si="15"/>
        <v>0.12211157155886902</v>
      </c>
      <c r="E43" s="145">
        <f t="shared" si="15"/>
        <v>0</v>
      </c>
      <c r="F43" s="145">
        <f t="shared" si="15"/>
        <v>0</v>
      </c>
      <c r="G43" s="145" t="str">
        <f t="shared" si="15"/>
        <v/>
      </c>
      <c r="H43" s="145" t="str">
        <f t="shared" si="15"/>
        <v/>
      </c>
      <c r="I43" s="145" t="str">
        <f t="shared" si="15"/>
        <v/>
      </c>
      <c r="J43" s="145" t="str">
        <f t="shared" si="15"/>
        <v/>
      </c>
      <c r="K43" s="145" t="str">
        <f t="shared" si="15"/>
        <v/>
      </c>
      <c r="L43" s="145" t="str">
        <f t="shared" si="15"/>
        <v/>
      </c>
      <c r="M43" s="145" t="str">
        <f t="shared" si="15"/>
        <v/>
      </c>
      <c r="N43" s="6"/>
    </row>
    <row r="44" spans="1:14" ht="15.75" customHeight="1">
      <c r="A44" s="9"/>
      <c r="B44" s="51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40" t="s">
        <v>311</v>
      </c>
      <c r="C45" s="147">
        <f>IF(C30="","",(C21-C30)/C21)</f>
        <v>0.16496127757339685</v>
      </c>
      <c r="D45" s="147">
        <f>IF(D30="","",(D21-D30)/D21)</f>
        <v>0.17730691172665924</v>
      </c>
      <c r="E45" s="147">
        <f t="shared" ref="E45:M45" si="16">IF(E30="","",(E21-E30)/E21)</f>
        <v>1.5426116823368781</v>
      </c>
      <c r="F45" s="147">
        <f t="shared" si="16"/>
        <v>1.6881019245678022</v>
      </c>
      <c r="G45" s="147" t="str">
        <f t="shared" si="16"/>
        <v/>
      </c>
      <c r="H45" s="147" t="str">
        <f t="shared" si="16"/>
        <v/>
      </c>
      <c r="I45" s="147" t="str">
        <f t="shared" si="16"/>
        <v/>
      </c>
      <c r="J45" s="147" t="str">
        <f t="shared" si="16"/>
        <v/>
      </c>
      <c r="K45" s="147" t="str">
        <f t="shared" si="16"/>
        <v/>
      </c>
      <c r="L45" s="147" t="str">
        <f t="shared" si="16"/>
        <v/>
      </c>
      <c r="M45" s="147" t="str">
        <f t="shared" si="16"/>
        <v/>
      </c>
      <c r="N45" s="6"/>
    </row>
    <row r="46" spans="1:14" ht="15.75" customHeight="1">
      <c r="A46" s="9"/>
      <c r="B46" s="136" t="s">
        <v>313</v>
      </c>
      <c r="C46" s="130">
        <f t="shared" ref="C46:M46" si="17">IF(C30="","",C28/C30)</f>
        <v>5.9701933225064351E-3</v>
      </c>
      <c r="D46" s="130">
        <f t="shared" si="17"/>
        <v>0.12937576907612455</v>
      </c>
      <c r="E46" s="130">
        <f t="shared" si="17"/>
        <v>-0.82856006830233087</v>
      </c>
      <c r="F46" s="130">
        <f t="shared" si="17"/>
        <v>-0.41492655323257865</v>
      </c>
      <c r="G46" s="130" t="str">
        <f t="shared" si="17"/>
        <v/>
      </c>
      <c r="H46" s="130" t="str">
        <f t="shared" si="17"/>
        <v/>
      </c>
      <c r="I46" s="130" t="str">
        <f t="shared" si="17"/>
        <v/>
      </c>
      <c r="J46" s="130" t="str">
        <f t="shared" si="17"/>
        <v/>
      </c>
      <c r="K46" s="130" t="str">
        <f t="shared" si="17"/>
        <v/>
      </c>
      <c r="L46" s="130" t="str">
        <f t="shared" si="17"/>
        <v/>
      </c>
      <c r="M46" s="130" t="str">
        <f t="shared" si="17"/>
        <v/>
      </c>
      <c r="N46" s="6"/>
    </row>
    <row r="47" spans="1:14" ht="15.75" customHeight="1">
      <c r="A47" s="9"/>
      <c r="B47" s="136" t="s">
        <v>64</v>
      </c>
      <c r="C47" s="146">
        <f t="shared" ref="C47:M47" si="18">IF(C14="","",IF(C28&lt;=0,"-",C14/C28))</f>
        <v>6.3312866923478053</v>
      </c>
      <c r="D47" s="146">
        <f t="shared" si="18"/>
        <v>0.4541971036678758</v>
      </c>
      <c r="E47" s="146">
        <f t="shared" si="18"/>
        <v>0.18345479541127421</v>
      </c>
      <c r="F47" s="146">
        <f t="shared" si="18"/>
        <v>0.24945419561294924</v>
      </c>
      <c r="G47" s="146" t="str">
        <f t="shared" si="18"/>
        <v/>
      </c>
      <c r="H47" s="146" t="str">
        <f t="shared" si="18"/>
        <v/>
      </c>
      <c r="I47" s="146" t="str">
        <f t="shared" si="18"/>
        <v/>
      </c>
      <c r="J47" s="146" t="str">
        <f t="shared" si="18"/>
        <v/>
      </c>
      <c r="K47" s="146" t="str">
        <f t="shared" si="18"/>
        <v/>
      </c>
      <c r="L47" s="146" t="str">
        <f t="shared" si="18"/>
        <v/>
      </c>
      <c r="M47" s="146" t="str">
        <f t="shared" si="18"/>
        <v/>
      </c>
      <c r="N47" s="6"/>
    </row>
    <row r="48" spans="1:14" ht="15.75" customHeight="1">
      <c r="A48" s="9"/>
      <c r="B48" s="136" t="s">
        <v>65</v>
      </c>
      <c r="C48" s="130">
        <f>IF(C14="","",IF(C18&lt;=0,"-",C18/C14))</f>
        <v>8.0451463430186831E-2</v>
      </c>
      <c r="D48" s="130">
        <f>IF(D14="","",IF(D18&lt;=0,"-",D18/D14))</f>
        <v>0.23674211569083944</v>
      </c>
      <c r="E48" s="130">
        <f t="shared" ref="E48:M48" si="19">IF(E14="","",IF(E18&lt;=0,"-",E18/E14))</f>
        <v>0.27739866760445397</v>
      </c>
      <c r="F48" s="130">
        <f t="shared" si="19"/>
        <v>0.40315309446254072</v>
      </c>
      <c r="G48" s="130" t="str">
        <f t="shared" si="19"/>
        <v/>
      </c>
      <c r="H48" s="130" t="str">
        <f t="shared" si="19"/>
        <v/>
      </c>
      <c r="I48" s="130" t="str">
        <f t="shared" si="19"/>
        <v/>
      </c>
      <c r="J48" s="130" t="str">
        <f t="shared" si="19"/>
        <v/>
      </c>
      <c r="K48" s="130" t="str">
        <f t="shared" si="19"/>
        <v/>
      </c>
      <c r="L48" s="130" t="str">
        <f t="shared" si="19"/>
        <v/>
      </c>
      <c r="M48" s="130" t="str">
        <f t="shared" si="19"/>
        <v/>
      </c>
      <c r="N48" s="6"/>
    </row>
    <row r="49" spans="1:14" ht="15.75" customHeight="1">
      <c r="A49" s="9"/>
      <c r="B49" s="138" t="s">
        <v>66</v>
      </c>
      <c r="C49" s="148">
        <f t="shared" ref="C49:M49" si="20">IF(C22="","",C22/C23)</f>
        <v>5.7272795295805388</v>
      </c>
      <c r="D49" s="148">
        <f t="shared" si="20"/>
        <v>5.5416670782714181</v>
      </c>
      <c r="E49" s="148">
        <f t="shared" si="20"/>
        <v>0.61146228461091978</v>
      </c>
      <c r="F49" s="148">
        <f t="shared" si="20"/>
        <v>0.55054248818999008</v>
      </c>
      <c r="G49" s="148" t="str">
        <f t="shared" si="20"/>
        <v/>
      </c>
      <c r="H49" s="148" t="str">
        <f t="shared" si="20"/>
        <v/>
      </c>
      <c r="I49" s="148" t="str">
        <f t="shared" si="20"/>
        <v/>
      </c>
      <c r="J49" s="148" t="str">
        <f t="shared" si="20"/>
        <v/>
      </c>
      <c r="K49" s="148" t="str">
        <f t="shared" si="20"/>
        <v/>
      </c>
      <c r="L49" s="148" t="str">
        <f t="shared" si="20"/>
        <v/>
      </c>
      <c r="M49" s="148" t="str">
        <f t="shared" si="20"/>
        <v/>
      </c>
      <c r="N49" s="6"/>
    </row>
    <row r="50" spans="1:14" ht="15.75" customHeight="1">
      <c r="A50" s="9"/>
      <c r="B50" s="128" t="s">
        <v>284</v>
      </c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6"/>
    </row>
    <row r="51" spans="1:14" ht="15.75" customHeight="1">
      <c r="A51" s="9"/>
      <c r="B51" s="140" t="s">
        <v>285</v>
      </c>
      <c r="C51" s="147">
        <f t="shared" ref="C51:M51" si="21">C13</f>
        <v>0.40724518502488638</v>
      </c>
      <c r="D51" s="147">
        <f t="shared" si="21"/>
        <v>0.47649649878590633</v>
      </c>
      <c r="E51" s="147">
        <f t="shared" si="21"/>
        <v>0.49211066938508041</v>
      </c>
      <c r="F51" s="147">
        <f t="shared" si="21"/>
        <v>0.38397325301997021</v>
      </c>
      <c r="G51" s="147" t="str">
        <f t="shared" si="21"/>
        <v/>
      </c>
      <c r="H51" s="147" t="str">
        <f t="shared" si="21"/>
        <v/>
      </c>
      <c r="I51" s="147" t="str">
        <f t="shared" si="21"/>
        <v/>
      </c>
      <c r="J51" s="147" t="str">
        <f t="shared" si="21"/>
        <v/>
      </c>
      <c r="K51" s="147" t="str">
        <f t="shared" si="21"/>
        <v/>
      </c>
      <c r="L51" s="147" t="str">
        <f t="shared" si="21"/>
        <v/>
      </c>
      <c r="M51" s="147" t="str">
        <f t="shared" si="21"/>
        <v/>
      </c>
      <c r="N51" s="6"/>
    </row>
    <row r="52" spans="1:14" ht="15.75" customHeight="1">
      <c r="A52" s="9"/>
      <c r="B52" s="136" t="s">
        <v>286</v>
      </c>
      <c r="C52" s="130">
        <f>C7/C21</f>
        <v>7.7505233825625464E-2</v>
      </c>
      <c r="D52" s="130">
        <f>IF(D7="","",D7/D21)</f>
        <v>0.10145546360959887</v>
      </c>
      <c r="E52" s="130">
        <f t="shared" ref="E52:M52" si="22">IF(E7="","",E7/E21)</f>
        <v>0.16760208857934661</v>
      </c>
      <c r="F52" s="130">
        <f t="shared" si="22"/>
        <v>0.18548715523065223</v>
      </c>
      <c r="G52" s="130" t="str">
        <f t="shared" si="22"/>
        <v/>
      </c>
      <c r="H52" s="130" t="str">
        <f t="shared" si="22"/>
        <v/>
      </c>
      <c r="I52" s="130" t="str">
        <f t="shared" si="22"/>
        <v/>
      </c>
      <c r="J52" s="130" t="str">
        <f t="shared" si="22"/>
        <v/>
      </c>
      <c r="K52" s="130" t="str">
        <f t="shared" si="22"/>
        <v/>
      </c>
      <c r="L52" s="130" t="str">
        <f t="shared" si="22"/>
        <v/>
      </c>
      <c r="M52" s="130" t="str">
        <f t="shared" si="22"/>
        <v/>
      </c>
      <c r="N52" s="6"/>
    </row>
    <row r="53" spans="1:14" ht="15.75" customHeight="1">
      <c r="A53" s="9"/>
      <c r="B53" s="136" t="s">
        <v>316</v>
      </c>
      <c r="C53" s="149">
        <f>C21/C29</f>
        <v>1.1976419892556924</v>
      </c>
      <c r="D53" s="149">
        <f>IF(D29="","",D21/D29)</f>
        <v>1.2145787944938273</v>
      </c>
      <c r="E53" s="149">
        <f t="shared" ref="E53:M53" si="23">IF(E29="","",E21/E29)</f>
        <v>-1.8464941511766702</v>
      </c>
      <c r="F53" s="149">
        <f t="shared" si="23"/>
        <v>-1.4559872577779167</v>
      </c>
      <c r="G53" s="149" t="str">
        <f t="shared" si="23"/>
        <v/>
      </c>
      <c r="H53" s="149" t="str">
        <f t="shared" si="23"/>
        <v/>
      </c>
      <c r="I53" s="149" t="str">
        <f t="shared" si="23"/>
        <v/>
      </c>
      <c r="J53" s="149" t="str">
        <f t="shared" si="23"/>
        <v/>
      </c>
      <c r="K53" s="149" t="str">
        <f t="shared" si="23"/>
        <v/>
      </c>
      <c r="L53" s="149" t="str">
        <f t="shared" si="23"/>
        <v/>
      </c>
      <c r="M53" s="149" t="str">
        <f t="shared" si="23"/>
        <v/>
      </c>
      <c r="N53" s="6"/>
    </row>
    <row r="54" spans="1:14" ht="15.75" customHeight="1">
      <c r="A54" s="9"/>
      <c r="B54" s="136" t="s">
        <v>315</v>
      </c>
      <c r="C54" s="130">
        <f>C51*C52*C53</f>
        <v>3.7801932561230184E-2</v>
      </c>
      <c r="D54" s="130">
        <f>IF(D51="","",D51*D52*D53)</f>
        <v>5.8716593018365258E-2</v>
      </c>
      <c r="E54" s="130">
        <f t="shared" ref="E54:M54" si="24">IF(E51="","",E51*E52*E53)</f>
        <v>-0.15229657748227843</v>
      </c>
      <c r="F54" s="130">
        <f t="shared" si="24"/>
        <v>-0.10369847937206106</v>
      </c>
      <c r="G54" s="130" t="str">
        <f t="shared" si="24"/>
        <v/>
      </c>
      <c r="H54" s="130" t="str">
        <f t="shared" si="24"/>
        <v/>
      </c>
      <c r="I54" s="130" t="str">
        <f t="shared" si="24"/>
        <v/>
      </c>
      <c r="J54" s="130" t="str">
        <f t="shared" si="24"/>
        <v/>
      </c>
      <c r="K54" s="130" t="str">
        <f t="shared" si="24"/>
        <v/>
      </c>
      <c r="L54" s="130" t="str">
        <f t="shared" si="24"/>
        <v/>
      </c>
      <c r="M54" s="130" t="str">
        <f t="shared" si="24"/>
        <v/>
      </c>
      <c r="N54" s="6"/>
    </row>
    <row r="55" spans="1:14" ht="15.75" customHeight="1">
      <c r="A55" s="9"/>
      <c r="B55" s="150" t="s">
        <v>287</v>
      </c>
      <c r="C55" s="139">
        <f>C38*C54</f>
        <v>1.4070098867128516E-2</v>
      </c>
      <c r="D55" s="139">
        <f>IF(D38="","",D38*D54)</f>
        <v>1.8547063237766601E-2</v>
      </c>
      <c r="E55" s="139">
        <f t="shared" ref="E55:M55" si="25">IF(E38="","",E38*E54)</f>
        <v>-6.231347037204979E-2</v>
      </c>
      <c r="F55" s="139" t="str">
        <f t="shared" si="25"/>
        <v/>
      </c>
      <c r="G55" s="139" t="str">
        <f t="shared" si="25"/>
        <v/>
      </c>
      <c r="H55" s="139" t="str">
        <f t="shared" si="25"/>
        <v/>
      </c>
      <c r="I55" s="139" t="str">
        <f t="shared" si="25"/>
        <v/>
      </c>
      <c r="J55" s="139" t="str">
        <f t="shared" si="25"/>
        <v/>
      </c>
      <c r="K55" s="139" t="str">
        <f t="shared" si="25"/>
        <v/>
      </c>
      <c r="L55" s="139" t="str">
        <f t="shared" si="25"/>
        <v/>
      </c>
      <c r="M55" s="139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303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56" t="s">
        <v>355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16"/>
      <c r="D59" s="6"/>
      <c r="E59" s="11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55" t="s">
        <v>240</v>
      </c>
      <c r="C60" s="144">
        <v>351118</v>
      </c>
      <c r="D60" s="144">
        <v>277409</v>
      </c>
      <c r="E60" s="144">
        <v>103725</v>
      </c>
      <c r="F60" s="144">
        <v>59876</v>
      </c>
      <c r="G60" s="144"/>
      <c r="H60" s="144"/>
      <c r="I60" s="144"/>
      <c r="J60" s="144"/>
      <c r="K60" s="144"/>
      <c r="L60" s="144"/>
      <c r="M60" s="144"/>
    </row>
    <row r="61" spans="1:14" ht="15.75" customHeight="1">
      <c r="A61" s="9"/>
      <c r="B61" s="153" t="s">
        <v>241</v>
      </c>
      <c r="C61" s="154">
        <f t="shared" ref="C61:M61" si="26">IF(C60="","",C60/C7)</f>
        <v>0.37991560268340185</v>
      </c>
      <c r="D61" s="154">
        <f t="shared" si="26"/>
        <v>0.23155758743853364</v>
      </c>
      <c r="E61" s="154">
        <f>IF(E60="","",E60/E7)</f>
        <v>0.10084673338252924</v>
      </c>
      <c r="F61" s="154">
        <f>IF(F60="","",F60/F7)</f>
        <v>8.5586905529357785E-2</v>
      </c>
      <c r="G61" s="154" t="str">
        <f t="shared" si="26"/>
        <v/>
      </c>
      <c r="H61" s="154" t="str">
        <f t="shared" si="26"/>
        <v/>
      </c>
      <c r="I61" s="154" t="str">
        <f t="shared" si="26"/>
        <v/>
      </c>
      <c r="J61" s="154" t="str">
        <f t="shared" si="26"/>
        <v/>
      </c>
      <c r="K61" s="154" t="str">
        <f t="shared" si="26"/>
        <v/>
      </c>
      <c r="L61" s="154" t="str">
        <f t="shared" si="26"/>
        <v/>
      </c>
      <c r="M61" s="154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0" type="noConversion"/>
  <conditionalFormatting sqref="B60:M61">
    <cfRule type="expression" dxfId="13" priority="2">
      <formula>$C$58="No"</formula>
    </cfRule>
  </conditionalFormatting>
  <conditionalFormatting sqref="C7:M38 D45:M49 D51:M55">
    <cfRule type="containsBlanks" dxfId="12" priority="5">
      <formula>LEN(TRIM(C7))=0</formula>
    </cfRule>
  </conditionalFormatting>
  <conditionalFormatting sqref="C40:M43">
    <cfRule type="containsBlanks" dxfId="11" priority="7">
      <formula>LEN(TRIM(C40))=0</formula>
    </cfRule>
  </conditionalFormatting>
  <conditionalFormatting sqref="D17:M18">
    <cfRule type="containsBlanks" dxfId="10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topLeftCell="A49" zoomScaleNormal="100" workbookViewId="0">
      <selection activeCell="H63" sqref="H63"/>
    </sheetView>
  </sheetViews>
  <sheetFormatPr defaultColWidth="12.42578125" defaultRowHeight="15" customHeight="1"/>
  <cols>
    <col min="1" max="1" width="2.42578125" style="3" customWidth="1"/>
    <col min="2" max="2" width="27" style="3" customWidth="1"/>
    <col min="3" max="5" width="17.42578125" style="3" customWidth="1"/>
    <col min="6" max="6" width="7.42578125" style="3" customWidth="1"/>
    <col min="7" max="7" width="2" style="3" customWidth="1"/>
    <col min="8" max="8" width="18.42578125" style="3" bestFit="1" customWidth="1"/>
    <col min="9" max="9" width="14.5703125" style="3" bestFit="1" customWidth="1"/>
    <col min="10" max="10" width="4.5703125" style="3" customWidth="1"/>
    <col min="11" max="11" width="38.85546875" style="3" customWidth="1"/>
    <col min="12" max="16384" width="12.42578125" style="3"/>
  </cols>
  <sheetData>
    <row r="2" spans="1:11" ht="15" customHeight="1">
      <c r="A2" s="4"/>
      <c r="B2" s="100" t="s">
        <v>70</v>
      </c>
      <c r="C2" s="100"/>
      <c r="D2" s="166"/>
      <c r="E2" s="6"/>
      <c r="F2" s="12"/>
      <c r="G2" s="12"/>
      <c r="H2" s="12"/>
      <c r="I2" s="6"/>
      <c r="K2" s="117" t="s">
        <v>117</v>
      </c>
    </row>
    <row r="3" spans="1:11" ht="15" customHeight="1">
      <c r="B3" s="5" t="s">
        <v>211</v>
      </c>
      <c r="C3" s="6"/>
      <c r="D3" s="171">
        <v>9397612</v>
      </c>
      <c r="E3" s="172" t="str">
        <f>IF((C49-I49)=D3,"", "Error!")</f>
        <v/>
      </c>
      <c r="F3" s="6"/>
      <c r="G3" s="6"/>
      <c r="H3" s="102" t="s">
        <v>212</v>
      </c>
      <c r="I3" s="144">
        <v>9399525</v>
      </c>
      <c r="K3" s="42"/>
    </row>
    <row r="4" spans="1:11" ht="15" customHeight="1">
      <c r="B4" s="5" t="s">
        <v>191</v>
      </c>
      <c r="C4" s="6"/>
      <c r="D4" s="167">
        <f>D3-I3</f>
        <v>-1913</v>
      </c>
      <c r="E4" s="85"/>
      <c r="F4" s="6"/>
      <c r="G4" s="6"/>
      <c r="H4" s="38" t="s">
        <v>71</v>
      </c>
      <c r="I4" s="127">
        <f>(I3*Dashboard!I12*Data!C4)/Dashboard!I5</f>
        <v>5.0414488792804129</v>
      </c>
      <c r="K4" s="42"/>
    </row>
    <row r="5" spans="1:11" ht="15" customHeight="1">
      <c r="C5" s="6"/>
      <c r="D5" s="6"/>
      <c r="E5" s="18" t="s">
        <v>72</v>
      </c>
      <c r="I5" s="6"/>
      <c r="K5" s="42"/>
    </row>
    <row r="6" spans="1:11" ht="15" customHeight="1" thickBot="1">
      <c r="B6" s="37" t="s">
        <v>291</v>
      </c>
      <c r="C6" s="6"/>
      <c r="D6" s="174">
        <f>E49-I49-E53</f>
        <v>5135078.5397862736</v>
      </c>
      <c r="E6" s="130">
        <f>1-D6/D3</f>
        <v>0.4535762340702858</v>
      </c>
      <c r="F6" s="6"/>
      <c r="G6" s="6"/>
      <c r="H6" s="3" t="s">
        <v>248</v>
      </c>
      <c r="I6" s="165">
        <f>C28/I28</f>
        <v>6.1819724288061852</v>
      </c>
      <c r="J6" s="6"/>
      <c r="K6" s="42"/>
    </row>
    <row r="7" spans="1:11" ht="15" customHeight="1" thickTop="1">
      <c r="B7" s="32" t="s">
        <v>292</v>
      </c>
      <c r="C7" s="6"/>
      <c r="D7" s="168">
        <f>MAX((D6*Exchange_Rate*Data!C4)/Common_Shares, 0)</f>
        <v>2.7542068295389823</v>
      </c>
      <c r="E7" s="18" t="str">
        <f>Dashboard!J4</f>
        <v>HKD</v>
      </c>
      <c r="H7" s="3" t="s">
        <v>249</v>
      </c>
      <c r="I7" s="165">
        <f>C25/I28</f>
        <v>1.6290885868321416</v>
      </c>
      <c r="J7" s="6"/>
      <c r="K7" s="73"/>
    </row>
    <row r="8" spans="1:11" ht="15" customHeight="1">
      <c r="C8" s="6"/>
      <c r="D8" s="6"/>
      <c r="E8" s="6"/>
      <c r="H8" s="3" t="s">
        <v>250</v>
      </c>
      <c r="I8" s="165">
        <f>C24/I28</f>
        <v>4.5528838419740438</v>
      </c>
      <c r="K8" s="42"/>
    </row>
    <row r="9" spans="1:11" ht="15" customHeight="1">
      <c r="A9" s="4"/>
      <c r="B9" s="101" t="s">
        <v>207</v>
      </c>
      <c r="C9" s="79"/>
      <c r="D9" s="169">
        <v>45107</v>
      </c>
      <c r="E9" s="170" t="s">
        <v>341</v>
      </c>
      <c r="F9" s="79"/>
      <c r="G9" s="79"/>
      <c r="H9" s="79"/>
      <c r="I9" s="79"/>
      <c r="K9" s="42"/>
    </row>
    <row r="10" spans="1:11" ht="15" customHeight="1">
      <c r="B10" s="5" t="s">
        <v>73</v>
      </c>
      <c r="C10" s="223" t="s">
        <v>74</v>
      </c>
      <c r="D10" s="223" t="s">
        <v>75</v>
      </c>
      <c r="E10" s="223" t="s">
        <v>76</v>
      </c>
      <c r="F10" s="224" t="s">
        <v>198</v>
      </c>
      <c r="G10" s="6"/>
      <c r="H10" s="39" t="s">
        <v>77</v>
      </c>
      <c r="I10" s="223" t="s">
        <v>74</v>
      </c>
      <c r="K10" s="42"/>
    </row>
    <row r="11" spans="1:11" ht="15" customHeight="1">
      <c r="B11" s="5" t="s">
        <v>78</v>
      </c>
      <c r="C11" s="160">
        <v>5832904</v>
      </c>
      <c r="D11" s="161">
        <v>1</v>
      </c>
      <c r="E11" s="48">
        <f t="shared" ref="E11:E21" si="0">C11*D11</f>
        <v>5832904</v>
      </c>
      <c r="F11" s="6"/>
      <c r="G11" s="6"/>
      <c r="H11" s="5" t="s">
        <v>79</v>
      </c>
      <c r="I11" s="160">
        <v>581772</v>
      </c>
      <c r="J11" s="6"/>
      <c r="K11" s="42"/>
    </row>
    <row r="12" spans="1:11">
      <c r="B12" s="3" t="s">
        <v>80</v>
      </c>
      <c r="C12" s="160">
        <v>133311</v>
      </c>
      <c r="D12" s="161">
        <v>0.95</v>
      </c>
      <c r="E12" s="48">
        <f t="shared" si="0"/>
        <v>126645.45</v>
      </c>
      <c r="F12" s="6"/>
      <c r="G12" s="6"/>
      <c r="H12" s="5" t="s">
        <v>81</v>
      </c>
      <c r="I12" s="160">
        <v>19166</v>
      </c>
      <c r="J12" s="6"/>
      <c r="K12" s="42"/>
    </row>
    <row r="13" spans="1:11">
      <c r="B13" s="5" t="s">
        <v>82</v>
      </c>
      <c r="C13" s="160">
        <v>0</v>
      </c>
      <c r="D13" s="161">
        <v>1</v>
      </c>
      <c r="E13" s="48">
        <f t="shared" si="0"/>
        <v>0</v>
      </c>
      <c r="F13" s="6"/>
      <c r="G13" s="6"/>
      <c r="H13" s="5" t="s">
        <v>83</v>
      </c>
      <c r="I13" s="160">
        <v>0</v>
      </c>
      <c r="J13" s="6"/>
      <c r="K13" s="44"/>
    </row>
    <row r="14" spans="1:11">
      <c r="B14" s="5" t="s">
        <v>84</v>
      </c>
      <c r="C14" s="160">
        <f>1089466+444280</f>
        <v>1533746</v>
      </c>
      <c r="D14" s="161">
        <v>0.3</v>
      </c>
      <c r="E14" s="48">
        <f t="shared" si="0"/>
        <v>460123.8</v>
      </c>
      <c r="F14" s="6"/>
      <c r="G14" s="6"/>
      <c r="H14" s="6" t="s">
        <v>307</v>
      </c>
      <c r="I14" s="160">
        <v>0</v>
      </c>
      <c r="J14" s="6"/>
      <c r="K14" s="46"/>
    </row>
    <row r="15" spans="1:11">
      <c r="B15" s="5" t="s">
        <v>86</v>
      </c>
      <c r="C15" s="160">
        <v>181725</v>
      </c>
      <c r="D15" s="161">
        <v>0.05</v>
      </c>
      <c r="E15" s="48">
        <f t="shared" si="0"/>
        <v>9086.25</v>
      </c>
      <c r="F15" s="6"/>
      <c r="G15" s="6"/>
      <c r="H15" s="5" t="s">
        <v>87</v>
      </c>
      <c r="I15" s="120">
        <f>I28-SUM(I11:I14)</f>
        <v>1046361</v>
      </c>
      <c r="J15" s="6"/>
    </row>
    <row r="16" spans="1:11">
      <c r="B16" s="3" t="s">
        <v>85</v>
      </c>
      <c r="C16" s="160">
        <v>0</v>
      </c>
      <c r="D16" s="161">
        <v>0.5</v>
      </c>
      <c r="E16" s="48">
        <f t="shared" si="0"/>
        <v>0</v>
      </c>
      <c r="F16" s="162" t="s">
        <v>199</v>
      </c>
      <c r="G16" s="54">
        <f>IF(F16="Y",0,1)</f>
        <v>0</v>
      </c>
      <c r="H16" s="5"/>
      <c r="I16" s="89"/>
      <c r="J16" s="6"/>
    </row>
    <row r="17" spans="2:10">
      <c r="B17" s="5" t="s">
        <v>306</v>
      </c>
      <c r="C17" s="160">
        <f>2244124+11642+246105</f>
        <v>2501871</v>
      </c>
      <c r="D17" s="161">
        <v>0.1</v>
      </c>
      <c r="E17" s="48">
        <f t="shared" si="0"/>
        <v>250187.1</v>
      </c>
      <c r="F17" s="6"/>
      <c r="G17" s="6"/>
      <c r="H17" s="5"/>
      <c r="I17" s="89"/>
      <c r="J17" s="6"/>
    </row>
    <row r="18" spans="2:10">
      <c r="B18" s="5" t="s">
        <v>88</v>
      </c>
      <c r="C18" s="160">
        <v>0</v>
      </c>
      <c r="D18" s="161">
        <v>0.5</v>
      </c>
      <c r="E18" s="48">
        <f t="shared" si="0"/>
        <v>0</v>
      </c>
      <c r="F18" s="6"/>
      <c r="G18" s="6"/>
      <c r="H18" s="6"/>
      <c r="I18" s="6"/>
    </row>
    <row r="19" spans="2:10">
      <c r="B19" s="3" t="s">
        <v>89</v>
      </c>
      <c r="C19" s="160">
        <v>0</v>
      </c>
      <c r="D19" s="161">
        <v>0.75</v>
      </c>
      <c r="E19" s="48">
        <f t="shared" si="0"/>
        <v>0</v>
      </c>
      <c r="F19" s="162" t="s">
        <v>199</v>
      </c>
      <c r="G19" s="54">
        <f>IF(F19="Y",0,1)</f>
        <v>0</v>
      </c>
      <c r="H19" s="5"/>
      <c r="I19" s="89"/>
    </row>
    <row r="20" spans="2:10">
      <c r="B20" s="5" t="s">
        <v>90</v>
      </c>
      <c r="C20" s="160">
        <v>0</v>
      </c>
      <c r="D20" s="161">
        <v>0.6</v>
      </c>
      <c r="E20" s="48">
        <f t="shared" si="0"/>
        <v>0</v>
      </c>
      <c r="F20" s="162" t="s">
        <v>199</v>
      </c>
      <c r="G20" s="54">
        <f>IF(F20="Y",0,1)</f>
        <v>0</v>
      </c>
      <c r="H20" s="5"/>
      <c r="I20" s="89"/>
    </row>
    <row r="21" spans="2:10">
      <c r="B21" s="5" t="s">
        <v>91</v>
      </c>
      <c r="C21" s="160">
        <v>0</v>
      </c>
      <c r="D21" s="161">
        <v>0.95</v>
      </c>
      <c r="E21" s="48">
        <f t="shared" si="0"/>
        <v>0</v>
      </c>
      <c r="F21" s="6"/>
      <c r="G21" s="6"/>
      <c r="H21" s="5"/>
      <c r="I21" s="89"/>
    </row>
    <row r="22" spans="2:10" ht="15" customHeight="1">
      <c r="B22" s="5" t="s">
        <v>92</v>
      </c>
      <c r="C22" s="160">
        <v>0</v>
      </c>
      <c r="D22" s="161">
        <v>0.2</v>
      </c>
      <c r="E22" s="48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24" t="s">
        <v>327</v>
      </c>
      <c r="G23" s="6"/>
      <c r="H23" s="6"/>
      <c r="I23" s="6"/>
    </row>
    <row r="24" spans="2:10" ht="15" customHeight="1">
      <c r="B24" s="40" t="s">
        <v>317</v>
      </c>
      <c r="C24" s="163">
        <f>SUM(C11:C14)</f>
        <v>7499961</v>
      </c>
      <c r="D24" s="164">
        <f>IF(E24=0,0,E24/C24)</f>
        <v>0.85596088432993189</v>
      </c>
      <c r="E24" s="48">
        <f>SUM(E11:E14)</f>
        <v>6419673.25</v>
      </c>
      <c r="F24" s="201">
        <f>E24/$E$28</f>
        <v>0.96118050262596799</v>
      </c>
      <c r="G24" s="6"/>
      <c r="H24" s="3" t="s">
        <v>325</v>
      </c>
      <c r="I24" s="234">
        <f>I11+I12+I13</f>
        <v>600938</v>
      </c>
    </row>
    <row r="25" spans="2:10" ht="15" customHeight="1">
      <c r="B25" s="40" t="s">
        <v>321</v>
      </c>
      <c r="C25" s="163">
        <f>SUM(C15:C17)</f>
        <v>2683596</v>
      </c>
      <c r="D25" s="164">
        <f>IF(E25=0,0,E25/C25)</f>
        <v>9.6614151310405891E-2</v>
      </c>
      <c r="E25" s="48">
        <f>SUM(E15:E17)</f>
        <v>259273.35</v>
      </c>
      <c r="F25" s="201">
        <f t="shared" ref="F25:F27" si="2">E25/$E$28</f>
        <v>3.8819497374032008E-2</v>
      </c>
      <c r="G25" s="6"/>
      <c r="H25" s="40" t="s">
        <v>328</v>
      </c>
      <c r="I25" s="165">
        <f>E28/I28</f>
        <v>4.0544834908538157</v>
      </c>
    </row>
    <row r="26" spans="2:10" ht="15" customHeight="1">
      <c r="B26" s="40" t="s">
        <v>319</v>
      </c>
      <c r="C26" s="163">
        <f>C18+C19+C20</f>
        <v>0</v>
      </c>
      <c r="D26" s="164">
        <f t="shared" ref="D26:D27" si="3">IF(E26=0,0,E26/C26)</f>
        <v>0</v>
      </c>
      <c r="E26" s="48">
        <f>E18+E19+E20</f>
        <v>0</v>
      </c>
      <c r="F26" s="201">
        <f t="shared" si="2"/>
        <v>0</v>
      </c>
      <c r="G26" s="6"/>
      <c r="H26" s="40" t="s">
        <v>251</v>
      </c>
      <c r="I26" s="165">
        <f>E24/($I$28-I15)</f>
        <v>10.682754710136487</v>
      </c>
      <c r="J26" s="13" t="str">
        <f>IF(I26&lt;1,"Liquidity Problem!","")</f>
        <v/>
      </c>
    </row>
    <row r="27" spans="2:10" ht="15" customHeight="1">
      <c r="B27" s="40" t="s">
        <v>320</v>
      </c>
      <c r="C27" s="227">
        <f>C21+C22</f>
        <v>0</v>
      </c>
      <c r="D27" s="164">
        <f t="shared" si="3"/>
        <v>0</v>
      </c>
      <c r="E27" s="48">
        <f>E21+E22</f>
        <v>0</v>
      </c>
      <c r="F27" s="201">
        <f t="shared" si="2"/>
        <v>0</v>
      </c>
      <c r="G27" s="6"/>
      <c r="H27" s="40" t="s">
        <v>255</v>
      </c>
      <c r="I27" s="165">
        <f>(E25+E24)/$I$28</f>
        <v>4.0544834908538157</v>
      </c>
      <c r="J27" s="13" t="str">
        <f>IF(OR(I27&lt;0.75,C28&lt;I28),"Liquidity Problem!","")</f>
        <v/>
      </c>
    </row>
    <row r="28" spans="2:10" ht="15" customHeight="1">
      <c r="B28" s="228" t="s">
        <v>93</v>
      </c>
      <c r="C28" s="229">
        <f>SUM(C24:C27)</f>
        <v>10183557</v>
      </c>
      <c r="D28" s="147">
        <f t="shared" ref="D28" si="4">E28/C28</f>
        <v>0.65585596466931939</v>
      </c>
      <c r="E28" s="182">
        <f>SUM(E24:E27)</f>
        <v>6678946.5999999996</v>
      </c>
      <c r="F28" s="6"/>
      <c r="G28" s="6"/>
      <c r="H28" s="228" t="s">
        <v>53</v>
      </c>
      <c r="I28" s="171">
        <v>1647299</v>
      </c>
      <c r="J28" s="64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198</v>
      </c>
      <c r="G29" s="6"/>
      <c r="H29" s="6"/>
      <c r="I29" s="6"/>
      <c r="J29" s="6"/>
    </row>
    <row r="30" spans="2:10" ht="15" customHeight="1">
      <c r="B30" s="5" t="s">
        <v>94</v>
      </c>
      <c r="C30" s="160">
        <v>0</v>
      </c>
      <c r="D30" s="161">
        <v>0.95</v>
      </c>
      <c r="E30" s="48">
        <v>0</v>
      </c>
      <c r="F30" s="6"/>
      <c r="G30" s="6"/>
      <c r="H30" s="5" t="s">
        <v>95</v>
      </c>
      <c r="I30" s="160">
        <v>0</v>
      </c>
      <c r="J30" s="6"/>
    </row>
    <row r="31" spans="2:10" ht="15" customHeight="1">
      <c r="B31" s="5" t="s">
        <v>96</v>
      </c>
      <c r="C31" s="160">
        <v>66859</v>
      </c>
      <c r="D31" s="161">
        <v>0.2</v>
      </c>
      <c r="E31" s="48">
        <f t="shared" ref="E31:E42" si="5">C31*D31</f>
        <v>13371.800000000001</v>
      </c>
      <c r="F31" s="6"/>
      <c r="G31" s="6"/>
      <c r="H31" s="5" t="s">
        <v>97</v>
      </c>
      <c r="I31" s="160">
        <v>23764</v>
      </c>
      <c r="J31" s="6"/>
    </row>
    <row r="32" spans="2:10" ht="15" customHeight="1">
      <c r="B32" s="5" t="s">
        <v>98</v>
      </c>
      <c r="C32" s="160">
        <v>0</v>
      </c>
      <c r="D32" s="161">
        <v>0.5</v>
      </c>
      <c r="E32" s="48">
        <f t="shared" si="5"/>
        <v>0</v>
      </c>
      <c r="F32" s="6"/>
      <c r="G32" s="6"/>
      <c r="H32" s="5" t="s">
        <v>100</v>
      </c>
      <c r="I32" s="160">
        <v>0</v>
      </c>
      <c r="J32" s="6"/>
    </row>
    <row r="33" spans="2:10">
      <c r="B33" s="3" t="s">
        <v>99</v>
      </c>
      <c r="C33" s="160">
        <v>0</v>
      </c>
      <c r="D33" s="161">
        <v>0.5</v>
      </c>
      <c r="E33" s="48">
        <f t="shared" si="5"/>
        <v>0</v>
      </c>
      <c r="F33" s="162" t="s">
        <v>199</v>
      </c>
      <c r="G33" s="54">
        <f>IF(F33="Y",0,1)</f>
        <v>0</v>
      </c>
      <c r="H33" s="6" t="s">
        <v>308</v>
      </c>
      <c r="I33" s="160">
        <v>0</v>
      </c>
      <c r="J33" s="6"/>
    </row>
    <row r="34" spans="2:10">
      <c r="B34" s="5" t="s">
        <v>101</v>
      </c>
      <c r="C34" s="160">
        <f>5689+8652</f>
        <v>14341</v>
      </c>
      <c r="D34" s="161">
        <v>0</v>
      </c>
      <c r="E34" s="48">
        <f t="shared" si="5"/>
        <v>0</v>
      </c>
      <c r="F34" s="6"/>
      <c r="G34" s="6"/>
      <c r="H34" s="5" t="s">
        <v>102</v>
      </c>
      <c r="I34" s="120">
        <f>I48-SUM(I30:I33)</f>
        <v>0</v>
      </c>
      <c r="J34" s="6"/>
    </row>
    <row r="35" spans="2:10">
      <c r="B35" s="5" t="s">
        <v>103</v>
      </c>
      <c r="C35" s="160">
        <v>338539</v>
      </c>
      <c r="D35" s="161">
        <v>0</v>
      </c>
      <c r="E35" s="48">
        <f t="shared" si="5"/>
        <v>0</v>
      </c>
      <c r="F35" s="162" t="s">
        <v>200</v>
      </c>
      <c r="G35" s="54">
        <f>IF(F35="Y",0,1)</f>
        <v>1</v>
      </c>
      <c r="H35" s="6"/>
      <c r="I35" s="6"/>
      <c r="J35" s="6"/>
    </row>
    <row r="36" spans="2:10">
      <c r="B36" s="5" t="s">
        <v>104</v>
      </c>
      <c r="C36" s="160">
        <v>0</v>
      </c>
      <c r="D36" s="161">
        <v>0</v>
      </c>
      <c r="E36" s="48">
        <f t="shared" si="5"/>
        <v>0</v>
      </c>
      <c r="F36" s="162" t="s">
        <v>200</v>
      </c>
      <c r="G36" s="54">
        <f>IF(F36="Y",0,1)</f>
        <v>1</v>
      </c>
      <c r="H36" s="6"/>
      <c r="I36" s="6"/>
    </row>
    <row r="37" spans="2:10">
      <c r="B37" s="3" t="s">
        <v>90</v>
      </c>
      <c r="C37" s="160">
        <v>0</v>
      </c>
      <c r="D37" s="161">
        <v>0</v>
      </c>
      <c r="E37" s="48">
        <f t="shared" si="5"/>
        <v>0</v>
      </c>
      <c r="F37" s="162" t="s">
        <v>199</v>
      </c>
      <c r="G37" s="54">
        <f>IF(F37="Y",0,1)</f>
        <v>0</v>
      </c>
      <c r="H37" s="6"/>
      <c r="I37" s="6"/>
    </row>
    <row r="38" spans="2:10" ht="15" customHeight="1">
      <c r="B38" s="5" t="s">
        <v>242</v>
      </c>
      <c r="C38" s="160">
        <f>16816+39047</f>
        <v>55863</v>
      </c>
      <c r="D38" s="161">
        <v>0.1</v>
      </c>
      <c r="E38" s="48">
        <f t="shared" si="5"/>
        <v>5586.3</v>
      </c>
      <c r="F38" s="6"/>
      <c r="G38" s="6"/>
      <c r="H38" s="6"/>
      <c r="I38" s="6"/>
    </row>
    <row r="39" spans="2:10">
      <c r="B39" s="5" t="s">
        <v>243</v>
      </c>
      <c r="C39" s="160">
        <v>0</v>
      </c>
      <c r="D39" s="161">
        <v>0</v>
      </c>
      <c r="E39" s="48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60">
        <v>296265</v>
      </c>
      <c r="D40" s="161">
        <v>0</v>
      </c>
      <c r="E40" s="48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60">
        <v>113251</v>
      </c>
      <c r="D41" s="161">
        <v>0.95</v>
      </c>
      <c r="E41" s="48">
        <f t="shared" si="5"/>
        <v>107588.45</v>
      </c>
      <c r="F41" s="6"/>
      <c r="G41" s="6"/>
      <c r="H41" s="6"/>
      <c r="I41" s="6"/>
    </row>
    <row r="42" spans="2:10" ht="15" customHeight="1">
      <c r="B42" s="5" t="s">
        <v>107</v>
      </c>
      <c r="C42" s="160">
        <v>0</v>
      </c>
      <c r="D42" s="161">
        <v>0</v>
      </c>
      <c r="E42" s="48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0" t="s">
        <v>318</v>
      </c>
      <c r="C44" s="163">
        <f>SUM(C30:C31)</f>
        <v>66859</v>
      </c>
      <c r="D44" s="164">
        <f>IF(E44=0,0,E44/C44)</f>
        <v>0.2</v>
      </c>
      <c r="E44" s="48">
        <f>SUM(E30:E31)</f>
        <v>13371.800000000001</v>
      </c>
      <c r="F44" s="201"/>
      <c r="G44" s="6"/>
      <c r="H44" s="3" t="s">
        <v>326</v>
      </c>
      <c r="I44" s="234">
        <f>I30+I31+I32</f>
        <v>23764</v>
      </c>
    </row>
    <row r="45" spans="2:10" ht="15" customHeight="1">
      <c r="B45" s="40" t="s">
        <v>322</v>
      </c>
      <c r="C45" s="163">
        <f>SUM(C32:C35)</f>
        <v>352880</v>
      </c>
      <c r="D45" s="164">
        <f>IF(E45=0,0,E45/C45)</f>
        <v>0</v>
      </c>
      <c r="E45" s="48">
        <f>SUM(E32:E35)</f>
        <v>0</v>
      </c>
      <c r="F45" s="201"/>
      <c r="G45" s="6"/>
    </row>
    <row r="46" spans="2:10" ht="15" customHeight="1">
      <c r="B46" s="40" t="s">
        <v>323</v>
      </c>
      <c r="C46" s="163">
        <f>C36+C37+C38+C39</f>
        <v>55863</v>
      </c>
      <c r="D46" s="164">
        <f t="shared" ref="D46:D47" si="6">IF(E46=0,0,E46/C46)</f>
        <v>0.1</v>
      </c>
      <c r="E46" s="48">
        <f>E36+E37+E38+E39</f>
        <v>5586.3</v>
      </c>
      <c r="F46" s="6"/>
      <c r="G46" s="6"/>
      <c r="H46" s="40" t="s">
        <v>252</v>
      </c>
      <c r="I46" s="165">
        <f>(E44+E24)/D55</f>
        <v>10.297782062487393</v>
      </c>
      <c r="J46" s="13" t="str">
        <f>IF(I46&lt;1,"Liquidity Problem!","")</f>
        <v/>
      </c>
    </row>
    <row r="47" spans="2:10" ht="15" customHeight="1">
      <c r="B47" s="40" t="s">
        <v>324</v>
      </c>
      <c r="C47" s="163">
        <f>C40+C41+C42</f>
        <v>409516</v>
      </c>
      <c r="D47" s="164">
        <f t="shared" si="6"/>
        <v>0.26272099258637027</v>
      </c>
      <c r="E47" s="48">
        <f>E40+E41+E42</f>
        <v>107588.45</v>
      </c>
      <c r="F47" s="6"/>
      <c r="G47" s="6"/>
      <c r="H47" s="40" t="s">
        <v>256</v>
      </c>
      <c r="I47" s="165">
        <f>(E44+E45+E24+E25)/$I$49</f>
        <v>4.0048271070570047</v>
      </c>
      <c r="J47" s="13" t="str">
        <f>IF(OR(I47&lt;0.5,C49&lt;I49),"Liquidity Problem!","")</f>
        <v/>
      </c>
    </row>
    <row r="48" spans="2:10" ht="15" customHeight="1" thickBot="1">
      <c r="B48" s="230" t="s">
        <v>108</v>
      </c>
      <c r="C48" s="231">
        <f>SUM(C30:C42)</f>
        <v>885118</v>
      </c>
      <c r="D48" s="232">
        <f>E48/C48</f>
        <v>0.14297138912551774</v>
      </c>
      <c r="E48" s="226">
        <f>SUM(E30:E42)</f>
        <v>126546.55</v>
      </c>
      <c r="F48" s="6"/>
      <c r="G48" s="6"/>
      <c r="H48" s="230" t="s">
        <v>109</v>
      </c>
      <c r="I48" s="233">
        <v>23764</v>
      </c>
      <c r="J48" s="13"/>
    </row>
    <row r="49" spans="2:10" ht="15" customHeight="1" thickTop="1">
      <c r="B49" s="5" t="s">
        <v>314</v>
      </c>
      <c r="C49" s="163">
        <f>SUM(C44:C47)+C28</f>
        <v>11068675</v>
      </c>
      <c r="D49" s="130">
        <f>E49/C49</f>
        <v>0.61484262118094524</v>
      </c>
      <c r="E49" s="48">
        <f>E28+E48</f>
        <v>6805493.1499999994</v>
      </c>
      <c r="F49" s="6"/>
      <c r="G49" s="6"/>
      <c r="H49" s="5" t="s">
        <v>253</v>
      </c>
      <c r="I49" s="120">
        <f>I28+I48</f>
        <v>1671063</v>
      </c>
      <c r="J49" s="6"/>
    </row>
    <row r="50" spans="2:10" ht="15" customHeight="1">
      <c r="C50" s="6"/>
      <c r="D50" s="6"/>
      <c r="E50" s="6"/>
      <c r="I50" s="6"/>
    </row>
    <row r="51" spans="2:10">
      <c r="B51" s="17" t="s">
        <v>110</v>
      </c>
      <c r="C51" s="17"/>
      <c r="D51" s="31"/>
    </row>
    <row r="52" spans="2:10">
      <c r="B52" s="96" t="s">
        <v>180</v>
      </c>
      <c r="C52" s="6"/>
      <c r="D52" s="223" t="str">
        <f>IF(E53=D4,"BV of the MI","P/B Approach")</f>
        <v>P/B Approach</v>
      </c>
      <c r="E52" s="6"/>
      <c r="F52" s="6"/>
      <c r="G52" s="6"/>
      <c r="H52" s="6"/>
      <c r="I52" s="6"/>
    </row>
    <row r="53" spans="2:10">
      <c r="B53" s="5" t="s">
        <v>179</v>
      </c>
      <c r="C53" s="48">
        <f>D4</f>
        <v>-1913</v>
      </c>
      <c r="D53" s="50">
        <f>IF(E53=0, 0,E53/C53)</f>
        <v>0.33893872779632422</v>
      </c>
      <c r="E53" s="48">
        <f>MAX(C53,C53*Dashboard!I10)</f>
        <v>-648.38978627436825</v>
      </c>
      <c r="F53" s="6"/>
      <c r="G53" s="6"/>
      <c r="H53" s="6"/>
      <c r="I53" s="90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5.75" thickBot="1">
      <c r="B55" s="43" t="s">
        <v>215</v>
      </c>
      <c r="C55" s="5"/>
      <c r="D55" s="298">
        <f>D56+D57+D58</f>
        <v>624702</v>
      </c>
      <c r="E55" s="299"/>
      <c r="F55" s="5"/>
      <c r="G55" s="5"/>
      <c r="H55" s="6"/>
      <c r="I55" s="6"/>
    </row>
    <row r="56" spans="2:10" ht="15.75" thickTop="1">
      <c r="B56" s="37" t="s">
        <v>193</v>
      </c>
      <c r="C56" s="6"/>
      <c r="D56" s="269">
        <f>SUM(I11:I13)+SUM(I30:I32)</f>
        <v>624702</v>
      </c>
      <c r="E56" s="300"/>
      <c r="F56" s="5"/>
      <c r="G56" s="5"/>
      <c r="H56" s="6" t="s">
        <v>254</v>
      </c>
      <c r="I56" s="130">
        <f>D56/I3</f>
        <v>6.6461017976972236E-2</v>
      </c>
    </row>
    <row r="57" spans="2:10">
      <c r="B57" s="37" t="s">
        <v>112</v>
      </c>
      <c r="C57" s="6"/>
      <c r="D57" s="305">
        <v>0</v>
      </c>
      <c r="E57" s="241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05">
        <v>0</v>
      </c>
      <c r="E58" s="241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>
      <c r="B60" s="43" t="s">
        <v>115</v>
      </c>
      <c r="C60" s="5"/>
      <c r="D60" s="224" t="s">
        <v>305</v>
      </c>
      <c r="E60" s="6"/>
      <c r="F60" s="15"/>
      <c r="G60" s="15"/>
      <c r="H60" s="6"/>
      <c r="I60" s="6"/>
    </row>
    <row r="61" spans="2:10" ht="15" customHeight="1">
      <c r="B61" s="32" t="s">
        <v>194</v>
      </c>
      <c r="C61" s="173">
        <f>C14+C15+(C19*G19)+(C20*G20)+C31+C32+(C33*G33)+(C35*G35)+(C36*G36)+(C37*G37)</f>
        <v>2120869</v>
      </c>
      <c r="D61" s="130">
        <f>IF(E61=0,0,E61/C61)</f>
        <v>0.22753967831110736</v>
      </c>
      <c r="E61" s="120">
        <f>E14+E15+(E19*G19)+(E20*G20)+E31+E32+(E33*G33)+(E35*G35)+(E36*G36)+(E37*G37)</f>
        <v>482581.85</v>
      </c>
      <c r="F61" s="6"/>
      <c r="G61" s="6"/>
      <c r="H61" s="22" t="s">
        <v>364</v>
      </c>
      <c r="I61" s="22" t="s">
        <v>365</v>
      </c>
    </row>
    <row r="62" spans="2:10">
      <c r="B62" s="32" t="s">
        <v>78</v>
      </c>
      <c r="C62" s="173">
        <f>C11+C12+C30</f>
        <v>5966215</v>
      </c>
      <c r="D62" s="50">
        <f>IF(E62=0,0,E62/C62)</f>
        <v>0.9988827841437159</v>
      </c>
      <c r="E62" s="163">
        <f>E11+E12+E30</f>
        <v>5959549.4500000002</v>
      </c>
      <c r="F62" s="6"/>
      <c r="G62" s="6"/>
      <c r="H62" s="239">
        <v>0.5</v>
      </c>
      <c r="I62" s="135">
        <f>E62*H62</f>
        <v>2979774.7250000001</v>
      </c>
    </row>
    <row r="63" spans="2:10">
      <c r="B63" s="32" t="s">
        <v>116</v>
      </c>
      <c r="C63" s="6"/>
      <c r="D63" s="269">
        <f>((Dashboard!I6*Data!C4)+D55+E53-C61-C62)</f>
        <v>-3811608.7897862745</v>
      </c>
      <c r="E63" s="269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07" t="s">
        <v>214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217</v>
      </c>
      <c r="C66" s="6"/>
      <c r="D66" s="303">
        <f>((C28-C11-C12-C14-C15-C16*G16-C19*G19-C20*G20)-I28)/Data!C7</f>
        <v>0.92466132871672801</v>
      </c>
      <c r="E66" s="304"/>
      <c r="F66" s="6"/>
      <c r="G66" s="6"/>
      <c r="H66" s="6"/>
      <c r="I66" s="6"/>
    </row>
    <row r="67" spans="2:9" ht="15" customHeight="1">
      <c r="B67" s="3" t="s">
        <v>216</v>
      </c>
      <c r="C67" s="6"/>
      <c r="D67" s="301">
        <v>8.5000000000000006E-2</v>
      </c>
      <c r="E67" s="302"/>
      <c r="F67" s="99" t="s">
        <v>205</v>
      </c>
      <c r="G67" s="6"/>
      <c r="H67" s="6"/>
      <c r="I67" s="6"/>
    </row>
    <row r="68" spans="2:9" ht="15" customHeight="1">
      <c r="B68" s="107" t="s">
        <v>218</v>
      </c>
      <c r="C68" s="6"/>
      <c r="D68" s="301">
        <v>0.2</v>
      </c>
      <c r="E68" s="302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0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tabColor rgb="FFB6D7A8"/>
    <outlinePr summaryBelow="0" summaryRight="0"/>
  </sheetPr>
  <dimension ref="A1:L879"/>
  <sheetViews>
    <sheetView showGridLines="0" tabSelected="1" topLeftCell="A16" zoomScale="108" zoomScaleNormal="100" zoomScalePageLayoutView="80" workbookViewId="0">
      <selection activeCell="H40" sqref="H40"/>
    </sheetView>
  </sheetViews>
  <sheetFormatPr defaultColWidth="12.42578125" defaultRowHeight="15" customHeight="1"/>
  <cols>
    <col min="1" max="1" width="2.42578125" style="3" customWidth="1"/>
    <col min="2" max="5" width="26.85546875" style="3" customWidth="1"/>
    <col min="6" max="9" width="22.5703125" style="3" customWidth="1"/>
    <col min="10" max="10" width="2.42578125" style="3" customWidth="1"/>
    <col min="11" max="11" width="87.42578125" style="3" customWidth="1"/>
    <col min="12" max="16384" width="12.42578125" style="3"/>
  </cols>
  <sheetData>
    <row r="1" spans="1:12" ht="15" customHeight="1">
      <c r="F1" s="6"/>
      <c r="G1" s="6"/>
      <c r="H1" s="6"/>
    </row>
    <row r="2" spans="1:12" ht="15.6" customHeight="1">
      <c r="A2" s="4"/>
      <c r="B2" s="52" t="s">
        <v>204</v>
      </c>
      <c r="C2" s="52"/>
      <c r="D2" s="52"/>
      <c r="E2" s="235"/>
      <c r="F2" s="105" t="s">
        <v>357</v>
      </c>
      <c r="G2" s="105">
        <v>1</v>
      </c>
      <c r="H2" s="105">
        <v>2</v>
      </c>
      <c r="I2" s="105">
        <v>3</v>
      </c>
      <c r="J2" s="12"/>
      <c r="K2" s="12"/>
    </row>
    <row r="3" spans="1:12" ht="15.75" customHeight="1">
      <c r="B3" s="21" t="e">
        <f>#REF!</f>
        <v>#REF!</v>
      </c>
      <c r="C3" s="175">
        <f>EOMONTH(EDATE(D3,-12),0)</f>
        <v>43830</v>
      </c>
      <c r="D3" s="175">
        <f>EOMONTH(EDATE(E3,-12),0)</f>
        <v>44196</v>
      </c>
      <c r="E3" s="175">
        <f>EOMONTH(EDATE(F3,-12),0)</f>
        <v>44561</v>
      </c>
      <c r="F3" s="175">
        <f>Dashboard!E6</f>
        <v>44926</v>
      </c>
      <c r="G3" s="175">
        <f>EOMONTH(EDATE(F3,12),0)</f>
        <v>45291</v>
      </c>
      <c r="H3" s="175" t="str">
        <f>IF(H9="","",EOMONTH(EDATE(G3,12),0))</f>
        <v/>
      </c>
      <c r="I3" s="175" t="str">
        <f>IF(I16="","",EOMONTH(EDATE(H3,12),0))</f>
        <v/>
      </c>
      <c r="K3" s="41" t="s">
        <v>117</v>
      </c>
    </row>
    <row r="4" spans="1:12" ht="15.75" customHeight="1">
      <c r="B4" s="108" t="s">
        <v>337</v>
      </c>
      <c r="C4" s="321"/>
      <c r="D4" s="321"/>
      <c r="E4" s="321">
        <v>674723</v>
      </c>
      <c r="F4" s="321">
        <v>503773</v>
      </c>
      <c r="G4" s="321"/>
      <c r="H4" s="322"/>
      <c r="I4" s="322"/>
      <c r="J4" s="6"/>
      <c r="K4" s="42"/>
      <c r="L4" s="36"/>
    </row>
    <row r="5" spans="1:12" ht="15.75" customHeight="1">
      <c r="B5" s="108" t="s">
        <v>338</v>
      </c>
      <c r="C5" s="323"/>
      <c r="D5" s="323"/>
      <c r="E5" s="323">
        <v>463922</v>
      </c>
      <c r="F5" s="323">
        <v>362568</v>
      </c>
      <c r="G5" s="323"/>
      <c r="H5" s="324"/>
      <c r="I5" s="324"/>
      <c r="J5" s="6"/>
      <c r="K5" s="42" t="s">
        <v>361</v>
      </c>
      <c r="L5" s="36"/>
    </row>
    <row r="6" spans="1:12" ht="15.75" customHeight="1">
      <c r="B6" s="108" t="s">
        <v>339</v>
      </c>
      <c r="C6" s="323"/>
      <c r="D6" s="323"/>
      <c r="E6" s="323">
        <v>32405</v>
      </c>
      <c r="F6" s="323">
        <v>34776</v>
      </c>
      <c r="G6" s="323"/>
      <c r="H6" s="324"/>
      <c r="I6" s="324"/>
      <c r="J6" s="6"/>
      <c r="K6" s="42"/>
      <c r="L6" s="36"/>
    </row>
    <row r="7" spans="1:12" ht="15.75" customHeight="1">
      <c r="B7" s="108" t="s">
        <v>340</v>
      </c>
      <c r="C7" s="323"/>
      <c r="D7" s="323"/>
      <c r="E7" s="323">
        <v>26963</v>
      </c>
      <c r="F7" s="323">
        <v>23083</v>
      </c>
      <c r="G7" s="323"/>
      <c r="H7" s="324"/>
      <c r="I7" s="324"/>
      <c r="J7" s="6"/>
      <c r="K7" s="42"/>
      <c r="L7" s="36"/>
    </row>
    <row r="8" spans="1:12" ht="15.75" customHeight="1">
      <c r="B8" s="80" t="s">
        <v>359</v>
      </c>
      <c r="C8" s="313">
        <f>Data!F7</f>
        <v>699593</v>
      </c>
      <c r="D8" s="313">
        <f>Data!E7</f>
        <v>1028541</v>
      </c>
      <c r="E8" s="313">
        <f>Data!D7</f>
        <v>1198013</v>
      </c>
      <c r="F8" s="313">
        <f>Data!C7</f>
        <v>924200</v>
      </c>
      <c r="G8" s="314">
        <f>F8*0.75</f>
        <v>693150</v>
      </c>
      <c r="H8" s="314"/>
      <c r="I8" s="315"/>
      <c r="J8" s="6"/>
      <c r="K8" s="42"/>
      <c r="L8" s="36"/>
    </row>
    <row r="9" spans="1:12" ht="15.75" customHeight="1">
      <c r="B9" s="14" t="s">
        <v>360</v>
      </c>
      <c r="C9" s="225"/>
      <c r="D9" s="152">
        <f>D8/C8-1</f>
        <v>0.47019910147757349</v>
      </c>
      <c r="E9" s="152">
        <f>E8/D8-1</f>
        <v>0.16476931887012758</v>
      </c>
      <c r="F9" s="152">
        <f>Data!C8</f>
        <v>-0.22855595056147138</v>
      </c>
      <c r="G9" s="130">
        <f>G8/F8-1</f>
        <v>-0.25</v>
      </c>
      <c r="H9" s="130"/>
      <c r="I9" s="161"/>
      <c r="J9" s="6"/>
      <c r="K9" s="42"/>
      <c r="L9" s="36"/>
    </row>
    <row r="10" spans="1:12" ht="15.75" customHeight="1">
      <c r="B10" s="311" t="s">
        <v>358</v>
      </c>
      <c r="C10" s="178">
        <f>-Data!F9</f>
        <v>-336621</v>
      </c>
      <c r="D10" s="178">
        <f>-Data!E9</f>
        <v>-398163</v>
      </c>
      <c r="E10" s="178">
        <f>-Data!D9</f>
        <v>-270763</v>
      </c>
      <c r="F10" s="178">
        <f>-Data!C9</f>
        <v>-149665</v>
      </c>
      <c r="G10" s="131">
        <f>-G8*(1-G11)</f>
        <v>-194082.00000000003</v>
      </c>
      <c r="H10" s="90" t="str">
        <f>IF(H8="","",H8*(1-H11))</f>
        <v/>
      </c>
      <c r="I10" s="90" t="str">
        <f>IF(I8="","",I8*(1-I11))</f>
        <v/>
      </c>
      <c r="J10" s="6"/>
      <c r="K10" s="73"/>
      <c r="L10" s="1"/>
    </row>
    <row r="11" spans="1:12" ht="15.75" customHeight="1">
      <c r="B11" s="14" t="s">
        <v>44</v>
      </c>
      <c r="C11" s="50">
        <f>(C8+C10)/C8</f>
        <v>0.51883309295547553</v>
      </c>
      <c r="D11" s="50">
        <f>(D8+D10)/D8</f>
        <v>0.61288563119992301</v>
      </c>
      <c r="E11" s="50">
        <f>(E8+E10)/E8</f>
        <v>0.77398993166184338</v>
      </c>
      <c r="F11" s="50">
        <f>(F8+F10)/F8</f>
        <v>0.83805994373512227</v>
      </c>
      <c r="G11" s="161">
        <v>0.72</v>
      </c>
      <c r="H11" s="161"/>
      <c r="I11" s="161"/>
      <c r="J11" s="6"/>
      <c r="K11" s="42"/>
    </row>
    <row r="12" spans="1:12" ht="15.75" customHeight="1">
      <c r="B12" s="80" t="s">
        <v>310</v>
      </c>
      <c r="C12" s="312">
        <f>C8+C10</f>
        <v>362972</v>
      </c>
      <c r="D12" s="312">
        <f t="shared" ref="D12:F12" si="0">D8+D10</f>
        <v>630378</v>
      </c>
      <c r="E12" s="312">
        <f t="shared" si="0"/>
        <v>927250</v>
      </c>
      <c r="F12" s="312">
        <f t="shared" si="0"/>
        <v>774535</v>
      </c>
      <c r="G12" s="312">
        <f>G8+G10</f>
        <v>499068</v>
      </c>
      <c r="H12" s="312" t="str">
        <f>IF(H9="","",H8-H10)</f>
        <v/>
      </c>
      <c r="I12" s="312" t="str">
        <f>IF(I9="","",I8-I10)</f>
        <v/>
      </c>
      <c r="J12" s="6"/>
      <c r="K12" s="42"/>
    </row>
    <row r="13" spans="1:12" ht="15.75" customHeight="1">
      <c r="B13" s="14" t="s">
        <v>46</v>
      </c>
      <c r="C13" s="50">
        <f>C14/C8</f>
        <v>-0.13485983993550535</v>
      </c>
      <c r="D13" s="50">
        <f t="shared" ref="D13:E13" si="1">D14/D8</f>
        <v>-0.12077496181484258</v>
      </c>
      <c r="E13" s="50">
        <f t="shared" si="1"/>
        <v>-0.29749343287593705</v>
      </c>
      <c r="F13" s="50">
        <f>F14/F8</f>
        <v>-0.43081475871023589</v>
      </c>
      <c r="G13" s="179">
        <f>G14/G8</f>
        <v>-0.43081475871023589</v>
      </c>
      <c r="H13" s="161"/>
      <c r="I13" s="161"/>
      <c r="J13" s="6"/>
      <c r="K13" s="42"/>
    </row>
    <row r="14" spans="1:12" ht="15.75" customHeight="1">
      <c r="B14" s="8" t="s">
        <v>118</v>
      </c>
      <c r="C14" s="176">
        <f>-Data!F11</f>
        <v>-94347</v>
      </c>
      <c r="D14" s="176">
        <f>-Data!E11</f>
        <v>-124222</v>
      </c>
      <c r="E14" s="176">
        <f>-Data!D11</f>
        <v>-356401</v>
      </c>
      <c r="F14" s="176">
        <f>-Data!C11</f>
        <v>-398159</v>
      </c>
      <c r="G14" s="142">
        <f>F14*0.75</f>
        <v>-298619.25</v>
      </c>
      <c r="H14" s="142"/>
      <c r="I14" s="142"/>
      <c r="J14" s="6"/>
      <c r="K14" s="42"/>
    </row>
    <row r="15" spans="1:12" ht="15.75" customHeight="1">
      <c r="B15" s="14" t="s">
        <v>47</v>
      </c>
      <c r="C15" s="147">
        <f t="shared" ref="C15:E15" si="2">C17/C8</f>
        <v>0.38397325301997021</v>
      </c>
      <c r="D15" s="147">
        <f t="shared" si="2"/>
        <v>0.49211066938508041</v>
      </c>
      <c r="E15" s="147">
        <f t="shared" si="2"/>
        <v>0.47649649878590633</v>
      </c>
      <c r="F15" s="147">
        <f>F17/F8</f>
        <v>0.40724518502488638</v>
      </c>
      <c r="G15" s="147">
        <f>G17/G8</f>
        <v>0.28918524128976414</v>
      </c>
      <c r="H15" s="147" t="str">
        <f>IF(H9="","",H17/H8)</f>
        <v/>
      </c>
      <c r="I15" s="147" t="str">
        <f>IF(I9="","",I17/I8)</f>
        <v/>
      </c>
      <c r="J15" s="6"/>
      <c r="K15" s="42"/>
      <c r="L15" s="36"/>
    </row>
    <row r="16" spans="1:12" ht="15.75" customHeight="1">
      <c r="B16" s="14" t="s">
        <v>119</v>
      </c>
      <c r="C16" s="225"/>
      <c r="D16" s="152">
        <f t="shared" ref="D16:E16" si="3">D17/C17-1</f>
        <v>0.8842475570032573</v>
      </c>
      <c r="E16" s="152">
        <f t="shared" si="3"/>
        <v>0.12781237405068802</v>
      </c>
      <c r="F16" s="152">
        <f>F17/E17-1</f>
        <v>-0.34067327787208179</v>
      </c>
      <c r="G16" s="130">
        <f>IF(ABS(F17+G17)=ABS(F17)+ABS(G17),IF(G17&lt;0,-1,1)*(G17-F17)/F17,"Turn")</f>
        <v>-0.46742419814228325</v>
      </c>
      <c r="H16" s="130" t="str">
        <f>IF(H9="","",IF(ABS(G17+H17)=ABS(G17)+ABS(H17),IF(H17&lt;0,-1,1)*(H17-G17)/G17,"Turn"))</f>
        <v/>
      </c>
      <c r="I16" s="130" t="str">
        <f>IF(I9="","",IF(ABS(H17+I17)=ABS(H17)+ABS(I17),IF(I17&lt;0,-1,1)*(I17-H17)/H17,"Turn"))</f>
        <v/>
      </c>
      <c r="J16" s="6"/>
      <c r="K16" s="44"/>
      <c r="L16" s="45"/>
    </row>
    <row r="17" spans="2:12" ht="15.75" customHeight="1">
      <c r="B17" s="5" t="s">
        <v>203</v>
      </c>
      <c r="C17" s="306">
        <f>C12+C14</f>
        <v>268625</v>
      </c>
      <c r="D17" s="306">
        <f t="shared" ref="D17:F17" si="4">D12+D14</f>
        <v>506156</v>
      </c>
      <c r="E17" s="306">
        <f t="shared" si="4"/>
        <v>570849</v>
      </c>
      <c r="F17" s="306">
        <f t="shared" si="4"/>
        <v>376376</v>
      </c>
      <c r="G17" s="306">
        <f>G12+G14</f>
        <v>200448.75</v>
      </c>
      <c r="H17" s="306" t="str">
        <f>IF(H9="","",H12-H14)</f>
        <v/>
      </c>
      <c r="I17" s="306" t="str">
        <f>IF(I9="","",I12-I14)</f>
        <v/>
      </c>
      <c r="J17" s="6"/>
      <c r="K17" s="46"/>
      <c r="L17" s="35"/>
    </row>
    <row r="18" spans="2:12" ht="15.75" customHeight="1">
      <c r="B18" s="180" t="s">
        <v>120</v>
      </c>
      <c r="C18" s="327"/>
      <c r="D18" s="327"/>
      <c r="E18" s="327"/>
      <c r="F18" s="181">
        <v>0.25</v>
      </c>
      <c r="G18" s="147">
        <f>IF(G17="","",F18)</f>
        <v>0.25</v>
      </c>
      <c r="H18" s="147" t="str">
        <f>IF(H17="","",G18)</f>
        <v/>
      </c>
      <c r="I18" s="147" t="str">
        <f>IF(I17="","",H18)</f>
        <v/>
      </c>
      <c r="K18" s="42"/>
    </row>
    <row r="19" spans="2:12" ht="15.75" customHeight="1">
      <c r="B19" s="14" t="s">
        <v>245</v>
      </c>
      <c r="C19" s="326"/>
      <c r="D19" s="326"/>
      <c r="E19" s="326"/>
      <c r="F19" s="152">
        <f>F20/F8</f>
        <v>0.30543388876866479</v>
      </c>
      <c r="G19" s="130">
        <f>G20/G8</f>
        <v>0.21688893096732309</v>
      </c>
      <c r="H19" s="130" t="str">
        <f>IF(H8="","",H20/H8)</f>
        <v/>
      </c>
      <c r="I19" s="130" t="str">
        <f>IF(I8="","",I20/I8)</f>
        <v/>
      </c>
    </row>
    <row r="20" spans="2:12" ht="15.75" customHeight="1">
      <c r="B20" s="80" t="s">
        <v>69</v>
      </c>
      <c r="C20" s="328"/>
      <c r="D20" s="328"/>
      <c r="E20" s="328"/>
      <c r="F20" s="307">
        <f>IF(F17&lt;=0,F17,F17*(1-F18))</f>
        <v>282282</v>
      </c>
      <c r="G20" s="318">
        <f>IF(G17="","",IF(G17&lt;=0,G17,G17*(1-G18)))</f>
        <v>150336.5625</v>
      </c>
      <c r="H20" s="318" t="str">
        <f>IF(H17="","",IF(H17&lt;=0,H17,H17*(1-H18)))</f>
        <v/>
      </c>
      <c r="I20" s="318" t="str">
        <f>IF(I17="","",IF(I17&lt;=0,I17,I17*(1-I18)))</f>
        <v/>
      </c>
    </row>
    <row r="21" spans="2:12" ht="15.75" customHeight="1">
      <c r="B21" s="236" t="s">
        <v>352</v>
      </c>
      <c r="C21" s="325"/>
      <c r="D21" s="325">
        <v>42678</v>
      </c>
      <c r="E21" s="325">
        <v>76980</v>
      </c>
      <c r="F21" s="237">
        <v>105067</v>
      </c>
      <c r="G21" s="238">
        <f>F21*(F21/E21)</f>
        <v>143401.85098726943</v>
      </c>
      <c r="H21" s="238"/>
      <c r="I21" s="238"/>
    </row>
    <row r="22" spans="2:12" ht="15.75" customHeight="1">
      <c r="B22" s="236" t="s">
        <v>353</v>
      </c>
      <c r="C22" s="325"/>
      <c r="D22" s="325"/>
      <c r="E22" s="325"/>
      <c r="F22" s="90">
        <f>-(Data!C33+IF(Data!C58="yes",Data!C60,0))</f>
        <v>-105067</v>
      </c>
      <c r="G22" s="142">
        <f>F22</f>
        <v>-105067</v>
      </c>
      <c r="H22" s="142"/>
      <c r="I22" s="142" t="str">
        <f>IF(I15="","",IF(ABS(H24+I24)=ABS(H24)+ABS(I24),IF(I24&lt;0,-1,1)*(I24-H24)/H24,"Turn"))</f>
        <v/>
      </c>
    </row>
    <row r="23" spans="2:12" ht="15.75" customHeight="1">
      <c r="B23" s="236" t="s">
        <v>354</v>
      </c>
      <c r="C23" s="325"/>
      <c r="D23" s="325"/>
      <c r="E23" s="325"/>
      <c r="F23" s="48">
        <f>-Data!C35</f>
        <v>0</v>
      </c>
      <c r="G23" s="90">
        <f>-IF(G9&lt;=0,0,(G8-F8)*Asset_Model!$D$67)</f>
        <v>0</v>
      </c>
      <c r="H23" s="90" t="str">
        <f>IF(H8="","",IF(H9&lt;=0,0,(H8-G8)*Asset_Model!$D$67))</f>
        <v/>
      </c>
      <c r="I23" s="90" t="str">
        <f>IF(I8="","",IF(I9&lt;=0,0,(I8-H8)*Asset_Model!$D$67))</f>
        <v/>
      </c>
    </row>
    <row r="24" spans="2:12" ht="15.75" customHeight="1" thickBot="1">
      <c r="B24" s="308" t="s">
        <v>304</v>
      </c>
      <c r="C24" s="329"/>
      <c r="D24" s="329"/>
      <c r="E24" s="329"/>
      <c r="F24" s="310">
        <f>SUM(F21:F23)</f>
        <v>0</v>
      </c>
      <c r="G24" s="310">
        <f>IF(G15="","",SUM(G21:G23))</f>
        <v>38334.850987269427</v>
      </c>
      <c r="H24" s="310" t="str">
        <f>IF(H15="","",SUM(H21:H23))</f>
        <v/>
      </c>
      <c r="I24" s="310" t="str">
        <f>IF(I15="","",SUM(I21:I23))</f>
        <v/>
      </c>
      <c r="J24" s="6"/>
    </row>
    <row r="25" spans="2:12" ht="15.75" customHeight="1" thickTop="1">
      <c r="B25" s="6" t="s">
        <v>121</v>
      </c>
      <c r="C25" s="325"/>
      <c r="D25" s="325"/>
      <c r="E25" s="325"/>
      <c r="F25" s="135">
        <f>F20+F24</f>
        <v>282282</v>
      </c>
      <c r="G25" s="135">
        <f>G20+G24</f>
        <v>188671.41348726943</v>
      </c>
      <c r="H25" s="135" t="str">
        <f>IF(H20="","",H20+H24)</f>
        <v/>
      </c>
      <c r="I25" s="135" t="str">
        <f>IF(I20="","",I20+I24)</f>
        <v/>
      </c>
    </row>
    <row r="26" spans="2:12" ht="15.75" customHeight="1">
      <c r="B26" s="6" t="s">
        <v>356</v>
      </c>
      <c r="C26" s="6"/>
      <c r="D26" s="6"/>
      <c r="E26" s="6"/>
      <c r="F26" s="204">
        <f>F25/(Common_Shares/Data!C4)</f>
        <v>0.13992643851370107</v>
      </c>
      <c r="G26" s="204">
        <f>G25/(Common_Shares/Data!C4)</f>
        <v>9.35239191256243E-2</v>
      </c>
      <c r="H26" s="204" t="str">
        <f>IF(H25="","",H25/Common_Shares/Data!C4)</f>
        <v/>
      </c>
      <c r="I26" s="204" t="str">
        <f>IF(I25="","",I25/Common_Shares/Data!C4)</f>
        <v/>
      </c>
    </row>
    <row r="27" spans="2:12" ht="15.75" customHeight="1">
      <c r="B27" s="14" t="s">
        <v>122</v>
      </c>
      <c r="F27" s="209"/>
      <c r="G27" s="130">
        <f ca="1">Dashboard!C12</f>
        <v>0.15</v>
      </c>
      <c r="H27" s="130" t="str">
        <f>IF(H26="","",G27)</f>
        <v/>
      </c>
      <c r="I27" s="130" t="str">
        <f>IF(I26="","",H27)</f>
        <v/>
      </c>
      <c r="J27" s="316"/>
    </row>
    <row r="28" spans="2:12" ht="15.75" customHeight="1" thickBot="1">
      <c r="B28" s="47" t="s">
        <v>123</v>
      </c>
      <c r="F28" s="71"/>
      <c r="G28" s="210">
        <f ca="1">IF(G27="","",1+G27)</f>
        <v>1.1499999999999999</v>
      </c>
      <c r="H28" s="210" t="str">
        <f>IF(H27="","",(1+G27)*(1+H27))</f>
        <v/>
      </c>
      <c r="I28" s="210" t="str">
        <f>IF(I27="","",(1+G27)*(1+H27)*(1+I27))</f>
        <v/>
      </c>
      <c r="J28" s="316"/>
    </row>
    <row r="29" spans="2:12" ht="15.75" customHeight="1" thickTop="1">
      <c r="B29" s="8"/>
      <c r="F29" s="211"/>
      <c r="G29" s="212">
        <f ca="1">IF(G28="","",G26/G28)</f>
        <v>8.1325147065760273E-2</v>
      </c>
      <c r="H29" s="212" t="str">
        <f>IF(H28="","",H26/H28)</f>
        <v/>
      </c>
      <c r="I29" s="212" t="str">
        <f>IF(I28="","",I26/I28)</f>
        <v/>
      </c>
      <c r="J29" s="317"/>
    </row>
    <row r="30" spans="2:12" ht="15.75" customHeight="1"/>
    <row r="31" spans="2:12" ht="15.75" customHeight="1">
      <c r="B31" s="123" t="s">
        <v>188</v>
      </c>
      <c r="C31" s="95"/>
      <c r="E31" s="41" t="s">
        <v>189</v>
      </c>
    </row>
    <row r="32" spans="2:12" ht="15.75" customHeight="1">
      <c r="B32" s="37" t="s">
        <v>197</v>
      </c>
      <c r="C32" s="48">
        <f>Asset_Model!I62</f>
        <v>2979774.7250000001</v>
      </c>
      <c r="D32" s="97">
        <f>C32*Data!C4/Common_Shares</f>
        <v>1.4770664259229884</v>
      </c>
      <c r="E32" s="49" t="s">
        <v>195</v>
      </c>
      <c r="G32" s="177">
        <f>C32+C33+C34+C35</f>
        <v>2838302.9647862744</v>
      </c>
    </row>
    <row r="33" spans="1:9" ht="15.75" customHeight="1">
      <c r="B33" s="37" t="s">
        <v>201</v>
      </c>
      <c r="C33" s="48">
        <f>Asset_Model!E61</f>
        <v>482581.85</v>
      </c>
      <c r="D33" s="97">
        <f>C33*Data!C4/Common_Shares</f>
        <v>0.23921454276876711</v>
      </c>
      <c r="E33" s="261" t="str">
        <f>IF(F34+G34=G35,"⇒","Error!")</f>
        <v>⇒</v>
      </c>
      <c r="F33" s="82" t="s">
        <v>202</v>
      </c>
      <c r="G33" s="50" t="s">
        <v>20</v>
      </c>
    </row>
    <row r="34" spans="1:9" ht="15.75" customHeight="1">
      <c r="B34" s="37" t="s">
        <v>190</v>
      </c>
      <c r="C34" s="48">
        <f>-Asset_Model!D55</f>
        <v>-624702</v>
      </c>
      <c r="D34" s="97">
        <f>C34*Data!C4/Common_Shares</f>
        <v>-0.30966312408295993</v>
      </c>
      <c r="E34" s="261"/>
      <c r="F34" s="84">
        <f>D32</f>
        <v>1.4770664259229884</v>
      </c>
      <c r="G34" s="83">
        <f>SUM(D33:D35)</f>
        <v>-7.0127176217296694E-2</v>
      </c>
    </row>
    <row r="35" spans="1:9" ht="15.75" customHeight="1">
      <c r="B35" s="49" t="s">
        <v>196</v>
      </c>
      <c r="C35" s="48">
        <f>-Asset_Model!E53</f>
        <v>648.38978627436825</v>
      </c>
      <c r="D35" s="97">
        <f>C35*Data!C4/Common_Shares</f>
        <v>3.2140509689612576E-4</v>
      </c>
      <c r="E35" s="49" t="s">
        <v>266</v>
      </c>
      <c r="G35" s="222">
        <f>G32*Data!C$4/Common_Shares</f>
        <v>1.4069392497056918</v>
      </c>
    </row>
    <row r="36" spans="1:9" ht="15.75" customHeight="1"/>
    <row r="37" spans="1:9" ht="15.75" customHeight="1">
      <c r="B37" s="20" t="s">
        <v>298</v>
      </c>
      <c r="C37" s="95"/>
      <c r="E37" s="41" t="s">
        <v>189</v>
      </c>
    </row>
    <row r="38" spans="1:9" ht="15.75" customHeight="1">
      <c r="E38" s="3" t="s">
        <v>362</v>
      </c>
      <c r="F38" s="309">
        <f ca="1">F26/Dashboard!C12</f>
        <v>0.93284292342467379</v>
      </c>
      <c r="G38" s="309">
        <f ca="1">G26/Dashboard!C12/G28</f>
        <v>0.54216764710506848</v>
      </c>
      <c r="H38" s="3" t="str">
        <f>IF(H29="","",H29/Dashboard!C12/H28)</f>
        <v/>
      </c>
      <c r="I38" s="3" t="str">
        <f>IF(I29="","",I29/Dashboard!D12/I28)</f>
        <v/>
      </c>
    </row>
    <row r="39" spans="1:9" ht="15.75" customHeight="1">
      <c r="E39" s="3" t="s">
        <v>363</v>
      </c>
      <c r="F39" s="309">
        <f ca="1">F38+$G$35</f>
        <v>2.3397821731303656</v>
      </c>
      <c r="G39" s="309">
        <f ca="1">G38+$G$35</f>
        <v>1.9491068968107603</v>
      </c>
      <c r="H39" s="88" t="str">
        <f>IF(H38="","",H38+(G29)+$G$35)</f>
        <v/>
      </c>
      <c r="I39" s="88" t="str">
        <f>IF(I38="","",I38+(G29+H29)+$G$35)</f>
        <v/>
      </c>
    </row>
    <row r="40" spans="1:9" ht="15.75" customHeight="1"/>
    <row r="41" spans="1:9" ht="15.75" customHeight="1">
      <c r="A41" s="4"/>
      <c r="B41" s="213" t="s">
        <v>300</v>
      </c>
      <c r="C41" s="6"/>
      <c r="D41" s="6"/>
      <c r="E41" s="22" t="s">
        <v>187</v>
      </c>
      <c r="F41" s="22" t="s">
        <v>296</v>
      </c>
      <c r="G41" s="22" t="s">
        <v>297</v>
      </c>
      <c r="H41" s="6"/>
      <c r="I41" s="319"/>
    </row>
    <row r="42" spans="1:9" ht="15.75" customHeight="1">
      <c r="B42" s="72" t="s">
        <v>367</v>
      </c>
      <c r="C42" s="219">
        <f ca="1">F39</f>
        <v>2.3397821731303656</v>
      </c>
      <c r="D42" s="220" t="str">
        <f>Dashboard!J4</f>
        <v>HKD</v>
      </c>
      <c r="E42" s="221">
        <f ca="1">C42/$G$26</f>
        <v>25.018008173796652</v>
      </c>
      <c r="F42" s="221">
        <f ca="1">C42/(Data!C29*Exchange_Rate*Data!C4/Common_Shares)</f>
        <v>0.43814518954769333</v>
      </c>
      <c r="G42" s="221">
        <f ca="1">(C42*Common_Shares)/(Data!$C$7*Data!$C$4*Exchange_Rate)</f>
        <v>4.7201956803688763</v>
      </c>
      <c r="I42" s="42"/>
    </row>
    <row r="43" spans="1:9" ht="15.75" customHeight="1">
      <c r="B43" s="6" t="s">
        <v>366</v>
      </c>
      <c r="C43" s="214">
        <v>2</v>
      </c>
      <c r="D43" s="215" t="str">
        <f>D42</f>
        <v>HKD</v>
      </c>
      <c r="E43" s="191">
        <f t="shared" ref="E43:E45" si="5">C43/$G$26</f>
        <v>21.384903655647026</v>
      </c>
      <c r="F43" s="191">
        <f>C43/(Asset_Model!I3*Exchange_Rate*Data!C4/Common_Shares)</f>
        <v>0.39671135181389927</v>
      </c>
      <c r="G43" s="191">
        <f>(C43*Common_Shares)/(Data!$C$7*Data!$C$4*Exchange_Rate)</f>
        <v>4.0347308690310992</v>
      </c>
      <c r="I43" s="42"/>
    </row>
    <row r="44" spans="1:9" ht="15.75" customHeight="1">
      <c r="B44" s="216" t="s">
        <v>368</v>
      </c>
      <c r="C44" s="217">
        <f ca="1">MIN(C43,C42)+ABS(C43-C42)*Qualitative_Analysis!E64</f>
        <v>2.1380105040964716</v>
      </c>
      <c r="D44" s="215" t="str">
        <f>D43</f>
        <v>HKD</v>
      </c>
      <c r="E44" s="191">
        <f t="shared" ca="1" si="5"/>
        <v>22.860574322432189</v>
      </c>
      <c r="F44" s="191">
        <f ca="1">C44/(Asset_Model!I3*Exchange_Rate*Data!C4/Common_Shares)</f>
        <v>0.42408651863621372</v>
      </c>
      <c r="G44" s="191">
        <f ca="1">(C44*Common_Shares)/(Data!$C$7*Data!$C$4*Exchange_Rate)</f>
        <v>4.3131484895953873</v>
      </c>
    </row>
    <row r="45" spans="1:9" ht="15.75" customHeight="1">
      <c r="B45" s="79" t="s">
        <v>271</v>
      </c>
      <c r="C45" s="320">
        <f>G35</f>
        <v>1.4069392497056918</v>
      </c>
      <c r="D45" s="218" t="str">
        <f>D43</f>
        <v>HKD</v>
      </c>
      <c r="E45" s="192">
        <f t="shared" si="5"/>
        <v>15.043630152152268</v>
      </c>
      <c r="F45" s="192">
        <f>C45/(Asset_Model!I3*Exchange_Rate*Data!C4/Common_Shares)</f>
        <v>0.27907438583538907</v>
      </c>
      <c r="G45" s="192">
        <f>(C45*Common_Shares)/(Data!$C$7*Data!$C$4*Exchange_Rate)</f>
        <v>2.8383106108195042</v>
      </c>
    </row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E33:E34"/>
  </mergeCells>
  <phoneticPr fontId="30" type="noConversion"/>
  <conditionalFormatting sqref="C21:G21">
    <cfRule type="containsBlanks" priority="4">
      <formula>LEN(TRIM(C21))=0</formula>
    </cfRule>
  </conditionalFormatting>
  <conditionalFormatting sqref="C21:I21 H10:H20 I9:I20 H23:I23">
    <cfRule type="containsBlanks" dxfId="9" priority="3">
      <formula>LEN(TRIM(C9))=0</formula>
    </cfRule>
  </conditionalFormatting>
  <conditionalFormatting sqref="G18:G20">
    <cfRule type="containsBlanks" dxfId="8" priority="24">
      <formula>LEN(TRIM(G18))=0</formula>
    </cfRule>
  </conditionalFormatting>
  <conditionalFormatting sqref="H10:H13 H15:H17">
    <cfRule type="containsBlanks" priority="33">
      <formula>LEN(TRIM(H10))=0</formula>
    </cfRule>
  </conditionalFormatting>
  <conditionalFormatting sqref="H20:I20">
    <cfRule type="containsBlanks" dxfId="6" priority="26">
      <formula>LEN(TRIM(H20))=0</formula>
    </cfRule>
  </conditionalFormatting>
  <conditionalFormatting sqref="H21:I24">
    <cfRule type="containsBlanks" dxfId="5" priority="5">
      <formula>LEN(TRIM(H21))=0</formula>
    </cfRule>
    <cfRule type="containsBlanks" priority="6">
      <formula>LEN(TRIM(H21))=0</formula>
    </cfRule>
  </conditionalFormatting>
  <conditionalFormatting sqref="H25:I25">
    <cfRule type="containsBlanks" dxfId="4" priority="14">
      <formula>LEN(TRIM(H25))=0</formula>
    </cfRule>
    <cfRule type="containsBlanks" priority="15">
      <formula>LEN(TRIM(H25))=0</formula>
    </cfRule>
  </conditionalFormatting>
  <conditionalFormatting sqref="I9:I17">
    <cfRule type="containsBlanks" priority="29">
      <formula>LEN(TRIM(I9))=0</formula>
    </cfRule>
  </conditionalFormatting>
  <conditionalFormatting sqref="G27:G29">
    <cfRule type="containsBlanks" dxfId="1" priority="1">
      <formula>LEN(TRIM(G27))=0</formula>
    </cfRule>
  </conditionalFormatting>
  <conditionalFormatting sqref="H27:I29">
    <cfRule type="containsBlanks" dxfId="0" priority="2">
      <formula>LEN(TRIM(H27))=0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6" zoomScaleNormal="100" workbookViewId="0">
      <selection activeCell="E60" sqref="E60"/>
    </sheetView>
  </sheetViews>
  <sheetFormatPr defaultColWidth="12.42578125" defaultRowHeight="15" customHeight="1"/>
  <cols>
    <col min="1" max="1" width="2.42578125" style="3" customWidth="1"/>
    <col min="2" max="2" width="62.42578125" style="3" customWidth="1"/>
    <col min="3" max="3" width="28.5703125" style="3" customWidth="1"/>
    <col min="4" max="4" width="10.5703125" style="3" customWidth="1"/>
    <col min="5" max="5" width="28.5703125" style="3" customWidth="1"/>
    <col min="6" max="6" width="5.5703125" style="3" customWidth="1"/>
    <col min="7" max="7" width="73.85546875" style="3" customWidth="1"/>
    <col min="8" max="16384" width="12.42578125" style="3"/>
  </cols>
  <sheetData>
    <row r="2" spans="1:7" ht="15.75">
      <c r="A2" s="4"/>
      <c r="B2" s="11" t="s">
        <v>124</v>
      </c>
      <c r="C2" s="55"/>
      <c r="D2" s="12"/>
      <c r="E2" s="6"/>
      <c r="G2" s="41" t="s">
        <v>117</v>
      </c>
    </row>
    <row r="3" spans="1:7">
      <c r="B3" s="6" t="s">
        <v>225</v>
      </c>
      <c r="C3" s="56"/>
      <c r="D3" s="54">
        <f>IF(E3="Strongly disagree",0,IF(E3="disagree",1,IF(E3="unclear",2,IF(E3="agree",3,4))))</f>
        <v>0</v>
      </c>
      <c r="E3" s="184" t="s">
        <v>148</v>
      </c>
      <c r="G3" s="46"/>
    </row>
    <row r="4" spans="1:7">
      <c r="B4" s="6" t="s">
        <v>227</v>
      </c>
      <c r="C4" s="56"/>
      <c r="D4" s="54">
        <f t="shared" ref="D4" si="0">IF(E4="Strongly disagree",0,IF(E4="disagree",1,IF(E4="unclear",2,IF(E4="agree",3,4))))</f>
        <v>3</v>
      </c>
      <c r="E4" s="156" t="s">
        <v>126</v>
      </c>
      <c r="G4" s="44"/>
    </row>
    <row r="5" spans="1:7">
      <c r="B5" s="6" t="s">
        <v>222</v>
      </c>
      <c r="C5" s="56"/>
      <c r="D5" s="54">
        <f>AVERAGE(D12:D16)</f>
        <v>1.8</v>
      </c>
      <c r="E5" s="151" t="str">
        <f>IF(D5&gt;=3.5,"Strongly agree",IF(D5&gt;=2.5,"agree",IF(D5&gt;=1.5,"unclear",IF(D5&gt;=0.5,"disagree","Strongly disagree"))))</f>
        <v>unclear</v>
      </c>
      <c r="G5" s="44"/>
    </row>
    <row r="6" spans="1:7">
      <c r="B6" s="6" t="s">
        <v>223</v>
      </c>
      <c r="C6" s="56"/>
      <c r="D6" s="54">
        <f>AVERAGE(D24:D28)</f>
        <v>1.6</v>
      </c>
      <c r="E6" s="151" t="str">
        <f>IF(D6&gt;=3.5,"Strongly agree",IF(D6&gt;=2.5,"agree",IF(D6&gt;=1.5,"unclear",IF(D6&gt;=0.5,"disagree","Strongly disagree"))))</f>
        <v>unclear</v>
      </c>
      <c r="G6" s="44"/>
    </row>
    <row r="7" spans="1:7">
      <c r="B7" s="6" t="s">
        <v>224</v>
      </c>
      <c r="C7" s="56"/>
      <c r="D7" s="59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6"/>
    </row>
    <row r="8" spans="1:7">
      <c r="B8" s="57" t="s">
        <v>127</v>
      </c>
      <c r="C8" s="56"/>
      <c r="D8" s="54">
        <f>AVERAGE(D3:D7)</f>
        <v>1.6800000000000002</v>
      </c>
      <c r="E8" s="183">
        <f>D8/4</f>
        <v>0.42000000000000004</v>
      </c>
      <c r="G8" s="44"/>
    </row>
    <row r="9" spans="1:7">
      <c r="B9" s="56"/>
      <c r="C9" s="56"/>
      <c r="E9" s="6"/>
      <c r="G9" s="44"/>
    </row>
    <row r="10" spans="1:7" ht="15" customHeight="1">
      <c r="A10" s="4"/>
      <c r="B10" s="11" t="s">
        <v>128</v>
      </c>
      <c r="C10" s="16"/>
      <c r="D10" s="16"/>
      <c r="E10" s="12"/>
      <c r="G10" s="109"/>
    </row>
    <row r="11" spans="1:7" ht="15" customHeight="1">
      <c r="B11" s="58" t="s">
        <v>129</v>
      </c>
      <c r="C11" s="53"/>
      <c r="E11" s="6"/>
      <c r="G11" s="109"/>
    </row>
    <row r="12" spans="1:7" ht="15" customHeight="1">
      <c r="B12" s="32" t="s">
        <v>226</v>
      </c>
      <c r="D12" s="59">
        <f>IF(E12="Strongly disagree",0,IF(E12="disagree",1,IF(E12="unclear",2,IF(E12="agree",3,4))))</f>
        <v>0</v>
      </c>
      <c r="E12" s="156" t="s">
        <v>148</v>
      </c>
      <c r="F12" s="6"/>
      <c r="G12" s="109"/>
    </row>
    <row r="13" spans="1:7" ht="15" customHeight="1">
      <c r="B13" s="32" t="s">
        <v>130</v>
      </c>
      <c r="D13" s="59">
        <f>IF(E13="Strongly disagree",0,IF(E13="disagree",1,IF(E13="unclear",2,IF(E13="agree",3,4))))</f>
        <v>3</v>
      </c>
      <c r="E13" s="156" t="s">
        <v>126</v>
      </c>
      <c r="F13" s="6"/>
      <c r="G13" s="109"/>
    </row>
    <row r="14" spans="1:7" ht="15" customHeight="1">
      <c r="B14" s="32" t="s">
        <v>131</v>
      </c>
      <c r="D14" s="59">
        <f>IF(E14="Strongly disagree",0,IF(E14="disagree",1,IF(E14="unclear",2,IF(E14="agree",3,4))))</f>
        <v>3</v>
      </c>
      <c r="E14" s="156" t="s">
        <v>126</v>
      </c>
      <c r="F14" s="6"/>
      <c r="G14" s="109" t="s">
        <v>302</v>
      </c>
    </row>
    <row r="15" spans="1:7" ht="15" customHeight="1">
      <c r="B15" s="32" t="s">
        <v>132</v>
      </c>
      <c r="D15" s="59">
        <f>IF(E15="Strongly disagree",0,IF(E15="disagree",1,IF(E15="unclear",2,IF(E15="agree",3,4))))</f>
        <v>2</v>
      </c>
      <c r="E15" s="156" t="s">
        <v>125</v>
      </c>
      <c r="F15" s="6"/>
      <c r="G15" s="109"/>
    </row>
    <row r="16" spans="1:7" ht="15" customHeight="1">
      <c r="B16" s="32" t="s">
        <v>134</v>
      </c>
      <c r="D16" s="59">
        <f>IF(E16="Strongly disagree",0,IF(E16="disagree",1,IF(E16="unclear",2,IF(E16="agree",3,4))))</f>
        <v>1</v>
      </c>
      <c r="E16" s="156" t="s">
        <v>133</v>
      </c>
      <c r="F16" s="6"/>
      <c r="G16" s="109"/>
    </row>
    <row r="17" spans="2:7" ht="15" customHeight="1">
      <c r="B17" s="58" t="s">
        <v>136</v>
      </c>
      <c r="D17" s="25"/>
      <c r="E17" s="18"/>
      <c r="G17" s="109"/>
    </row>
    <row r="18" spans="2:7" ht="15" customHeight="1">
      <c r="B18" s="32" t="s">
        <v>244</v>
      </c>
      <c r="D18" s="59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09"/>
    </row>
    <row r="19" spans="2:7" ht="15" customHeight="1">
      <c r="B19" s="32" t="s">
        <v>137</v>
      </c>
      <c r="D19" s="59">
        <f t="shared" ref="D19:D22" si="1">IF(E19="Strongly disagree",0,IF(E19="disagree",1,IF(E19="unclear",2,IF(E19="agree",3,4))))</f>
        <v>1</v>
      </c>
      <c r="E19" s="156" t="s">
        <v>133</v>
      </c>
      <c r="F19" s="6"/>
      <c r="G19" s="109"/>
    </row>
    <row r="20" spans="2:7" ht="15" customHeight="1">
      <c r="B20" s="32" t="s">
        <v>138</v>
      </c>
      <c r="D20" s="59">
        <f t="shared" si="1"/>
        <v>0</v>
      </c>
      <c r="E20" s="156" t="s">
        <v>148</v>
      </c>
      <c r="F20" s="6"/>
      <c r="G20" s="109"/>
    </row>
    <row r="21" spans="2:7" ht="15" customHeight="1">
      <c r="B21" s="32" t="s">
        <v>139</v>
      </c>
      <c r="D21" s="59">
        <f t="shared" si="1"/>
        <v>2</v>
      </c>
      <c r="E21" s="156" t="s">
        <v>125</v>
      </c>
      <c r="F21" s="6"/>
      <c r="G21" s="109"/>
    </row>
    <row r="22" spans="2:7" ht="15" customHeight="1">
      <c r="B22" s="32" t="s">
        <v>140</v>
      </c>
      <c r="D22" s="59">
        <f t="shared" si="1"/>
        <v>1</v>
      </c>
      <c r="E22" s="156" t="s">
        <v>133</v>
      </c>
      <c r="F22" s="6"/>
      <c r="G22" s="109"/>
    </row>
    <row r="23" spans="2:7" ht="15" customHeight="1">
      <c r="B23" s="58" t="s">
        <v>141</v>
      </c>
      <c r="D23" s="25"/>
      <c r="E23" s="18"/>
      <c r="G23" s="109"/>
    </row>
    <row r="24" spans="2:7" ht="15" customHeight="1">
      <c r="B24" s="32" t="s">
        <v>142</v>
      </c>
      <c r="D24" s="59">
        <f t="shared" ref="D24:D28" si="2">IF(E24="Strongly disagree",0,IF(E24="disagree",1,IF(E24="unclear",2,IF(E24="agree",3,4))))</f>
        <v>0</v>
      </c>
      <c r="E24" s="156" t="s">
        <v>148</v>
      </c>
      <c r="F24" s="6"/>
      <c r="G24" s="109"/>
    </row>
    <row r="25" spans="2:7" ht="15" customHeight="1">
      <c r="B25" s="32" t="s">
        <v>143</v>
      </c>
      <c r="D25" s="59">
        <f t="shared" si="2"/>
        <v>2</v>
      </c>
      <c r="E25" s="156" t="s">
        <v>125</v>
      </c>
      <c r="F25" s="6"/>
      <c r="G25" s="109"/>
    </row>
    <row r="26" spans="2:7" ht="15" customHeight="1">
      <c r="B26" s="32" t="s">
        <v>228</v>
      </c>
      <c r="D26" s="59">
        <f t="shared" si="2"/>
        <v>2</v>
      </c>
      <c r="E26" s="156" t="s">
        <v>125</v>
      </c>
      <c r="F26" s="6"/>
      <c r="G26" s="109"/>
    </row>
    <row r="27" spans="2:7" ht="15" customHeight="1">
      <c r="B27" s="32" t="s">
        <v>229</v>
      </c>
      <c r="D27" s="59">
        <f t="shared" si="2"/>
        <v>2</v>
      </c>
      <c r="E27" s="156" t="s">
        <v>125</v>
      </c>
      <c r="F27" s="6"/>
      <c r="G27" s="109"/>
    </row>
    <row r="28" spans="2:7" ht="15" customHeight="1">
      <c r="B28" s="32" t="s">
        <v>144</v>
      </c>
      <c r="D28" s="59">
        <f t="shared" si="2"/>
        <v>2</v>
      </c>
      <c r="E28" s="156" t="s">
        <v>125</v>
      </c>
      <c r="F28" s="6"/>
      <c r="G28" s="109"/>
    </row>
    <row r="29" spans="2:7" ht="15" customHeight="1">
      <c r="B29" s="58" t="s">
        <v>145</v>
      </c>
      <c r="D29" s="25"/>
      <c r="E29" s="18"/>
      <c r="G29" s="109"/>
    </row>
    <row r="30" spans="2:7" ht="15" customHeight="1">
      <c r="B30" s="1" t="s">
        <v>146</v>
      </c>
      <c r="D30" s="60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09"/>
    </row>
    <row r="31" spans="2:7" ht="15" customHeight="1">
      <c r="B31" s="32" t="s">
        <v>147</v>
      </c>
      <c r="D31" s="59">
        <f t="shared" ref="D31:D35" si="3">IF(E31="Strongly disagree",0,IF(E31="disagree",1,IF(E31="unclear",2,IF(E31="agree",3,4))))</f>
        <v>2</v>
      </c>
      <c r="E31" s="156" t="s">
        <v>125</v>
      </c>
      <c r="F31" s="6"/>
      <c r="G31" s="109"/>
    </row>
    <row r="32" spans="2:7" ht="15" customHeight="1">
      <c r="B32" s="32" t="s">
        <v>230</v>
      </c>
      <c r="D32" s="59">
        <f t="shared" si="3"/>
        <v>1</v>
      </c>
      <c r="E32" s="156" t="s">
        <v>133</v>
      </c>
      <c r="F32" s="6"/>
      <c r="G32" s="109"/>
    </row>
    <row r="33" spans="2:7" ht="15" customHeight="1">
      <c r="B33" s="32" t="s">
        <v>231</v>
      </c>
      <c r="D33" s="59">
        <f t="shared" si="3"/>
        <v>0</v>
      </c>
      <c r="E33" s="156" t="s">
        <v>148</v>
      </c>
      <c r="F33" s="6"/>
      <c r="G33" s="109"/>
    </row>
    <row r="34" spans="2:7" ht="15" customHeight="1">
      <c r="B34" s="32" t="s">
        <v>232</v>
      </c>
      <c r="D34" s="59">
        <f t="shared" si="3"/>
        <v>1</v>
      </c>
      <c r="E34" s="156" t="s">
        <v>133</v>
      </c>
      <c r="F34" s="6"/>
      <c r="G34" s="109"/>
    </row>
    <row r="35" spans="2:7" ht="15" customHeight="1">
      <c r="B35" s="32" t="s">
        <v>246</v>
      </c>
      <c r="D35" s="59">
        <f t="shared" si="3"/>
        <v>4</v>
      </c>
      <c r="E35" s="156" t="s">
        <v>135</v>
      </c>
      <c r="G35" s="109" t="s">
        <v>342</v>
      </c>
    </row>
    <row r="36" spans="2:7" ht="15" customHeight="1">
      <c r="B36" s="1" t="s">
        <v>149</v>
      </c>
      <c r="D36" s="60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09"/>
    </row>
    <row r="37" spans="2:7" ht="15" customHeight="1">
      <c r="B37" s="32" t="s">
        <v>150</v>
      </c>
      <c r="D37" s="59">
        <f t="shared" ref="D37:D41" si="4">IF(E37="Strongly disagree",0,IF(E37="disagree",1,IF(E37="unclear",2,IF(E37="agree",3,4))))</f>
        <v>4</v>
      </c>
      <c r="E37" s="156" t="s">
        <v>135</v>
      </c>
      <c r="F37" s="6"/>
      <c r="G37" s="109"/>
    </row>
    <row r="38" spans="2:7" ht="15" customHeight="1">
      <c r="B38" s="32" t="s">
        <v>233</v>
      </c>
      <c r="D38" s="59">
        <f t="shared" si="4"/>
        <v>4</v>
      </c>
      <c r="E38" s="156" t="s">
        <v>135</v>
      </c>
      <c r="F38" s="6"/>
      <c r="G38" s="109"/>
    </row>
    <row r="39" spans="2:7" ht="15" customHeight="1">
      <c r="B39" s="32" t="s">
        <v>234</v>
      </c>
      <c r="D39" s="59">
        <f t="shared" si="4"/>
        <v>4</v>
      </c>
      <c r="E39" s="156" t="s">
        <v>135</v>
      </c>
      <c r="F39" s="6"/>
      <c r="G39" s="109"/>
    </row>
    <row r="40" spans="2:7" ht="15" customHeight="1">
      <c r="B40" s="32" t="s">
        <v>235</v>
      </c>
      <c r="D40" s="59">
        <f t="shared" si="4"/>
        <v>4</v>
      </c>
      <c r="E40" s="156" t="s">
        <v>135</v>
      </c>
      <c r="F40" s="6"/>
      <c r="G40" s="109"/>
    </row>
    <row r="41" spans="2:7" ht="15" customHeight="1">
      <c r="B41" s="32" t="s">
        <v>236</v>
      </c>
      <c r="D41" s="59">
        <f t="shared" si="4"/>
        <v>4</v>
      </c>
      <c r="E41" s="156" t="s">
        <v>135</v>
      </c>
      <c r="G41" s="109"/>
    </row>
    <row r="42" spans="2:7" ht="15" customHeight="1">
      <c r="B42" s="1" t="s">
        <v>151</v>
      </c>
      <c r="D42" s="60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09"/>
    </row>
    <row r="43" spans="2:7" ht="15" customHeight="1">
      <c r="B43" s="32" t="s">
        <v>152</v>
      </c>
      <c r="D43" s="59">
        <f t="shared" ref="D43:D48" si="5">IF(E43="Strongly disagree",0,IF(E43="disagree",1,IF(E43="unclear",2,IF(E43="agree",3,4))))</f>
        <v>1</v>
      </c>
      <c r="E43" s="156" t="s">
        <v>133</v>
      </c>
      <c r="F43" s="6"/>
      <c r="G43" s="109"/>
    </row>
    <row r="44" spans="2:7" ht="15" customHeight="1">
      <c r="B44" s="32" t="s">
        <v>153</v>
      </c>
      <c r="D44" s="59">
        <f t="shared" si="5"/>
        <v>4</v>
      </c>
      <c r="E44" s="156" t="s">
        <v>135</v>
      </c>
      <c r="F44" s="6"/>
      <c r="G44" s="109"/>
    </row>
    <row r="45" spans="2:7" ht="15" customHeight="1">
      <c r="B45" s="32" t="s">
        <v>154</v>
      </c>
      <c r="D45" s="59">
        <f t="shared" si="5"/>
        <v>4</v>
      </c>
      <c r="E45" s="156" t="s">
        <v>135</v>
      </c>
      <c r="F45" s="6"/>
      <c r="G45" s="109"/>
    </row>
    <row r="46" spans="2:7" ht="15" customHeight="1">
      <c r="B46" s="32" t="s">
        <v>155</v>
      </c>
      <c r="D46" s="59">
        <f t="shared" si="5"/>
        <v>0</v>
      </c>
      <c r="E46" s="156" t="s">
        <v>148</v>
      </c>
      <c r="F46" s="6"/>
      <c r="G46" s="109"/>
    </row>
    <row r="47" spans="2:7" ht="15" customHeight="1">
      <c r="B47" s="32" t="s">
        <v>156</v>
      </c>
      <c r="D47" s="59">
        <f t="shared" si="5"/>
        <v>4</v>
      </c>
      <c r="E47" s="156" t="s">
        <v>135</v>
      </c>
      <c r="F47" s="6"/>
      <c r="G47" s="109"/>
    </row>
    <row r="48" spans="2:7" ht="15" customHeight="1">
      <c r="B48" s="32" t="s">
        <v>182</v>
      </c>
      <c r="D48" s="59">
        <f t="shared" si="5"/>
        <v>0</v>
      </c>
      <c r="E48" s="156" t="s">
        <v>148</v>
      </c>
      <c r="F48" s="6"/>
      <c r="G48" s="109"/>
    </row>
    <row r="49" spans="2:8" ht="15" customHeight="1">
      <c r="B49" s="1" t="s">
        <v>157</v>
      </c>
      <c r="D49" s="60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09"/>
    </row>
    <row r="50" spans="2:8" ht="15" customHeight="1">
      <c r="B50" s="32" t="s">
        <v>158</v>
      </c>
      <c r="D50" s="59">
        <f t="shared" ref="D50:D52" si="6">IF(E50="Strongly disagree",0,IF(E50="disagree",1,IF(E50="unclear",2,IF(E50="agree",3,4))))</f>
        <v>0</v>
      </c>
      <c r="E50" s="156" t="s">
        <v>148</v>
      </c>
      <c r="G50" s="109"/>
    </row>
    <row r="51" spans="2:8" ht="15" customHeight="1">
      <c r="B51" s="32" t="s">
        <v>159</v>
      </c>
      <c r="D51" s="59">
        <f t="shared" si="6"/>
        <v>4</v>
      </c>
      <c r="E51" s="156" t="s">
        <v>135</v>
      </c>
      <c r="F51" s="6"/>
      <c r="G51" s="109"/>
    </row>
    <row r="52" spans="2:8" ht="15" customHeight="1">
      <c r="B52" s="32" t="s">
        <v>237</v>
      </c>
      <c r="D52" s="59">
        <f t="shared" si="6"/>
        <v>2</v>
      </c>
      <c r="E52" s="156" t="s">
        <v>125</v>
      </c>
      <c r="G52" s="109"/>
    </row>
    <row r="53" spans="2:8" ht="15" customHeight="1">
      <c r="B53" s="32" t="s">
        <v>238</v>
      </c>
      <c r="D53" s="59">
        <f>IF(E53="Strongly disagree",0,IF(E53="disagree",1,IF(E53="unclear",2,IF(E53="agree",3,4))))</f>
        <v>3</v>
      </c>
      <c r="E53" s="156" t="s">
        <v>126</v>
      </c>
      <c r="F53" s="32"/>
      <c r="G53" s="109"/>
      <c r="H53" s="32"/>
    </row>
    <row r="54" spans="2:8" ht="15" customHeight="1">
      <c r="B54" s="32" t="s">
        <v>239</v>
      </c>
      <c r="D54" s="61">
        <f t="array" ref="D54">(1-INDEX(B68:E77,MATCH(E54,B68:B77,0),4))*4</f>
        <v>3.8639455782312924</v>
      </c>
      <c r="E54" s="156" t="s">
        <v>167</v>
      </c>
      <c r="F54" s="32"/>
      <c r="G54" s="109"/>
      <c r="H54" s="32"/>
    </row>
    <row r="55" spans="2:8" ht="15" customHeight="1">
      <c r="B55" s="1" t="s">
        <v>160</v>
      </c>
      <c r="D55" s="62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09"/>
      <c r="H55" s="32"/>
    </row>
    <row r="56" spans="2:8" ht="15" customHeight="1">
      <c r="B56" s="32" t="s">
        <v>161</v>
      </c>
      <c r="D56" s="59">
        <f t="shared" ref="D56:D60" si="7">IF(E56="Strongly disagree",0,IF(E56="disagree",1,IF(E56="unclear",2,IF(E56="agree",3,4))))</f>
        <v>3</v>
      </c>
      <c r="E56" s="156" t="s">
        <v>126</v>
      </c>
      <c r="F56" s="32"/>
      <c r="G56" s="109"/>
      <c r="H56" s="32"/>
    </row>
    <row r="57" spans="2:8" ht="15" customHeight="1">
      <c r="B57" s="32" t="s">
        <v>162</v>
      </c>
      <c r="D57" s="59">
        <f t="shared" si="7"/>
        <v>0</v>
      </c>
      <c r="E57" s="156" t="s">
        <v>148</v>
      </c>
      <c r="F57" s="32"/>
      <c r="G57" s="109"/>
      <c r="H57" s="32"/>
    </row>
    <row r="58" spans="2:8" ht="15" customHeight="1">
      <c r="B58" s="32" t="s">
        <v>183</v>
      </c>
      <c r="D58" s="59">
        <f t="shared" si="7"/>
        <v>4</v>
      </c>
      <c r="E58" s="156" t="s">
        <v>135</v>
      </c>
      <c r="F58" s="32"/>
      <c r="G58" s="109"/>
      <c r="H58" s="32"/>
    </row>
    <row r="59" spans="2:8" ht="15" customHeight="1">
      <c r="B59" s="32" t="s">
        <v>184</v>
      </c>
      <c r="D59" s="59">
        <f t="shared" si="7"/>
        <v>2</v>
      </c>
      <c r="E59" s="156" t="s">
        <v>125</v>
      </c>
      <c r="F59" s="32"/>
      <c r="G59" s="109"/>
      <c r="H59" s="32"/>
    </row>
    <row r="60" spans="2:8" ht="15" customHeight="1">
      <c r="B60" s="32" t="s">
        <v>185</v>
      </c>
      <c r="D60" s="59">
        <f t="shared" si="7"/>
        <v>2</v>
      </c>
      <c r="E60" s="156" t="s">
        <v>125</v>
      </c>
      <c r="F60" s="32"/>
      <c r="G60" s="109"/>
      <c r="H60" s="32"/>
    </row>
    <row r="61" spans="2:8" ht="15" customHeight="1">
      <c r="B61" s="32" t="s">
        <v>186</v>
      </c>
      <c r="D61" s="59">
        <f>IF(E61="Strongly disagree",0,IF(E61="disagree",1,IF(E61="non-perishable",2,IF(E61="agree",3,4))))</f>
        <v>2</v>
      </c>
      <c r="E61" s="156" t="s">
        <v>288</v>
      </c>
      <c r="F61" s="32"/>
      <c r="G61" s="109"/>
      <c r="H61" s="32"/>
    </row>
    <row r="62" spans="2:8" ht="15" customHeight="1">
      <c r="B62" s="82" t="s">
        <v>163</v>
      </c>
      <c r="D62" s="76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09"/>
      <c r="H62" s="32"/>
    </row>
    <row r="63" spans="2:8" ht="15" customHeight="1">
      <c r="D63" s="6"/>
      <c r="E63" s="6"/>
      <c r="G63" s="109"/>
    </row>
    <row r="64" spans="2:8" ht="15" customHeight="1">
      <c r="B64" s="57" t="s">
        <v>164</v>
      </c>
      <c r="D64" s="54">
        <f>E64*4</f>
        <v>1.6246938775510205</v>
      </c>
      <c r="E64" s="185">
        <f>AVERAGE(AVERAGE(D12:D16)/4,AVERAGE(D18:D22)/4,AVERAGE(D24:D28)/4,D62)</f>
        <v>0.40617346938775512</v>
      </c>
      <c r="G64" s="109"/>
    </row>
    <row r="65" spans="2:7" ht="15" customHeight="1">
      <c r="G65" s="110"/>
    </row>
    <row r="66" spans="2:7" ht="15" customHeight="1">
      <c r="B66" s="33" t="s">
        <v>165</v>
      </c>
      <c r="C66" s="7"/>
      <c r="D66" s="7"/>
      <c r="E66" s="34"/>
    </row>
    <row r="67" spans="2:7" ht="15" customHeight="1">
      <c r="B67" s="63" t="s">
        <v>166</v>
      </c>
      <c r="C67" s="64"/>
      <c r="D67" s="64"/>
      <c r="E67" s="65"/>
    </row>
    <row r="68" spans="2:7" ht="15" customHeight="1">
      <c r="B68" s="66" t="s">
        <v>167</v>
      </c>
      <c r="C68" s="64"/>
      <c r="D68" s="64">
        <v>1</v>
      </c>
      <c r="E68" s="67">
        <f t="shared" ref="E68:E76" si="8">D68/MAX($D$68:$D$77)</f>
        <v>3.4013605442176874E-2</v>
      </c>
    </row>
    <row r="69" spans="2:7" ht="15" customHeight="1">
      <c r="B69" s="66" t="str">
        <f t="shared" ref="B69:B77" si="9">C69&amp;", "&amp;D69&amp;"y"</f>
        <v>Information Technology Like, 6.6y</v>
      </c>
      <c r="C69" s="64" t="s">
        <v>168</v>
      </c>
      <c r="D69" s="64">
        <v>6.6</v>
      </c>
      <c r="E69" s="67">
        <f t="shared" si="8"/>
        <v>0.22448979591836735</v>
      </c>
    </row>
    <row r="70" spans="2:7" ht="15" customHeight="1">
      <c r="B70" s="66" t="str">
        <f t="shared" si="9"/>
        <v>Healthcare, 11.4y</v>
      </c>
      <c r="C70" s="64" t="s">
        <v>169</v>
      </c>
      <c r="D70" s="64">
        <v>11.4</v>
      </c>
      <c r="E70" s="67">
        <f t="shared" si="8"/>
        <v>0.38775510204081637</v>
      </c>
    </row>
    <row r="71" spans="2:7" ht="15" customHeight="1">
      <c r="B71" s="66" t="str">
        <f t="shared" si="9"/>
        <v>Consumer Discretionary, 12.4y</v>
      </c>
      <c r="C71" s="64" t="s">
        <v>170</v>
      </c>
      <c r="D71" s="64">
        <v>12.4</v>
      </c>
      <c r="E71" s="67">
        <f t="shared" si="8"/>
        <v>0.42176870748299322</v>
      </c>
    </row>
    <row r="72" spans="2:7" ht="15" customHeight="1">
      <c r="B72" s="66" t="str">
        <f t="shared" si="9"/>
        <v>Consumer Staples, 15.1y</v>
      </c>
      <c r="C72" s="64" t="s">
        <v>171</v>
      </c>
      <c r="D72" s="64">
        <v>15.1</v>
      </c>
      <c r="E72" s="67">
        <f t="shared" si="8"/>
        <v>0.51360544217687076</v>
      </c>
    </row>
    <row r="73" spans="2:7" ht="15" customHeight="1">
      <c r="B73" s="66" t="str">
        <f t="shared" si="9"/>
        <v>Industrials, 15.4y</v>
      </c>
      <c r="C73" s="64" t="s">
        <v>172</v>
      </c>
      <c r="D73" s="64">
        <v>15.4</v>
      </c>
      <c r="E73" s="67">
        <f t="shared" si="8"/>
        <v>0.52380952380952384</v>
      </c>
    </row>
    <row r="74" spans="2:7" ht="15" customHeight="1">
      <c r="B74" s="66" t="str">
        <f t="shared" si="9"/>
        <v>Telecommunication Services, 16.1y</v>
      </c>
      <c r="C74" s="64" t="s">
        <v>173</v>
      </c>
      <c r="D74" s="64">
        <v>16.100000000000001</v>
      </c>
      <c r="E74" s="67">
        <f t="shared" si="8"/>
        <v>0.54761904761904767</v>
      </c>
    </row>
    <row r="75" spans="2:7" ht="15" customHeight="1">
      <c r="B75" s="66" t="str">
        <f t="shared" si="9"/>
        <v>Energy, 17.6y</v>
      </c>
      <c r="C75" s="64" t="s">
        <v>174</v>
      </c>
      <c r="D75" s="64">
        <v>17.600000000000001</v>
      </c>
      <c r="E75" s="67">
        <f t="shared" si="8"/>
        <v>0.59863945578231303</v>
      </c>
    </row>
    <row r="76" spans="2:7" ht="15" customHeight="1">
      <c r="B76" s="66" t="str">
        <f t="shared" si="9"/>
        <v>Materials, 18.6y</v>
      </c>
      <c r="C76" s="64" t="s">
        <v>175</v>
      </c>
      <c r="D76" s="64">
        <v>18.600000000000001</v>
      </c>
      <c r="E76" s="67">
        <f t="shared" si="8"/>
        <v>0.63265306122448983</v>
      </c>
    </row>
    <row r="77" spans="2:7" ht="15" customHeight="1">
      <c r="B77" s="68" t="str">
        <f t="shared" si="9"/>
        <v>Utilities, 29.4y</v>
      </c>
      <c r="C77" s="69" t="s">
        <v>176</v>
      </c>
      <c r="D77" s="69">
        <v>29.4</v>
      </c>
      <c r="E77" s="70">
        <f>D77/MAX($D$69:$D$77)</f>
        <v>1</v>
      </c>
    </row>
  </sheetData>
  <dataConsolidate/>
  <phoneticPr fontId="30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Asset_Model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2024-02-15T10:02:49Z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