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 chen\PycharmProjects\Invest_Proc\financial_models\Opportunities\"/>
    </mc:Choice>
  </mc:AlternateContent>
  <xr:revisionPtr revIDLastSave="0" documentId="8_{A44515BF-A9E7-4B4D-910B-DA5188DB2443}" xr6:coauthVersionLast="47" xr6:coauthVersionMax="47" xr10:uidLastSave="{00000000-0000-0000-0000-000000000000}"/>
  <bookViews>
    <workbookView xWindow="3075" yWindow="1410" windowWidth="21600" windowHeight="11385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8"/>
</workbook>
</file>

<file path=xl/calcChain.xml><?xml version="1.0" encoding="utf-8"?>
<calcChain xmlns="http://schemas.openxmlformats.org/spreadsheetml/2006/main">
  <c r="G4" i="7" l="1"/>
  <c r="H4" i="7" s="1"/>
  <c r="C40" i="2"/>
  <c r="I5" i="7"/>
  <c r="H5" i="7"/>
  <c r="F33" i="2"/>
  <c r="C33" i="2"/>
  <c r="F20" i="7"/>
  <c r="G5" i="7"/>
  <c r="I4" i="7" l="1"/>
  <c r="I6" i="7" s="1"/>
  <c r="I12" i="7" s="1"/>
  <c r="H6" i="7"/>
  <c r="G6" i="7"/>
  <c r="G12" i="7" s="1"/>
  <c r="H12" i="7" s="1"/>
  <c r="H7" i="7"/>
  <c r="G20" i="7"/>
  <c r="H20" i="7" s="1"/>
  <c r="I20" i="7" s="1"/>
  <c r="H11" i="7" l="1"/>
  <c r="G8" i="7"/>
  <c r="I7" i="7"/>
  <c r="F35" i="2"/>
  <c r="G35" i="2"/>
  <c r="H35" i="2"/>
  <c r="I35" i="2"/>
  <c r="J35" i="2"/>
  <c r="K35" i="2"/>
  <c r="L35" i="2"/>
  <c r="M35" i="2"/>
  <c r="F8" i="7" l="1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8" i="7"/>
  <c r="D8" i="7"/>
  <c r="E8" i="7"/>
  <c r="C6" i="7"/>
  <c r="F6" i="7"/>
  <c r="C45" i="4" s="1"/>
  <c r="E6" i="7"/>
  <c r="D6" i="7"/>
  <c r="C12" i="7"/>
  <c r="D12" i="7"/>
  <c r="E12" i="7"/>
  <c r="F12" i="7"/>
  <c r="I15" i="3"/>
  <c r="C37" i="1"/>
  <c r="B18" i="1" s="1"/>
  <c r="J20" i="1"/>
  <c r="F42" i="1"/>
  <c r="I19" i="7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1" i="7"/>
  <c r="G21" i="7" s="1"/>
  <c r="H21" i="7" s="1"/>
  <c r="I21" i="7" s="1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9" i="7"/>
  <c r="E11" i="7"/>
  <c r="D11" i="7"/>
  <c r="C11" i="7"/>
  <c r="E9" i="7"/>
  <c r="H9" i="7" s="1"/>
  <c r="C10" i="7"/>
  <c r="C15" i="7" s="1"/>
  <c r="C13" i="7" s="1"/>
  <c r="D7" i="7"/>
  <c r="E10" i="7"/>
  <c r="E15" i="7" s="1"/>
  <c r="E13" i="7" s="1"/>
  <c r="E7" i="7"/>
  <c r="D9" i="7"/>
  <c r="D10" i="7"/>
  <c r="D15" i="7" s="1"/>
  <c r="B6" i="4"/>
  <c r="B9" i="4"/>
  <c r="J27" i="1"/>
  <c r="C31" i="4"/>
  <c r="C35" i="4"/>
  <c r="G27" i="4"/>
  <c r="D13" i="7" l="1"/>
  <c r="D14" i="7"/>
  <c r="E14" i="7"/>
  <c r="G7" i="7"/>
  <c r="G19" i="7" s="1"/>
  <c r="B16" i="1" l="1"/>
  <c r="H19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D54" i="5" l="1" a="1"/>
  <c r="D54" i="5" s="1"/>
  <c r="D49" i="5" s="1"/>
  <c r="E49" i="5" s="1"/>
  <c r="F7" i="7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19" i="7"/>
  <c r="I7" i="3"/>
  <c r="F11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0" i="7"/>
  <c r="F15" i="7" s="1"/>
  <c r="D55" i="3"/>
  <c r="C30" i="4" s="1"/>
  <c r="E62" i="3"/>
  <c r="C15" i="4" s="1"/>
  <c r="D15" i="4" s="1"/>
  <c r="F47" i="2"/>
  <c r="C13" i="2"/>
  <c r="F9" i="7"/>
  <c r="I8" i="7" s="1"/>
  <c r="I10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F22" i="7" l="1"/>
  <c r="C7" i="4" s="1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3" i="7"/>
  <c r="F14" i="7"/>
  <c r="C38" i="2"/>
  <c r="E55" i="2"/>
  <c r="I15" i="7"/>
  <c r="I13" i="7" s="1"/>
  <c r="I22" i="7" s="1"/>
  <c r="F7" i="4" s="1"/>
  <c r="C17" i="4"/>
  <c r="D17" i="4" s="1"/>
  <c r="C32" i="4"/>
  <c r="G12" i="2"/>
  <c r="D46" i="4"/>
  <c r="G10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D3" i="4"/>
  <c r="D27" i="4" s="1"/>
  <c r="F18" i="7"/>
  <c r="F17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G18" i="4"/>
  <c r="C3" i="7"/>
  <c r="F23" i="7"/>
  <c r="C4" i="4"/>
  <c r="F24" i="7"/>
  <c r="C55" i="2"/>
  <c r="G15" i="7"/>
  <c r="D44" i="3"/>
  <c r="D45" i="3"/>
  <c r="G15" i="4"/>
  <c r="J27" i="3"/>
  <c r="D25" i="3"/>
  <c r="C6" i="4" l="1"/>
  <c r="D6" i="3"/>
  <c r="D7" i="3" s="1"/>
  <c r="G14" i="7"/>
  <c r="G13" i="7"/>
  <c r="G22" i="7" s="1"/>
  <c r="C8" i="4"/>
  <c r="G16" i="7"/>
  <c r="J47" i="3"/>
  <c r="J28" i="3" s="1"/>
  <c r="D31" i="4" l="1"/>
  <c r="D32" i="4" s="1"/>
  <c r="G18" i="7"/>
  <c r="G17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F18" i="4" l="1"/>
  <c r="G16" i="4"/>
  <c r="F16" i="1" s="1"/>
  <c r="H16" i="1" s="1"/>
  <c r="D6" i="4"/>
  <c r="D5" i="4"/>
  <c r="G24" i="7"/>
  <c r="D8" i="4"/>
  <c r="D28" i="4" s="1"/>
  <c r="E6" i="3"/>
  <c r="E17" i="4" l="1"/>
  <c r="D33" i="4"/>
  <c r="D34" i="4" s="1"/>
  <c r="D9" i="4"/>
  <c r="H8" i="7"/>
  <c r="H3" i="7"/>
  <c r="E3" i="4" l="1"/>
  <c r="E27" i="4" s="1"/>
  <c r="G45" i="4"/>
  <c r="F45" i="4"/>
  <c r="E45" i="4"/>
  <c r="H10" i="7"/>
  <c r="H15" i="7" s="1"/>
  <c r="I14" i="7" l="1"/>
  <c r="I3" i="7" s="1"/>
  <c r="E2" i="7" s="1"/>
  <c r="H16" i="7"/>
  <c r="H14" i="7"/>
  <c r="H13" i="7"/>
  <c r="H22" i="7" s="1"/>
  <c r="D10" i="4" l="1"/>
  <c r="F3" i="4"/>
  <c r="G4" i="4" s="1"/>
  <c r="B21" i="4" s="1"/>
  <c r="G2" i="4" s="1"/>
  <c r="G26" i="4" s="1"/>
  <c r="E31" i="4"/>
  <c r="I16" i="7"/>
  <c r="H18" i="7"/>
  <c r="H17" i="7" s="1"/>
  <c r="D35" i="4" l="1"/>
  <c r="D36" i="4" s="1"/>
  <c r="D37" i="4" s="1"/>
  <c r="D11" i="4"/>
  <c r="F27" i="4"/>
  <c r="E4" i="4"/>
  <c r="E10" i="4" s="1"/>
  <c r="E11" i="4" s="1"/>
  <c r="E7" i="4"/>
  <c r="F31" i="4"/>
  <c r="I18" i="7"/>
  <c r="E6" i="4" l="1"/>
  <c r="I24" i="7"/>
  <c r="I17" i="7"/>
  <c r="F4" i="4"/>
  <c r="D12" i="4"/>
  <c r="D38" i="4"/>
  <c r="D39" i="4" s="1"/>
  <c r="E5" i="4"/>
  <c r="H24" i="7"/>
  <c r="E8" i="4"/>
  <c r="E28" i="4" s="1"/>
  <c r="E32" i="4" s="1"/>
  <c r="F8" i="4" l="1"/>
  <c r="F28" i="4" s="1"/>
  <c r="F32" i="4" s="1"/>
  <c r="F33" i="4" s="1"/>
  <c r="F34" i="4" s="1"/>
  <c r="F6" i="4"/>
  <c r="F5" i="4"/>
  <c r="F10" i="4"/>
  <c r="E33" i="4"/>
  <c r="E34" i="4" s="1"/>
  <c r="F9" i="4"/>
  <c r="G9" i="4"/>
  <c r="E35" i="4"/>
  <c r="E38" i="4"/>
  <c r="E9" i="4"/>
  <c r="E12" i="4" s="1"/>
  <c r="F11" i="4" l="1"/>
  <c r="F12" i="4" s="1"/>
  <c r="F35" i="4"/>
  <c r="F36" i="4" s="1"/>
  <c r="F37" i="4" s="1"/>
  <c r="G38" i="4"/>
  <c r="G34" i="4"/>
  <c r="G37" i="4" s="1"/>
  <c r="G11" i="4"/>
  <c r="F38" i="4" l="1"/>
  <c r="F39" i="4" s="1"/>
  <c r="E22" i="4"/>
  <c r="F22" i="4" s="1"/>
  <c r="E23" i="4"/>
  <c r="F23" i="4" s="1"/>
  <c r="G23" i="4" s="1"/>
  <c r="G22" i="4" l="1"/>
  <c r="E36" i="4"/>
  <c r="E37" i="4" l="1"/>
  <c r="E39" i="4" s="1"/>
  <c r="G39" i="4"/>
  <c r="G24" i="4"/>
  <c r="G41" i="4" l="1"/>
  <c r="C44" i="4" s="1"/>
  <c r="G44" i="4" s="1"/>
  <c r="C47" i="4" l="1"/>
  <c r="C46" i="4"/>
  <c r="G46" i="4" s="1"/>
  <c r="E44" i="4"/>
  <c r="F44" i="4"/>
  <c r="E14" i="1"/>
  <c r="F47" i="4" l="1"/>
  <c r="G47" i="4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<sst xmlns="http://schemas.openxmlformats.org/spreadsheetml/2006/main" count="476" uniqueCount="409">
  <si>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</si>
  <si>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</si>
  <si>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</si>
  <si>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</si>
  <si>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</si>
  <si>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</si>
  <si>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</si>
  <si>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</si>
  <si>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</si>
  <si>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</si>
  <si>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</si>
  <si>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</si>
  <si>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</si>
  <si>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</si>
  <si>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</si>
  <si>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</si>
  <si>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</si>
  <si>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</si>
  <si>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</si>
  <si>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</si>
  <si>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</si>
  <si>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</si>
  <si>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</si>
  <si>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</si>
  <si>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</si>
  <si>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</si>
  <si>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</si>
  <si>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</si>
  <si>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</si>
  <si>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</si>
  <si>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</si>
  <si>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</si>
  <si>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</si>
  <si>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</si>
  <si>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</si>
  <si>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</si>
  <si>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</si>
  <si>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</si>
  <si>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</si>
  <si>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</si>
  <si>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</si>
  <si>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</si>
  <si>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</si>
  <si>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</si>
  <si>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</si>
  <si>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</si>
  <si>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</si>
  <si>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</si>
  <si>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</si>
  <si>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</si>
  <si>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</si>
  <si>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</si>
  <si>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</si>
  <si>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</si>
  <si>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</si>
  <si>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</si>
  <si>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</si>
  <si>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</si>
  <si>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</si>
  <si>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</si>
  <si>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</si>
  <si>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</si>
  <si>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</si>
  <si>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</si>
  <si>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</si>
  <si>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</si>
  <si>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</si>
  <si>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</si>
  <si>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</si>
  <si>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</si>
  <si>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</si>
  <si>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</si>
  <si>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</si>
  <si>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</si>
  <si>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</si>
  <si>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</si>
  <si>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</si>
  <si>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</si>
  <si>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</si>
  <si>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</si>
  <si>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</si>
  <si>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</si>
  <si>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</si>
  <si>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</si>
  <si>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</si>
  <si>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</si>
  <si>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</si>
  <si>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</si>
  <si>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</si>
  <si>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</si>
  <si>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</si>
  <si>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</si>
  <si>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</si>
  <si>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</si>
  <si>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</si>
  <si>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</si>
  <si>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</si>
  <si>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</si>
  <si>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</si>
  <si>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</si>
  <si>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</si>
  <si>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</si>
  <si>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</si>
  <si>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</si>
  <si>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</si>
  <si>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</si>
  <si>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</si>
  <si>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</si>
  <si>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</si>
  <si>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</si>
  <si>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</si>
  <si>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</si>
  <si>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</si>
  <si>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</si>
  <si>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</si>
  <si>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</si>
  <si>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</si>
  <si>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</si>
  <si>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</si>
  <si>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</si>
  <si>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</si>
  <si>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</si>
  <si>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</si>
  <si>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</si>
  <si>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</si>
  <si>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</si>
  <si>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</si>
  <si>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</si>
  <si>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</si>
  <si>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</si>
  <si>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</si>
  <si>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</si>
  <si>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</si>
  <si>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</si>
  <si>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</si>
  <si>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</si>
  <si>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</si>
  <si>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</si>
  <si>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</si>
  <si>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</si>
  <si>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</si>
  <si>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</si>
  <si>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</si>
  <si>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</si>
  <si>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</si>
  <si>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</si>
  <si>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</si>
  <si>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</si>
  <si>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</si>
  <si>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</si>
  <si>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</si>
  <si>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</si>
  <si>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</si>
  <si>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</si>
  <si>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</si>
  <si>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</si>
  <si>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</si>
  <si>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</si>
  <si>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</si>
  <si>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</si>
  <si>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</si>
  <si>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</si>
  <si>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</si>
  <si>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</si>
  <si>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</si>
  <si>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</si>
  <si>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</si>
  <si>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</si>
  <si>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</si>
  <si>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</si>
  <si>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</si>
  <si>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</si>
  <si>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</si>
  <si>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</si>
  <si>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</si>
  <si>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</si>
  <si>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</si>
  <si>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</si>
  <si>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</si>
  <si>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</si>
  <si>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</si>
  <si>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</si>
  <si>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</si>
  <si>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</si>
  <si>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</si>
  <si>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</si>
  <si>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</si>
  <si>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</si>
  <si>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</si>
  <si>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</si>
  <si>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</si>
  <si>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</si>
  <si>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</si>
  <si>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</si>
  <si>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</si>
  <si>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</si>
  <si>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</si>
  <si>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</si>
  <si>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</si>
  <si>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</si>
  <si>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</si>
  <si>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</si>
  <si>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</si>
  <si>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</si>
  <si>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</si>
  <si>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</si>
  <si>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</si>
  <si>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</si>
  <si>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</si>
  <si>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</si>
  <si>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</si>
  <si>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</si>
  <si>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</si>
  <si>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</si>
  <si>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</si>
  <si>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</si>
  <si>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</si>
  <si>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</si>
  <si>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</si>
  <si>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</si>
  <si>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</si>
  <si>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</si>
  <si>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</si>
  <si>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</si>
  <si>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</si>
  <si>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</si>
  <si>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</si>
  <si>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</si>
  <si>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</si>
  <si>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</si>
  <si>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</si>
  <si>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</si>
  <si>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</si>
  <si>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</si>
  <si>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</si>
  <si>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</si>
  <si>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</si>
  <si>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</si>
  <si>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</si>
  <si>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</si>
  <si>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</si>
  <si>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</si>
  <si>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</si>
  <si>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</si>
  <si>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</si>
  <si>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</si>
  <si>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</si>
  <si>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</si>
  <si>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</si>
  <si>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</si>
  <si>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</si>
  <si>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</si>
  <si>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</si>
  <si>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</si>
  <si>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</si>
  <si>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</si>
  <si>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</si>
  <si>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</si>
  <si>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</si>
  <si>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</si>
  <si>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</si>
  <si>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</si>
  <si>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</si>
  <si>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</si>
  <si>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</si>
  <si>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</si>
  <si>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</si>
  <si>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</si>
  <si>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</si>
  <si>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</si>
  <si>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</si>
  <si>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</si>
  <si>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</si>
  <si>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</si>
  <si>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</si>
  <si>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</si>
  <si>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</si>
  <si>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</si>
  <si>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</si>
  <si>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</si>
  <si>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</si>
  <si>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</si>
  <si>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</si>
  <si>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</si>
  <si>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</si>
  <si>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</si>
  <si>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</si>
  <si>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</si>
  <si>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</si>
  <si>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</si>
  <si>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</si>
  <si>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</si>
  <si>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</si>
  <si>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</si>
  <si>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</si>
  <si>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</si>
  <si>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</si>
  <si>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</si>
  <si>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</si>
  <si>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</si>
  <si>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</si>
  <si>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</si>
  <si>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</si>
  <si>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</si>
  <si>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</si>
  <si>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</si>
  <si>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</si>
  <si>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</si>
  <si>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</si>
  <si>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</si>
  <si>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</si>
  <si>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</si>
  <si>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</si>
  <si>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</si>
  <si>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</si>
  <si>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</si>
  <si>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</si>
  <si>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</si>
  <si>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</si>
  <si>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</si>
  <si>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</si>
  <si>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</si>
  <si>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</si>
  <si>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</si>
  <si>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</si>
  <si>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</si>
  <si>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</si>
  <si>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</si>
  <si>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</si>
  <si>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</si>
  <si>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</si>
  <si>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</si>
  <si>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</si>
  <si>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</si>
  <si>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</si>
  <si>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</si>
  <si>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WCInv</t>
  </si>
  <si>
    <t>R&amp;D</t>
  </si>
  <si>
    <t>FCInv / Sales</t>
  </si>
  <si>
    <t>Reinvestment =</t>
  </si>
  <si>
    <t>b = FCInv/NOPAT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</si>
  <si>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</si>
  <si>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</si>
  <si>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</si>
  <si>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</si>
  <si>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</si>
  <si>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</si>
  <si>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</si>
  <si>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</si>
  <si>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</si>
  <si>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</si>
  <si>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</si>
  <si>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</si>
  <si>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</si>
  <si>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</si>
  <si>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</si>
  <si>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</si>
  <si>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</si>
  <si>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</si>
  <si>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</si>
  <si>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</si>
  <si>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</si>
  <si>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</si>
  <si>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</si>
  <si>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</si>
  <si>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</si>
  <si>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</si>
  <si>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</si>
  <si>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</si>
  <si>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</si>
  <si>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</si>
  <si>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</si>
  <si>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</si>
  <si>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</si>
  <si>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</si>
  <si>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</si>
  <si>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</si>
  <si>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</si>
  <si>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</si>
  <si>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</si>
  <si>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</si>
  <si>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</si>
  <si>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</si>
  <si>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</si>
  <si>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</si>
  <si>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</si>
  <si>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</si>
  <si>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</si>
  <si>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</si>
  <si>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Chinese EV makers rapid expand production</t>
  </si>
  <si>
    <t>下游车厂价格战导致成本压力向上游传导，公司盈利能力明显下降</t>
  </si>
  <si>
    <t>2. Sentiment Trap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</si>
  <si>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</si>
  <si>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</si>
  <si>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</si>
  <si>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</si>
  <si>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</si>
  <si>
    <t>0411.HK</t>
  </si>
  <si>
    <t>LAM SOON (HK)</t>
  </si>
  <si>
    <t>FY</t>
  </si>
  <si>
    <t>麵粉、食用油及家居護理產品業務</t>
  </si>
  <si>
    <t>1. Good brand value to compete in high-end market
2. Established distribution channels in China</t>
  </si>
  <si>
    <t>1. The dividend is a bit low given the payout ratio
2. Cyclical market that's not in company's control</t>
  </si>
  <si>
    <t>1. Chinese is still fundamentally sound with ample rooms to grow in consumption</t>
  </si>
  <si>
    <t>1. 商品和原材料價格高
2. 供應鏈和通脹压力
3. 消费降级</t>
  </si>
  <si>
    <t>Information Technology Like, 6.6y</t>
  </si>
  <si>
    <t>食品</t>
  </si>
  <si>
    <t>家居护理</t>
  </si>
  <si>
    <t>Slow Growers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</si>
</sst>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_ * #,##0.00_ ;_ * \-#,##0.00_ ;_ * &quot;-&quot;??_ ;_ @_ "/>
    <numFmt numFmtId="165" formatCode="yyyy\-mm\-dd"/>
    <numFmt numFmtId="166" formatCode="#,##0&quot;mm&quot;"/>
    <numFmt numFmtId="167" formatCode="#,##0.00&quot;x&quot;"/>
    <numFmt numFmtId="168" formatCode="0.00\x"/>
    <numFmt numFmtId="169" formatCode="&quot;Base Allocation &quot;0%"/>
    <numFmt numFmtId="170" formatCode="&quot;Increased Allocation &quot;0%"/>
    <numFmt numFmtId="171" formatCode="&quot;Last Allocation &quot;0%"/>
    <numFmt numFmtId="172" formatCode="[$$]#,##0&quot;m&quot;"/>
    <numFmt numFmtId="173" formatCode="&quot;Past &quot;0&quot; yrs Avg. NI&quot;"/>
    <numFmt numFmtId="174" formatCode="0.00&quot;x&quot;"/>
    <numFmt numFmtId="175" formatCode="&quot;Past &quot;0&quot; yrs Avg. NOPAT&quot;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  <numFmt numFmtId="186" formatCode="&quot;CI = &quot;0.00"/>
    <numFmt numFmtId="187" formatCode="&quot;ω = &quot;0.00"/>
    <numFmt numFmtId="188" formatCode="&quot;Total &quot;0.00%"/>
    <numFmt numFmtId="189" formatCode="#,##0_ ;[Red]\-#,##0\ "/>
  </numFmts>
  <fonts count="36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  <font>
      <sz val="10"/>
      <color rgb="FF000000"/>
      <name val="Arial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35" fillId="0" borderId="9"/>
    <xf numFmtId="164" fontId="26" fillId="0" borderId="9" applyFont="0" applyFill="0" applyBorder="0" applyAlignment="0" applyProtection="0"/>
    <xf numFmtId="0" fontId="28" fillId="0" borderId="9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5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3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80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7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8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8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8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8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6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6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1" fontId="2" fillId="8" borderId="11" xfId="0" applyNumberFormat="1" applyFont="1" applyFill="1" applyBorder="1" applyAlignment="1">
      <alignment horizontal="center"/>
    </xf>
    <xf numFmtId="165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8" fontId="1" fillId="0" borderId="9" xfId="0" applyNumberFormat="1" applyFont="1" applyBorder="1" applyAlignment="1">
      <alignment horizontal="center"/>
    </xf>
    <xf numFmtId="168" fontId="1" fillId="0" borderId="11" xfId="0" applyNumberFormat="1" applyFont="1" applyBorder="1" applyAlignment="1">
      <alignment horizontal="center"/>
    </xf>
    <xf numFmtId="167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5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8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4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4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6" fontId="1" fillId="0" borderId="9" xfId="0" applyNumberFormat="1" applyFont="1" applyBorder="1" applyAlignment="1">
      <alignment horizontal="center"/>
    </xf>
    <xf numFmtId="187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80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9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8" fontId="4" fillId="9" borderId="9" xfId="0" applyNumberFormat="1" applyFont="1" applyFill="1" applyBorder="1" applyAlignment="1">
      <alignment horizontal="center"/>
    </xf>
    <xf numFmtId="172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6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8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2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70" fontId="1" fillId="0" borderId="9" xfId="0" applyNumberFormat="1" applyFont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88" fontId="1" fillId="14" borderId="9" xfId="0" applyNumberFormat="1" applyFont="1" applyFill="1" applyBorder="1" applyAlignment="1">
      <alignment horizontal="center"/>
    </xf>
    <xf numFmtId="171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5" fontId="2" fillId="9" borderId="9" xfId="0" applyNumberFormat="1" applyFont="1" applyFill="1" applyBorder="1" applyAlignment="1">
      <alignment horizontal="center"/>
    </xf>
    <xf numFmtId="178" fontId="2" fillId="9" borderId="12" xfId="0" applyNumberFormat="1" applyFont="1" applyFill="1" applyBorder="1" applyAlignment="1">
      <alignment horizontal="center"/>
    </xf>
    <xf numFmtId="178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6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6">
    <cellStyle name="Comma 2" xfId="4" xr:uid="{7DBEB12B-1E3D-4807-A57F-D92C83A1AC60}"/>
    <cellStyle name="Hyperlink 2" xfId="5" xr:uid="{64C14093-5BAB-467A-B722-04374D01926C}"/>
    <cellStyle name="Normal 2" xfId="3" xr:uid="{6D385170-8EFF-4183-AA73-DBF4E0D058A7}"/>
    <cellStyle name="一般" xfId="0" builtinId="0"/>
    <cellStyle name="千分位" xfId="1" builtinId="3"/>
    <cellStyle name="超連結" xfId="2" builtinId="8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108000</c:v>
                </c:pt>
                <c:pt idx="1" formatCode="#,##0">
                  <c:v>140000</c:v>
                </c:pt>
                <c:pt idx="2" formatCode="#,##0">
                  <c:v>108000</c:v>
                </c:pt>
                <c:pt idx="3" formatCode="#,##0">
                  <c:v>108000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104297</c:v>
                </c:pt>
                <c:pt idx="1" formatCode="#,##0">
                  <c:v>108954</c:v>
                </c:pt>
                <c:pt idx="2" formatCode="#,##0">
                  <c:v>113211</c:v>
                </c:pt>
                <c:pt idx="3" formatCode="#,##0">
                  <c:v>48670.8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316889</c:v>
                </c:pt>
                <c:pt idx="1" formatCode="#,##0">
                  <c:v>357698</c:v>
                </c:pt>
                <c:pt idx="2" formatCode="#,##0">
                  <c:v>257260</c:v>
                </c:pt>
                <c:pt idx="3" formatCode="#,##0">
                  <c:v>85349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9" zoomScaleNormal="100" workbookViewId="0">
      <selection activeCell="C32" sqref="C32:D32"/>
    </sheetView>
  </sheetViews>
  <sheetFormatPr defaultColWidth="12.42578125" defaultRowHeight="15" customHeight="1"/>
  <cols>
    <col min="1" max="1" width="2.42578125" style="3" customWidth="1"/>
    <col min="2" max="2" width="28.28515625" style="3" customWidth="1"/>
    <col min="3" max="10" width="14.85546875" style="3" customWidth="1"/>
    <col min="11" max="11" width="14.42578125" style="3" bestFit="1" customWidth="1"/>
    <col min="12" max="16384" width="12.42578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0411.HK : LAM SOON (HK)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51" t="s">
        <v>397</v>
      </c>
      <c r="D3" s="352"/>
      <c r="E3" s="6"/>
      <c r="G3" s="7" t="s">
        <v>2</v>
      </c>
      <c r="I3" s="360" t="s">
        <v>3</v>
      </c>
      <c r="J3" s="360"/>
    </row>
    <row r="4" spans="1:12" ht="15.75" customHeight="1">
      <c r="B4" s="5" t="s">
        <v>4</v>
      </c>
      <c r="C4" s="353" t="s">
        <v>398</v>
      </c>
      <c r="D4" s="322"/>
      <c r="E4" s="6"/>
      <c r="G4" s="5" t="s">
        <v>5</v>
      </c>
      <c r="I4" s="221">
        <v>8</v>
      </c>
      <c r="J4" s="222" t="s">
        <v>6</v>
      </c>
      <c r="K4" s="92"/>
    </row>
    <row r="5" spans="1:12" ht="15.75" customHeight="1">
      <c r="B5" s="5" t="s">
        <v>7</v>
      </c>
      <c r="C5" s="354">
        <v>44984</v>
      </c>
      <c r="D5" s="322"/>
      <c r="E5" s="79" t="str">
        <f ca="1">IF(C5+30&gt;=TODAY(),"Patience Premium","")</f>
        <v/>
      </c>
      <c r="G5" s="5" t="s">
        <v>8</v>
      </c>
      <c r="I5" s="321">
        <v>243354000</v>
      </c>
      <c r="J5" s="321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45107</v>
      </c>
      <c r="G6" s="85" t="s">
        <v>9</v>
      </c>
      <c r="H6" s="84"/>
      <c r="I6" s="361">
        <f>I4*I5/1000000</f>
        <v>1946.8320000000001</v>
      </c>
      <c r="J6" s="361"/>
      <c r="K6" s="91"/>
    </row>
    <row r="7" spans="1:12" ht="15.75" customHeight="1">
      <c r="B7" s="86" t="s">
        <v>10</v>
      </c>
      <c r="C7" s="218">
        <f>(Data!C42*Exchange_Rate)/I4</f>
        <v>2.5000000000000001E-2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22.810249680722681</v>
      </c>
      <c r="J9" s="166">
        <f>IF(I9="NNI","NNI",1/I9)</f>
        <v>4.3839940991313067E-2</v>
      </c>
    </row>
    <row r="10" spans="1:12" ht="15.75" customHeight="1">
      <c r="B10" s="3" t="s">
        <v>226</v>
      </c>
      <c r="C10" s="122" t="s">
        <v>323</v>
      </c>
      <c r="D10" s="122">
        <v>2.8999999999999998E-2</v>
      </c>
      <c r="E10" s="5"/>
      <c r="G10" s="85" t="s">
        <v>330</v>
      </c>
      <c r="H10" s="84"/>
      <c r="I10" s="165">
        <f>I4/(Data!C29*I12*Data!C4/Common_Shares)</f>
        <v>0.69871259976894196</v>
      </c>
      <c r="J10" s="223">
        <f>I4/(Data!C7*Data!C4/Common_Shares*Exchange_Rate)</f>
        <v>0.38031951158619232</v>
      </c>
    </row>
    <row r="11" spans="1:12" ht="15.75" customHeight="1" thickBot="1">
      <c r="B11" s="124" t="s">
        <v>227</v>
      </c>
      <c r="C11" s="331">
        <f ca="1">C12-D10</f>
        <v>5.1000000000000004E-2</v>
      </c>
      <c r="D11" s="332"/>
      <c r="E11" s="13"/>
      <c r="G11" s="5" t="s">
        <v>14</v>
      </c>
      <c r="H11" s="6"/>
      <c r="I11" s="360" t="s">
        <v>6</v>
      </c>
      <c r="J11" s="360"/>
    </row>
    <row r="12" spans="1:12" ht="15.75" customHeight="1" thickTop="1">
      <c r="B12" s="125" t="s">
        <v>124</v>
      </c>
      <c r="C12" s="367">
        <f ca="1">IF(C10="CN",8%,6%)*IF($C$5+30&gt;=TODAY(),1.2,1)</f>
        <v>0.08</v>
      </c>
      <c r="D12" s="368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278</v>
      </c>
      <c r="D14" s="84"/>
      <c r="E14" s="167">
        <f ca="1">Val_Models!C44</f>
        <v>8.2774107461307942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>
      <c r="B16" s="82">
        <f>I4</f>
        <v>8</v>
      </c>
      <c r="C16" s="347">
        <v>0.2</v>
      </c>
      <c r="D16" s="238">
        <f ca="1">I37/B16-(1+C16)</f>
        <v>2.6993548840377413E-2</v>
      </c>
      <c r="E16" s="341" t="s">
        <v>21</v>
      </c>
      <c r="F16" s="362">
        <f>(Val_Models!G16)*Exchange_Rate</f>
        <v>6.391827543414121</v>
      </c>
      <c r="G16" s="341" t="s">
        <v>22</v>
      </c>
      <c r="H16" s="239">
        <f>B16-$F$16</f>
        <v>1.608172456585879</v>
      </c>
      <c r="I16" s="336">
        <v>0.2</v>
      </c>
      <c r="J16" s="166">
        <f>I16/B16</f>
        <v>2.5000000000000001E-2</v>
      </c>
    </row>
    <row r="17" spans="1:10" ht="15.75" customHeight="1">
      <c r="B17" s="116">
        <f ca="1">MIN((I37+I38)/2,I37/(1+C16), IF(J20=0,E14,I37/(1+C16)))</f>
        <v>8.179956992269183</v>
      </c>
      <c r="C17" s="348"/>
      <c r="D17" s="149">
        <f ca="1">I37/B17-(1+C16)</f>
        <v>0</v>
      </c>
      <c r="E17" s="342"/>
      <c r="F17" s="363"/>
      <c r="G17" s="342"/>
      <c r="H17" s="236">
        <f ca="1">B17-$F$16</f>
        <v>1.7881294488550621</v>
      </c>
      <c r="I17" s="337"/>
      <c r="J17" s="149">
        <f ca="1">I16/B17</f>
        <v>2.4450006300646632E-2</v>
      </c>
    </row>
    <row r="18" spans="1:10" ht="15.75" customHeight="1">
      <c r="B18" s="129">
        <f>C37</f>
        <v>7.8</v>
      </c>
      <c r="C18" s="349"/>
      <c r="D18" s="237">
        <f ca="1">I37/B18-(1+C16)</f>
        <v>5.8454921887566513E-2</v>
      </c>
      <c r="E18" s="343"/>
      <c r="F18" s="364"/>
      <c r="G18" s="343"/>
      <c r="H18" s="98">
        <f>B18-$F$16</f>
        <v>1.4081724565858789</v>
      </c>
      <c r="I18" s="338"/>
      <c r="J18" s="158">
        <f>I16/B18</f>
        <v>2.5641025641025644E-2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408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57" t="s">
        <v>400</v>
      </c>
      <c r="D21" s="358"/>
      <c r="E21" s="359"/>
      <c r="F21" s="359"/>
      <c r="G21" s="359"/>
      <c r="H21" s="359"/>
      <c r="I21" s="359"/>
      <c r="J21" s="359"/>
    </row>
    <row r="22" spans="1:10" ht="52.5" customHeight="1">
      <c r="A22" s="6"/>
      <c r="B22" s="19" t="s">
        <v>25</v>
      </c>
      <c r="C22" s="366" t="s">
        <v>401</v>
      </c>
      <c r="D22" s="352"/>
      <c r="E22" s="352"/>
      <c r="F22" s="352"/>
      <c r="G22" s="366" t="s">
        <v>402</v>
      </c>
      <c r="H22" s="366"/>
      <c r="I22" s="352"/>
      <c r="J22" s="352"/>
    </row>
    <row r="23" spans="1:10" ht="52.5" customHeight="1">
      <c r="A23" s="6"/>
      <c r="B23" s="138" t="s">
        <v>26</v>
      </c>
      <c r="C23" s="339" t="s">
        <v>403</v>
      </c>
      <c r="D23" s="340"/>
      <c r="E23" s="340"/>
      <c r="F23" s="340"/>
      <c r="G23" s="339" t="s">
        <v>404</v>
      </c>
      <c r="H23" s="339"/>
      <c r="I23" s="340"/>
      <c r="J23" s="340"/>
    </row>
    <row r="24" spans="1:10" ht="52.5" customHeight="1">
      <c r="A24" s="6"/>
      <c r="B24" s="19" t="s">
        <v>291</v>
      </c>
      <c r="C24" s="369"/>
      <c r="D24" s="369"/>
      <c r="E24" s="369"/>
      <c r="F24" s="369"/>
      <c r="G24" s="369"/>
      <c r="H24" s="369"/>
      <c r="I24" s="369"/>
      <c r="J24" s="369"/>
    </row>
    <row r="25" spans="1:10" ht="52.5" customHeight="1">
      <c r="A25" s="6"/>
      <c r="B25" s="138" t="s">
        <v>290</v>
      </c>
      <c r="C25" s="370"/>
      <c r="D25" s="370"/>
      <c r="E25" s="370"/>
      <c r="F25" s="370"/>
      <c r="G25" s="370"/>
      <c r="H25" s="370"/>
      <c r="I25" s="370"/>
      <c r="J25" s="370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>
      <c r="B28" s="18" t="s">
        <v>29</v>
      </c>
      <c r="C28" s="355"/>
      <c r="D28" s="356"/>
      <c r="E28" s="346" t="str">
        <f>IF(C28="","","Action_Planning")</f>
        <v/>
      </c>
      <c r="F28" s="346"/>
      <c r="G28" s="346"/>
      <c r="H28" s="346"/>
      <c r="I28" s="365" t="s">
        <v>30</v>
      </c>
      <c r="J28" s="365"/>
    </row>
    <row r="29" spans="1:10" ht="15.75" customHeight="1">
      <c r="B29" s="18" t="s">
        <v>31</v>
      </c>
      <c r="C29" s="335">
        <f>C33/D27</f>
        <v>0.18909090909090909</v>
      </c>
      <c r="D29" s="329"/>
      <c r="E29" s="334">
        <f>E33/D27</f>
        <v>0</v>
      </c>
      <c r="F29" s="329"/>
      <c r="G29" s="345">
        <f>G33/D27</f>
        <v>0</v>
      </c>
      <c r="H29" s="345"/>
      <c r="I29" s="344">
        <f>C29+E29+G29</f>
        <v>0.18909090909090909</v>
      </c>
      <c r="J29" s="344"/>
    </row>
    <row r="30" spans="1:10" ht="15.75" customHeight="1">
      <c r="B30" s="18" t="s">
        <v>32</v>
      </c>
      <c r="C30" s="321">
        <v>16000</v>
      </c>
      <c r="D30" s="322"/>
      <c r="E30" s="321"/>
      <c r="F30" s="322"/>
      <c r="G30" s="321"/>
      <c r="H30" s="321"/>
      <c r="I30" s="350">
        <f>C30+E30+G30</f>
        <v>16000</v>
      </c>
      <c r="J30" s="350"/>
    </row>
    <row r="31" spans="1:10" ht="15.75" customHeight="1">
      <c r="B31" s="18" t="s">
        <v>33</v>
      </c>
      <c r="C31" s="323">
        <v>7.8</v>
      </c>
      <c r="D31" s="322"/>
      <c r="E31" s="323"/>
      <c r="F31" s="322"/>
      <c r="G31" s="323"/>
      <c r="H31" s="323"/>
      <c r="I31" s="333"/>
      <c r="J31" s="333"/>
    </row>
    <row r="32" spans="1:10" ht="15.75" customHeight="1">
      <c r="B32" s="18" t="s">
        <v>34</v>
      </c>
      <c r="C32" s="330">
        <f>C31*$I$5/1000000</f>
        <v>1898.1612</v>
      </c>
      <c r="D32" s="329"/>
      <c r="E32" s="330">
        <f>E31*$I$5/1000000</f>
        <v>0</v>
      </c>
      <c r="F32" s="329"/>
      <c r="G32" s="330">
        <f>G31*$I$5/1000000</f>
        <v>0</v>
      </c>
      <c r="H32" s="330"/>
      <c r="I32" s="333"/>
      <c r="J32" s="333"/>
    </row>
    <row r="33" spans="2:11" ht="15.75" customHeight="1">
      <c r="B33" s="2" t="s">
        <v>35</v>
      </c>
      <c r="C33" s="326">
        <f>C30*C31</f>
        <v>124800</v>
      </c>
      <c r="D33" s="327"/>
      <c r="E33" s="326">
        <f>E30*E31</f>
        <v>0</v>
      </c>
      <c r="F33" s="327"/>
      <c r="G33" s="326">
        <f>G30*G31</f>
        <v>0</v>
      </c>
      <c r="H33" s="326"/>
      <c r="I33" s="326">
        <f>C33+E33+G33</f>
        <v>124800</v>
      </c>
      <c r="J33" s="326"/>
    </row>
    <row r="34" spans="2:11" ht="15.75" customHeight="1">
      <c r="B34" s="1" t="s">
        <v>36</v>
      </c>
      <c r="C34" s="333"/>
      <c r="D34" s="376"/>
      <c r="E34" s="328">
        <f>IF(C33=0,"-",(C33+E33)/(C30+E30))</f>
        <v>7.8</v>
      </c>
      <c r="F34" s="329"/>
      <c r="G34" s="78"/>
      <c r="H34" s="78"/>
      <c r="I34" s="328">
        <f>IF(I33=0,"",I33/I30)</f>
        <v>7.8</v>
      </c>
      <c r="J34" s="328"/>
    </row>
    <row r="35" spans="2:11" ht="15.75" customHeight="1">
      <c r="B35" s="1" t="s">
        <v>37</v>
      </c>
      <c r="C35" s="377"/>
      <c r="D35" s="378"/>
      <c r="E35" s="324">
        <f>IF(E34="-","-",E34*$I$5/1000000)</f>
        <v>1898.1612</v>
      </c>
      <c r="F35" s="325"/>
      <c r="G35" s="230"/>
      <c r="H35" s="230"/>
      <c r="I35" s="324">
        <f>IF(I34="","",I34*$I$5/1000000)</f>
        <v>1898.1612</v>
      </c>
      <c r="J35" s="324"/>
    </row>
    <row r="36" spans="2:11" ht="15.75" customHeight="1"/>
    <row r="37" spans="2:11" ht="15.75" customHeight="1">
      <c r="B37" s="87" t="s">
        <v>255</v>
      </c>
      <c r="C37" s="374">
        <f>C31</f>
        <v>7.8</v>
      </c>
      <c r="D37" s="375"/>
      <c r="E37" s="79" t="str">
        <f ca="1">IF(C37&gt;B17,"Caution! &gt; Breakeven price!","")</f>
        <v/>
      </c>
      <c r="F37" s="6"/>
      <c r="G37" s="371" t="s">
        <v>315</v>
      </c>
      <c r="H37" s="371"/>
      <c r="I37" s="372">
        <f ca="1">Val_Models!C46</f>
        <v>9.8159483907230189</v>
      </c>
      <c r="J37" s="373"/>
    </row>
    <row r="38" spans="2:11" ht="15.75" customHeight="1">
      <c r="B38" s="87" t="s">
        <v>280</v>
      </c>
      <c r="C38" s="374">
        <f>E34</f>
        <v>7.8</v>
      </c>
      <c r="D38" s="375"/>
      <c r="E38" s="6"/>
      <c r="F38" s="6"/>
      <c r="G38" s="371" t="s">
        <v>279</v>
      </c>
      <c r="H38" s="371"/>
      <c r="I38" s="372">
        <f ca="1">Val_Models!C47</f>
        <v>6.6219285969046355</v>
      </c>
      <c r="J38" s="373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267</v>
      </c>
      <c r="C41" s="6"/>
      <c r="D41" s="6"/>
      <c r="E41" s="6"/>
      <c r="F41" s="54">
        <f>Qualitative_Analysis!E8</f>
        <v>0.76</v>
      </c>
      <c r="G41" s="77"/>
      <c r="H41" s="77"/>
      <c r="I41" s="77"/>
      <c r="J41" s="77"/>
    </row>
    <row r="42" spans="2:11" ht="15.75" customHeight="1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0.70000000000000007</v>
      </c>
      <c r="G42" s="77"/>
      <c r="H42" s="77"/>
      <c r="I42" s="77"/>
      <c r="J42" s="77"/>
    </row>
    <row r="43" spans="2:11" ht="15.75" customHeight="1">
      <c r="B43" s="3" t="s">
        <v>272</v>
      </c>
      <c r="C43" s="6"/>
      <c r="D43" s="6"/>
      <c r="E43" s="6"/>
      <c r="F43" s="171">
        <f>Qualitative_Analysis!E64</f>
        <v>0.68682823129251702</v>
      </c>
      <c r="G43" s="77"/>
      <c r="H43" s="77"/>
      <c r="I43" s="77"/>
      <c r="J43" s="77"/>
    </row>
    <row r="44" spans="2:11" ht="15.75" customHeight="1">
      <c r="B44" s="3" t="s">
        <v>335</v>
      </c>
      <c r="C44" s="6"/>
      <c r="D44" s="6"/>
      <c r="E44" s="6"/>
      <c r="F44" s="171">
        <f>AVERAGE(Asset_Model!J28/4,1-Asset_Model!I56)</f>
        <v>0.99924972535389955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>
      <c r="B47" s="3" t="s">
        <v>268</v>
      </c>
      <c r="C47" s="6"/>
      <c r="D47" s="6"/>
      <c r="E47" s="171">
        <f ca="1">I37/C31-1</f>
        <v>0.25845492188756647</v>
      </c>
      <c r="F47" s="171">
        <f ca="1">I37/C38-1</f>
        <v>0.25845492188756647</v>
      </c>
      <c r="G47" s="6"/>
      <c r="H47" s="6"/>
      <c r="I47" s="6"/>
      <c r="J47" s="233"/>
    </row>
    <row r="48" spans="2:11" ht="15.75" customHeight="1">
      <c r="B48" s="3" t="s">
        <v>269</v>
      </c>
      <c r="C48" s="6"/>
      <c r="D48" s="6"/>
      <c r="E48" s="171">
        <f ca="1">Val_Models!C47/C31-1</f>
        <v>-0.1510347952686365</v>
      </c>
      <c r="F48" s="171">
        <f ca="1">Val_Models!C47/C38-1</f>
        <v>-0.1510347952686365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271</v>
      </c>
      <c r="C50" s="6"/>
      <c r="D50" s="6"/>
      <c r="E50" s="54">
        <f ca="1">IF(E47&lt;=0,0,AVERAGE(F41:F44,0.5*(1+E47+E48-C16)))</f>
        <v>0.71995760399117625</v>
      </c>
      <c r="F50" s="171">
        <f ca="1">IF(F47&lt;=0,0,AVERAGE(F41:F44,0.5*(1+F47+F48-C16)))</f>
        <v>0.71995760399117625</v>
      </c>
      <c r="G50" s="77"/>
      <c r="H50" s="6"/>
      <c r="I50" s="6"/>
      <c r="J50" s="6"/>
    </row>
    <row r="51" spans="2:10" ht="15.75" customHeight="1">
      <c r="B51" s="3" t="s">
        <v>270</v>
      </c>
      <c r="C51" s="6"/>
      <c r="D51" s="66"/>
      <c r="E51" s="234">
        <f ca="1">IF(E48&gt;=0,100,E47/ABS(E48))</f>
        <v>1.7112276772241009</v>
      </c>
      <c r="F51" s="234">
        <f ca="1">IF(F48&gt;=0,100,F47/ABS(F48))</f>
        <v>1.7112276772241009</v>
      </c>
      <c r="G51" s="77"/>
      <c r="H51" s="6"/>
      <c r="I51" s="6"/>
      <c r="J51" s="6"/>
    </row>
    <row r="52" spans="2:10" ht="15.75" customHeight="1">
      <c r="B52" s="3" t="s">
        <v>283</v>
      </c>
      <c r="C52" s="6"/>
      <c r="D52" s="6"/>
      <c r="E52" s="232">
        <f ca="1">MAX(C16*2.5/E47,1)+IF(E47&lt;C16,100,0)+IF(J20=1,2/(1+E47+E48-C16),0)</f>
        <v>1.9345733342911957</v>
      </c>
      <c r="F52" s="232">
        <f ca="1">MAX(C16*2.5/F47,1)+IF(F47&lt;C16,100,0)+IF(D18&lt;0,100,0)+IF(J20=1,2/(1+F47+F48-C16),0)</f>
        <v>1.9345733342911957</v>
      </c>
      <c r="G52" s="170"/>
      <c r="H52" s="235"/>
      <c r="I52" s="235"/>
      <c r="J52" s="6"/>
    </row>
    <row r="53" spans="2:10" ht="15.75" customHeight="1">
      <c r="B53" s="3" t="s">
        <v>284</v>
      </c>
      <c r="C53" s="6"/>
      <c r="D53" s="6"/>
      <c r="E53" s="217">
        <f ca="1">MIN(MAX(E50-ABS((1-E50)/E51),0)/E52,H53)</f>
        <v>0.28756088070833569</v>
      </c>
      <c r="F53" s="217">
        <f ca="1">MIN(MAX(F50-ABS((1-F50)/F51),0)/F52,H53)</f>
        <v>0.28756088070833569</v>
      </c>
      <c r="G53" s="170" t="s">
        <v>273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275</v>
      </c>
    </row>
    <row r="56" spans="2:10" ht="15.75" customHeight="1">
      <c r="B56" s="137" t="s">
        <v>276</v>
      </c>
    </row>
    <row r="57" spans="2:10" ht="15.75" customHeight="1">
      <c r="B57" s="3" t="s">
        <v>287</v>
      </c>
    </row>
    <row r="58" spans="2:10" ht="15.75" customHeight="1">
      <c r="B58" s="3" t="s">
        <v>286</v>
      </c>
    </row>
    <row r="59" spans="2:10" ht="15.75" customHeight="1"/>
    <row r="60" spans="2:10" ht="15.75" customHeight="1">
      <c r="B60" s="137" t="s">
        <v>277</v>
      </c>
    </row>
    <row r="61" spans="2:10" ht="15.75" customHeight="1">
      <c r="B61" s="3" t="s">
        <v>288</v>
      </c>
    </row>
    <row r="62" spans="2:10" ht="15.75" customHeight="1">
      <c r="B62" s="3" t="s">
        <v>289</v>
      </c>
    </row>
    <row r="63" spans="2:10" ht="15.75" customHeight="1"/>
    <row r="64" spans="2:10" ht="15.75" customHeight="1">
      <c r="B64" s="137" t="s">
        <v>391</v>
      </c>
    </row>
    <row r="65" spans="2:2" ht="15.75" customHeight="1">
      <c r="B65" s="3" t="s">
        <v>393</v>
      </c>
    </row>
    <row r="66" spans="2:2" ht="15.75" customHeight="1">
      <c r="B66" s="3" t="s">
        <v>392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41" sqref="C41"/>
    </sheetView>
  </sheetViews>
  <sheetFormatPr defaultColWidth="12.42578125" defaultRowHeight="15" customHeight="1"/>
  <cols>
    <col min="1" max="1" width="1.42578125" style="3" customWidth="1"/>
    <col min="2" max="2" width="26.42578125" style="3" customWidth="1"/>
    <col min="3" max="13" width="24.7109375" style="3" customWidth="1"/>
    <col min="14" max="16384" width="12.42578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45107</v>
      </c>
      <c r="D3" s="6"/>
      <c r="E3" s="97">
        <v>1</v>
      </c>
      <c r="F3" s="178">
        <f t="array" ref="F3">AVERAGE(C19:INDEX(C19:M19,1,E3))</f>
        <v>85349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34194.75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45107</v>
      </c>
      <c r="D6" s="114">
        <f>EOMONTH(EDATE(C6,-12),0)</f>
        <v>44742</v>
      </c>
      <c r="E6" s="114">
        <f t="shared" ref="E6:M6" si="0">EOMONTH(EDATE(D6,-12),0)</f>
        <v>44377</v>
      </c>
      <c r="F6" s="114">
        <f t="shared" si="0"/>
        <v>44012</v>
      </c>
      <c r="G6" s="114">
        <f t="shared" si="0"/>
        <v>43646</v>
      </c>
      <c r="H6" s="114">
        <f t="shared" si="0"/>
        <v>43281</v>
      </c>
      <c r="I6" s="114">
        <f t="shared" si="0"/>
        <v>42916</v>
      </c>
      <c r="J6" s="114">
        <f t="shared" si="0"/>
        <v>42551</v>
      </c>
      <c r="K6" s="114">
        <f t="shared" si="0"/>
        <v>42185</v>
      </c>
      <c r="L6" s="114">
        <f t="shared" si="0"/>
        <v>41820</v>
      </c>
      <c r="M6" s="114">
        <f t="shared" si="0"/>
        <v>41455</v>
      </c>
    </row>
    <row r="7" spans="1:14" ht="15.75" customHeight="1">
      <c r="A7" s="9"/>
      <c r="B7" s="159" t="s">
        <v>41</v>
      </c>
      <c r="C7" s="160">
        <v>5118938</v>
      </c>
      <c r="D7" s="160">
        <v>6106635</v>
      </c>
      <c r="E7" s="160">
        <v>5761248</v>
      </c>
      <c r="F7" s="160">
        <v>5119437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-0.16174161383478791</v>
      </c>
      <c r="D8" s="149">
        <f t="shared" si="1"/>
        <v>5.9950031659806946E-2</v>
      </c>
      <c r="E8" s="149">
        <f t="shared" si="1"/>
        <v>0.12536749646494338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v>4242965</v>
      </c>
      <c r="D9" s="148">
        <v>4963246</v>
      </c>
      <c r="E9" s="148">
        <v>4476856</v>
      </c>
      <c r="F9" s="148">
        <v>3925837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0.17112397141750887</v>
      </c>
      <c r="D10" s="149">
        <f t="shared" si="2"/>
        <v>0.18723716089139109</v>
      </c>
      <c r="E10" s="149">
        <f t="shared" si="2"/>
        <v>0.2229364193313671</v>
      </c>
      <c r="F10" s="149">
        <f t="shared" si="2"/>
        <v>0.23315063746267412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v>830380</v>
      </c>
      <c r="D11" s="148">
        <v>897855</v>
      </c>
      <c r="E11" s="148">
        <v>909322</v>
      </c>
      <c r="F11" s="148">
        <v>861523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0.16221724115431757</v>
      </c>
      <c r="D12" s="149">
        <f t="shared" si="3"/>
        <v>0.14702941963945773</v>
      </c>
      <c r="E12" s="149">
        <f t="shared" si="3"/>
        <v>0.15783420536661502</v>
      </c>
      <c r="F12" s="149">
        <f t="shared" si="3"/>
        <v>0.16828471568260339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8.9067302631913106E-3</v>
      </c>
      <c r="D13" s="149">
        <f t="shared" si="4"/>
        <v>4.0207741251933347E-2</v>
      </c>
      <c r="E13" s="149">
        <f t="shared" si="4"/>
        <v>6.5102213964752076E-2</v>
      </c>
      <c r="F13" s="149">
        <f t="shared" si="4"/>
        <v>6.4865921780070737E-2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45593</v>
      </c>
      <c r="D14" s="51">
        <f t="shared" si="5"/>
        <v>245534</v>
      </c>
      <c r="E14" s="51">
        <f t="shared" si="5"/>
        <v>375070</v>
      </c>
      <c r="F14" s="51">
        <f t="shared" si="5"/>
        <v>332077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-0.81431084900665485</v>
      </c>
      <c r="D15" s="149">
        <f t="shared" ref="D15:M15" si="6">IF(E14="","",IF(ABS(D14+E14)=ABS(D14)+ABS(E14),IF(D14&lt;0,-1,1)*(D14-E14)/E14,"Turn"))</f>
        <v>-0.34536486522515797</v>
      </c>
      <c r="E15" s="149">
        <f t="shared" si="6"/>
        <v>0.12946696097591823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IF(C14="","",C14*(1-Projections!$F$16))</f>
        <v>34194.75</v>
      </c>
      <c r="D16" s="51">
        <f>IF(D14="","",D14*(1-Projections!$F$16))</f>
        <v>184150.5</v>
      </c>
      <c r="E16" s="51">
        <f>IF(E14="","",E14*(1-Projections!$F$16))</f>
        <v>281302.5</v>
      </c>
      <c r="F16" s="51">
        <f>IF(F14="","",F14*(1-Projections!$F$16))</f>
        <v>249057.75</v>
      </c>
      <c r="G16" s="51" t="str">
        <f>IF(G14="","",G14*(1-Projections!$F$16))</f>
        <v/>
      </c>
      <c r="H16" s="51" t="str">
        <f>IF(H14="","",H14*(1-Projections!$F$16))</f>
        <v/>
      </c>
      <c r="I16" s="51" t="str">
        <f>IF(I14="","",I14*(1-Projections!$F$16))</f>
        <v/>
      </c>
      <c r="J16" s="51" t="str">
        <f>IF(J14="","",J14*(1-Projections!$F$16))</f>
        <v/>
      </c>
      <c r="K16" s="51" t="str">
        <f>IF(K14="","",K14*(1-Projections!$F$16))</f>
        <v/>
      </c>
      <c r="L16" s="51" t="str">
        <f>IF(L14="","",L14*(1-Projections!$F$16))</f>
        <v/>
      </c>
      <c r="M16" s="51" t="str">
        <f>IF(M14="","",M14*(1-Projections!$F$16))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6.680047697393483E-3</v>
      </c>
      <c r="D17" s="149">
        <f t="shared" si="7"/>
        <v>3.0155805938950012E-2</v>
      </c>
      <c r="E17" s="149">
        <f t="shared" si="7"/>
        <v>4.8826660473564064E-2</v>
      </c>
      <c r="F17" s="149">
        <f t="shared" si="7"/>
        <v>4.8649441335053056E-2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208</v>
      </c>
      <c r="D18" s="148">
        <v>296</v>
      </c>
      <c r="E18" s="148">
        <v>283</v>
      </c>
      <c r="F18" s="148">
        <v>238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85349</v>
      </c>
      <c r="D19" s="148">
        <v>257260</v>
      </c>
      <c r="E19" s="148">
        <v>357698</v>
      </c>
      <c r="F19" s="148">
        <v>316889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-0.66823835808131848</v>
      </c>
      <c r="D20" s="149">
        <f t="shared" ref="D20:M20" si="8">IF(E19="","",IF(ABS(D19+E19)=ABS(D19)+ABS(E19),IF(D19&lt;0,-1,1)*(D19-E19)/E19,"Turn"))</f>
        <v>-0.28078994011708203</v>
      </c>
      <c r="E20" s="149">
        <f t="shared" si="8"/>
        <v>0.12878010912338389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370</v>
      </c>
      <c r="C21" s="150">
        <v>3424978</v>
      </c>
      <c r="D21" s="148">
        <v>3800961</v>
      </c>
      <c r="E21" s="148">
        <v>3675542</v>
      </c>
      <c r="F21" s="148">
        <v>3215099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2541461</v>
      </c>
      <c r="D22" s="148">
        <v>2825784</v>
      </c>
      <c r="E22" s="148">
        <v>2758360</v>
      </c>
      <c r="F22" s="148">
        <v>2522897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622024</v>
      </c>
      <c r="D23" s="148">
        <v>827785</v>
      </c>
      <c r="E23" s="148">
        <v>777784</v>
      </c>
      <c r="F23" s="148">
        <v>717075</v>
      </c>
      <c r="G23" s="148"/>
      <c r="H23" s="148"/>
      <c r="I23" s="148"/>
      <c r="J23" s="148"/>
      <c r="K23" s="148"/>
      <c r="L23" s="148"/>
      <c r="M23" s="148"/>
      <c r="N23" s="6"/>
    </row>
    <row r="24" spans="1:14" ht="15.6" customHeight="1">
      <c r="A24" s="9"/>
      <c r="B24" s="155" t="s">
        <v>54</v>
      </c>
      <c r="C24" s="150">
        <v>3112</v>
      </c>
      <c r="D24" s="148">
        <v>3177</v>
      </c>
      <c r="E24" s="148">
        <v>3365</v>
      </c>
      <c r="F24" s="148">
        <v>2767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3112</v>
      </c>
      <c r="D25" s="152">
        <v>3177</v>
      </c>
      <c r="E25" s="152">
        <v>3365</v>
      </c>
      <c r="F25" s="152">
        <v>2767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1069</v>
      </c>
      <c r="D26" s="148">
        <v>1239</v>
      </c>
      <c r="E26" s="148">
        <v>1847</v>
      </c>
      <c r="F26" s="148">
        <v>1584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1069</v>
      </c>
      <c r="D27" s="152">
        <v>1239</v>
      </c>
      <c r="E27" s="152">
        <v>1847</v>
      </c>
      <c r="F27" s="152">
        <v>1584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4181</v>
      </c>
      <c r="D28" s="51">
        <f t="shared" si="9"/>
        <v>4416</v>
      </c>
      <c r="E28" s="51">
        <f t="shared" si="9"/>
        <v>5212</v>
      </c>
      <c r="F28" s="51">
        <f t="shared" si="9"/>
        <v>4351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2786313</v>
      </c>
      <c r="D29" s="148">
        <v>2959124</v>
      </c>
      <c r="E29" s="148">
        <v>2880665</v>
      </c>
      <c r="F29" s="148">
        <v>2476897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2786313</v>
      </c>
      <c r="D30" s="152">
        <v>2959124</v>
      </c>
      <c r="E30" s="152">
        <v>2880665</v>
      </c>
      <c r="F30" s="152">
        <v>2476897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345</v>
      </c>
      <c r="C31" s="150">
        <v>771353</v>
      </c>
      <c r="D31" s="148">
        <v>846003</v>
      </c>
      <c r="E31" s="148">
        <v>824301</v>
      </c>
      <c r="F31" s="148">
        <v>668030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0</v>
      </c>
      <c r="D32" s="148">
        <v>1009960</v>
      </c>
      <c r="E32" s="148">
        <v>1277330</v>
      </c>
      <c r="F32" s="148">
        <v>1337336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395</v>
      </c>
      <c r="C33" s="161">
        <f>D33</f>
        <v>108000</v>
      </c>
      <c r="D33" s="161">
        <v>108000</v>
      </c>
      <c r="E33" s="161">
        <v>140000</v>
      </c>
      <c r="F33" s="161">
        <f>D33</f>
        <v>108000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364</v>
      </c>
      <c r="C34" s="161">
        <v>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23348.161199999999</v>
      </c>
      <c r="E35" s="154">
        <f>IF(F7="","",IF(E8&lt;0,0,(E7-F7)*Asset_Model!$D$68))</f>
        <v>43386.423599999995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108000</v>
      </c>
      <c r="D36" s="51">
        <f t="shared" si="11"/>
        <v>131348.1612</v>
      </c>
      <c r="E36" s="51">
        <f t="shared" si="11"/>
        <v>183386.42359999998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338</v>
      </c>
      <c r="C37" s="149">
        <f>IF(C36="","",C33/C7)</f>
        <v>2.1098126212898066E-2</v>
      </c>
      <c r="D37" s="149">
        <f t="shared" ref="D37:M37" si="12">IF(D36="","",D33/D7)</f>
        <v>1.7685681230333893E-2</v>
      </c>
      <c r="E37" s="149">
        <f t="shared" si="12"/>
        <v>2.4300290492615489E-2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340</v>
      </c>
      <c r="C38" s="158">
        <f t="shared" ref="C38:M38" si="13">IF(C36="","",C33/C16)</f>
        <v>3.1583795758120763</v>
      </c>
      <c r="D38" s="158">
        <f t="shared" si="13"/>
        <v>0.58647682194726591</v>
      </c>
      <c r="E38" s="158">
        <f t="shared" si="13"/>
        <v>0.49768487660081229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f>0.2*Common_Shares/C4</f>
        <v>48670.8</v>
      </c>
      <c r="D40" s="163">
        <v>113211</v>
      </c>
      <c r="E40" s="163">
        <v>108954</v>
      </c>
      <c r="F40" s="163">
        <v>104297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9302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0.2</v>
      </c>
      <c r="D42" s="162">
        <f t="shared" si="14"/>
        <v>0.46521117384550903</v>
      </c>
      <c r="E42" s="162">
        <f t="shared" si="14"/>
        <v>0.44771813900737195</v>
      </c>
      <c r="F42" s="162">
        <f t="shared" si="14"/>
        <v>0.42858140815437595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3.8224150825546324E-2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354</v>
      </c>
      <c r="C45" s="166">
        <f>IF(C30="","",(C21-C30)/C21)</f>
        <v>0.18647273062775876</v>
      </c>
      <c r="D45" s="166">
        <f>IF(D30="","",(D21-D30)/D21)</f>
        <v>0.22148004149476935</v>
      </c>
      <c r="E45" s="166">
        <f t="shared" ref="E45:M45" si="16">IF(E30="","",(E21-E30)/E21)</f>
        <v>0.21626116638035969</v>
      </c>
      <c r="F45" s="166">
        <f t="shared" si="16"/>
        <v>0.22960474934053351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366</v>
      </c>
      <c r="C46" s="149">
        <f t="shared" ref="C46:M46" si="17">IF(C30="","",C28/C30)</f>
        <v>1.5005492922008402E-3</v>
      </c>
      <c r="D46" s="149">
        <f t="shared" si="17"/>
        <v>1.4923335419536321E-3</v>
      </c>
      <c r="E46" s="149">
        <f t="shared" si="17"/>
        <v>1.8093044487991487E-3</v>
      </c>
      <c r="F46" s="149">
        <f t="shared" si="17"/>
        <v>1.7566334005814533E-3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10.904807462329586</v>
      </c>
      <c r="D47" s="165">
        <f t="shared" si="18"/>
        <v>55.600996376811594</v>
      </c>
      <c r="E47" s="165">
        <f t="shared" si="18"/>
        <v>71.962778204144286</v>
      </c>
      <c r="F47" s="165">
        <f t="shared" si="18"/>
        <v>76.321994943691109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4.5621038317285546E-3</v>
      </c>
      <c r="D48" s="149">
        <f>IF(D14="","",IF(D18&lt;=0,"-",D18/D14))</f>
        <v>1.205535689558269E-3</v>
      </c>
      <c r="E48" s="149">
        <f t="shared" ref="E48:M48" si="19">IF(E14="","",IF(E18&lt;=0,"-",E18/E14))</f>
        <v>7.5452582184658864E-4</v>
      </c>
      <c r="F48" s="149">
        <f t="shared" si="19"/>
        <v>7.1670124699994278E-4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4.0857925096137766</v>
      </c>
      <c r="D49" s="167">
        <f t="shared" si="20"/>
        <v>3.4136690082569747</v>
      </c>
      <c r="E49" s="167">
        <f t="shared" si="20"/>
        <v>3.5464344856669716</v>
      </c>
      <c r="F49" s="167">
        <f t="shared" si="20"/>
        <v>3.5183167730014295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293</v>
      </c>
      <c r="C51" s="166">
        <f t="shared" ref="C51:M51" si="21">C13</f>
        <v>8.9067302631913106E-3</v>
      </c>
      <c r="D51" s="166">
        <f t="shared" si="21"/>
        <v>4.0207741251933347E-2</v>
      </c>
      <c r="E51" s="166">
        <f t="shared" si="21"/>
        <v>6.5102213964752076E-2</v>
      </c>
      <c r="F51" s="166">
        <f t="shared" si="21"/>
        <v>6.4865921780070737E-2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294</v>
      </c>
      <c r="C52" s="149">
        <f>C7/C21</f>
        <v>1.4945900382425814</v>
      </c>
      <c r="D52" s="149">
        <f>IF(D7="","",D7/D21)</f>
        <v>1.6066029091064076</v>
      </c>
      <c r="E52" s="149">
        <f t="shared" ref="E52:M52" si="22">IF(E7="","",E7/E21)</f>
        <v>1.5674553576044024</v>
      </c>
      <c r="F52" s="149">
        <f t="shared" si="22"/>
        <v>1.5923108433052917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372</v>
      </c>
      <c r="C53" s="168">
        <f>C21/C29</f>
        <v>1.2292150953607868</v>
      </c>
      <c r="D53" s="168">
        <f>IF(D29="","",D21/D29)</f>
        <v>1.2844885851353305</v>
      </c>
      <c r="E53" s="168">
        <f t="shared" ref="E53:M53" si="23">IF(E29="","",E21/E29)</f>
        <v>1.2759352441189795</v>
      </c>
      <c r="F53" s="168">
        <f t="shared" si="23"/>
        <v>1.2980350010517192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371</v>
      </c>
      <c r="C54" s="149">
        <f>C51*C52*C53</f>
        <v>1.6363201119185104E-2</v>
      </c>
      <c r="D54" s="149">
        <f>IF(D51="","",D51*D52*D53)</f>
        <v>8.297523185915831E-2</v>
      </c>
      <c r="E54" s="149">
        <f t="shared" ref="E54:M54" si="24">IF(E51="","",E51*E52*E53)</f>
        <v>0.13020257475270466</v>
      </c>
      <c r="F54" s="149">
        <f t="shared" si="24"/>
        <v>0.1340697655170966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295</v>
      </c>
      <c r="C55" s="158">
        <f>C38*C54</f>
        <v>5.1681200209739542E-2</v>
      </c>
      <c r="D55" s="158">
        <f>IF(D38="","",D38*D54)</f>
        <v>4.8663050281096694E-2</v>
      </c>
      <c r="E55" s="158">
        <f t="shared" ref="E55:M55" si="25">IF(E38="","",E38*E54)</f>
        <v>6.4799852348907852E-2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337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324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44" zoomScaleNormal="100" workbookViewId="0">
      <selection activeCell="E64" sqref="E64"/>
    </sheetView>
  </sheetViews>
  <sheetFormatPr defaultColWidth="12.42578125" defaultRowHeight="15" customHeight="1"/>
  <cols>
    <col min="1" max="1" width="2.42578125" style="3" customWidth="1"/>
    <col min="2" max="2" width="27" style="3" customWidth="1"/>
    <col min="3" max="5" width="17.42578125" style="3" customWidth="1"/>
    <col min="6" max="6" width="7.42578125" style="3" customWidth="1"/>
    <col min="7" max="7" width="2" style="3" customWidth="1"/>
    <col min="8" max="8" width="18.42578125" style="3" bestFit="1" customWidth="1"/>
    <col min="9" max="9" width="13.28515625" style="3" bestFit="1" customWidth="1"/>
    <col min="10" max="10" width="4.7109375" style="3" customWidth="1"/>
    <col min="11" max="11" width="38.85546875" style="3" customWidth="1"/>
    <col min="12" max="16384" width="12.42578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2786313</v>
      </c>
      <c r="E3" s="191" t="str">
        <f>IF((C49-I49)=D3,"", "Error!")</f>
        <v/>
      </c>
      <c r="F3" s="6"/>
      <c r="G3" s="6"/>
      <c r="H3" s="112" t="s">
        <v>216</v>
      </c>
      <c r="I3" s="163">
        <v>2786313</v>
      </c>
      <c r="K3" s="43"/>
    </row>
    <row r="4" spans="1:11" ht="15" customHeight="1">
      <c r="B4" s="5" t="s">
        <v>193</v>
      </c>
      <c r="C4" s="6"/>
      <c r="D4" s="186">
        <f>D3-I3</f>
        <v>0</v>
      </c>
      <c r="E4" s="90"/>
      <c r="F4" s="6"/>
      <c r="G4" s="6"/>
      <c r="H4" s="38" t="s">
        <v>71</v>
      </c>
      <c r="I4" s="139">
        <f>(I3*Dashboard!I12*Data!C4)/Dashboard!I5</f>
        <v>11.449628935624645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317</v>
      </c>
      <c r="C6" s="6"/>
      <c r="D6" s="193">
        <f>E49-I49-E53</f>
        <v>1785768.1</v>
      </c>
      <c r="E6" s="149">
        <f>1-D6/D3</f>
        <v>0.35909278677592926</v>
      </c>
      <c r="F6" s="6"/>
      <c r="G6" s="6"/>
      <c r="H6" s="3" t="s">
        <v>256</v>
      </c>
      <c r="I6" s="184">
        <f>C28/I28</f>
        <v>4.0857925096137766</v>
      </c>
      <c r="J6" s="6"/>
      <c r="K6" s="43"/>
    </row>
    <row r="7" spans="1:11" ht="15" customHeight="1" thickTop="1">
      <c r="B7" s="32" t="s">
        <v>318</v>
      </c>
      <c r="C7" s="6"/>
      <c r="D7" s="187">
        <f>MAX((D6*Exchange_Rate*Data!C4)/Common_Shares, 0)</f>
        <v>7.3381497735808736</v>
      </c>
      <c r="E7" s="18" t="str">
        <f>Dashboard!J4</f>
        <v>HKD</v>
      </c>
      <c r="H7" s="3" t="s">
        <v>257</v>
      </c>
      <c r="I7" s="184">
        <f>C25/I28</f>
        <v>0.55844147492701246</v>
      </c>
      <c r="J7" s="6"/>
      <c r="K7" s="77"/>
    </row>
    <row r="8" spans="1:11" ht="15" customHeight="1">
      <c r="C8" s="6"/>
      <c r="D8" s="6"/>
      <c r="E8" s="6"/>
      <c r="H8" s="3" t="s">
        <v>258</v>
      </c>
      <c r="I8" s="184">
        <f>C24/I28</f>
        <v>2.4535693156534153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399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1456839</v>
      </c>
      <c r="D11" s="180">
        <v>1</v>
      </c>
      <c r="E11" s="51">
        <f t="shared" ref="E11:E21" si="0">C11*D11</f>
        <v>1456839</v>
      </c>
      <c r="F11" s="6"/>
      <c r="G11" s="6"/>
      <c r="H11" s="5" t="s">
        <v>79</v>
      </c>
      <c r="I11" s="179">
        <v>0</v>
      </c>
      <c r="J11" s="6"/>
      <c r="K11" s="43"/>
    </row>
    <row r="12" spans="1:11">
      <c r="B12" s="3" t="s">
        <v>80</v>
      </c>
      <c r="C12" s="179">
        <v>0</v>
      </c>
      <c r="D12" s="180">
        <v>1</v>
      </c>
      <c r="E12" s="51">
        <f t="shared" si="0"/>
        <v>0</v>
      </c>
      <c r="F12" s="6"/>
      <c r="G12" s="6"/>
      <c r="H12" s="5" t="s">
        <v>81</v>
      </c>
      <c r="I12" s="179">
        <v>3112</v>
      </c>
      <c r="J12" s="6"/>
      <c r="K12" s="43"/>
    </row>
    <row r="13" spans="1:11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>
      <c r="B14" s="5" t="s">
        <v>84</v>
      </c>
      <c r="C14" s="179">
        <v>69340</v>
      </c>
      <c r="D14" s="180">
        <v>0.7</v>
      </c>
      <c r="E14" s="51">
        <f t="shared" si="0"/>
        <v>48538</v>
      </c>
      <c r="F14" s="6"/>
      <c r="G14" s="6"/>
      <c r="H14" s="6" t="s">
        <v>343</v>
      </c>
      <c r="I14" s="179">
        <v>0</v>
      </c>
      <c r="J14" s="6"/>
      <c r="K14" s="47"/>
    </row>
    <row r="15" spans="1:11">
      <c r="B15" s="5" t="s">
        <v>86</v>
      </c>
      <c r="C15" s="179"/>
      <c r="D15" s="180">
        <v>0.5</v>
      </c>
      <c r="E15" s="51">
        <f t="shared" si="0"/>
        <v>0</v>
      </c>
      <c r="F15" s="6"/>
      <c r="G15" s="6"/>
      <c r="H15" s="5" t="s">
        <v>87</v>
      </c>
      <c r="I15" s="130">
        <f>I28-SUM(I11:I14)</f>
        <v>618912</v>
      </c>
      <c r="J15" s="6"/>
    </row>
    <row r="16" spans="1:11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>
      <c r="B17" s="5" t="s">
        <v>342</v>
      </c>
      <c r="C17" s="179">
        <v>347364</v>
      </c>
      <c r="D17" s="180">
        <v>0.6</v>
      </c>
      <c r="E17" s="51">
        <f t="shared" si="0"/>
        <v>208418.4</v>
      </c>
      <c r="F17" s="6"/>
      <c r="G17" s="6"/>
      <c r="H17" s="5"/>
      <c r="I17" s="94"/>
      <c r="J17" s="6"/>
    </row>
    <row r="18" spans="2:10">
      <c r="B18" s="5" t="s">
        <v>88</v>
      </c>
      <c r="C18" s="179">
        <v>667918</v>
      </c>
      <c r="D18" s="180">
        <v>0.5</v>
      </c>
      <c r="E18" s="51">
        <f t="shared" si="0"/>
        <v>333959</v>
      </c>
      <c r="F18" s="6"/>
      <c r="G18" s="6"/>
      <c r="H18" s="6"/>
      <c r="I18" s="6"/>
    </row>
    <row r="19" spans="2:10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>
      <c r="B21" s="5" t="s">
        <v>91</v>
      </c>
      <c r="C21" s="179">
        <v>0</v>
      </c>
      <c r="D21" s="180">
        <v>0.95</v>
      </c>
      <c r="E21" s="51">
        <f t="shared" si="0"/>
        <v>0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383</v>
      </c>
      <c r="G23" s="6"/>
      <c r="H23" s="6"/>
      <c r="I23" s="6"/>
    </row>
    <row r="24" spans="2:10" ht="15" customHeight="1">
      <c r="B24" s="41" t="s">
        <v>373</v>
      </c>
      <c r="C24" s="182">
        <f>SUM(C11:C14)</f>
        <v>1526179</v>
      </c>
      <c r="D24" s="183">
        <f>IF(E24=0,0,E24/C24)</f>
        <v>0.98636988190769237</v>
      </c>
      <c r="E24" s="51">
        <f>SUM(E11:E14)</f>
        <v>1505377</v>
      </c>
      <c r="F24" s="233">
        <f>E24/$E$28</f>
        <v>0.73513552211144073</v>
      </c>
      <c r="G24" s="6"/>
      <c r="H24" s="3" t="s">
        <v>381</v>
      </c>
      <c r="I24" s="312">
        <f>I11+I12+I13</f>
        <v>3112</v>
      </c>
    </row>
    <row r="25" spans="2:10" ht="15" customHeight="1">
      <c r="B25" s="41" t="s">
        <v>377</v>
      </c>
      <c r="C25" s="182">
        <f>SUM(C15:C17)</f>
        <v>347364</v>
      </c>
      <c r="D25" s="183">
        <f>IF(E25=0,0,E25/C25)</f>
        <v>0.6</v>
      </c>
      <c r="E25" s="51">
        <f>SUM(E15:E17)</f>
        <v>208418.4</v>
      </c>
      <c r="F25" s="233">
        <f t="shared" ref="F25:F27" si="2">E25/$E$28</f>
        <v>0.1017790024038039</v>
      </c>
      <c r="G25" s="6"/>
      <c r="H25" s="41" t="s">
        <v>384</v>
      </c>
      <c r="I25" s="184">
        <f>E28/I28</f>
        <v>3.2920826206062785</v>
      </c>
    </row>
    <row r="26" spans="2:10" ht="15" customHeight="1">
      <c r="B26" s="41" t="s">
        <v>375</v>
      </c>
      <c r="C26" s="182">
        <f>C18+C19+C20</f>
        <v>667918</v>
      </c>
      <c r="D26" s="183">
        <f t="shared" ref="D26:D27" si="3">IF(E26=0,0,E26/C26)</f>
        <v>0.5</v>
      </c>
      <c r="E26" s="51">
        <f>E18+E19+E20</f>
        <v>333959</v>
      </c>
      <c r="F26" s="233">
        <f t="shared" si="2"/>
        <v>0.16308547548475541</v>
      </c>
      <c r="G26" s="6"/>
      <c r="H26" s="41" t="s">
        <v>259</v>
      </c>
      <c r="I26" s="184">
        <f>E24/($I$28-I15)</f>
        <v>483.73296915167094</v>
      </c>
      <c r="J26" s="13" t="str">
        <f>IF(I26&lt;1,"Liquidity Problem!","")</f>
        <v/>
      </c>
    </row>
    <row r="27" spans="2:10" ht="15" customHeight="1">
      <c r="B27" s="41" t="s">
        <v>376</v>
      </c>
      <c r="C27" s="305">
        <f>C21+C22</f>
        <v>0</v>
      </c>
      <c r="D27" s="183">
        <f t="shared" si="3"/>
        <v>0</v>
      </c>
      <c r="E27" s="51">
        <f>E21+E22</f>
        <v>0</v>
      </c>
      <c r="F27" s="233">
        <f t="shared" si="2"/>
        <v>0</v>
      </c>
      <c r="G27" s="6"/>
      <c r="H27" s="41" t="s">
        <v>263</v>
      </c>
      <c r="I27" s="184">
        <f>(E25+E24)/$I$28</f>
        <v>2.7551917610896042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2541461</v>
      </c>
      <c r="D28" s="166">
        <f t="shared" ref="D28" si="4">E28/C28</f>
        <v>0.80573906111484694</v>
      </c>
      <c r="E28" s="212">
        <f>SUM(E24:E27)</f>
        <v>2047754.4</v>
      </c>
      <c r="F28" s="6"/>
      <c r="G28" s="6"/>
      <c r="H28" s="306" t="s">
        <v>53</v>
      </c>
      <c r="I28" s="190">
        <v>622024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>
      <c r="B31" s="5" t="s">
        <v>96</v>
      </c>
      <c r="C31" s="179">
        <v>90468</v>
      </c>
      <c r="D31" s="180">
        <v>0.6</v>
      </c>
      <c r="E31" s="51">
        <f t="shared" ref="E31:E42" si="5">C31*D31</f>
        <v>54280.799999999996</v>
      </c>
      <c r="F31" s="6"/>
      <c r="G31" s="6"/>
      <c r="H31" s="5" t="s">
        <v>97</v>
      </c>
      <c r="I31" s="179">
        <v>1069</v>
      </c>
      <c r="J31" s="6"/>
    </row>
    <row r="32" spans="2:10" ht="15" customHeight="1">
      <c r="B32" s="5" t="s">
        <v>98</v>
      </c>
      <c r="C32" s="179">
        <v>0</v>
      </c>
      <c r="D32" s="180">
        <v>0.5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344</v>
      </c>
      <c r="I33" s="179">
        <v>0</v>
      </c>
      <c r="J33" s="6"/>
    </row>
    <row r="34" spans="2:10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15572</v>
      </c>
      <c r="J34" s="6"/>
    </row>
    <row r="35" spans="2:10">
      <c r="B35" s="5" t="s">
        <v>103</v>
      </c>
      <c r="C35" s="179">
        <v>0</v>
      </c>
      <c r="D35" s="180">
        <v>0.5</v>
      </c>
      <c r="E35" s="51">
        <f t="shared" si="5"/>
        <v>0</v>
      </c>
      <c r="F35" s="181" t="s">
        <v>204</v>
      </c>
      <c r="G35" s="58">
        <f>IF(F35="Y",0,1)</f>
        <v>1</v>
      </c>
      <c r="H35" s="6"/>
      <c r="I35" s="6"/>
      <c r="J35" s="6"/>
    </row>
    <row r="36" spans="2:10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v>771353</v>
      </c>
      <c r="D38" s="180">
        <v>0.4</v>
      </c>
      <c r="E38" s="51">
        <f t="shared" si="5"/>
        <v>308541.2</v>
      </c>
      <c r="F38" s="6"/>
      <c r="G38" s="6"/>
      <c r="H38" s="6"/>
      <c r="I38" s="6"/>
    </row>
    <row r="39" spans="2:10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4625</v>
      </c>
      <c r="D40" s="180">
        <v>0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14586</v>
      </c>
      <c r="D41" s="180">
        <v>0.95</v>
      </c>
      <c r="E41" s="51">
        <f t="shared" si="5"/>
        <v>13856.699999999999</v>
      </c>
      <c r="F41" s="6"/>
      <c r="G41" s="6"/>
      <c r="H41" s="6"/>
      <c r="I41" s="6"/>
    </row>
    <row r="42" spans="2:10" ht="15" customHeight="1">
      <c r="B42" s="5" t="s">
        <v>107</v>
      </c>
      <c r="C42" s="179">
        <v>2485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374</v>
      </c>
      <c r="C44" s="182">
        <f>SUM(C30:C31)</f>
        <v>90468</v>
      </c>
      <c r="D44" s="183">
        <f>IF(E44=0,0,E44/C44)</f>
        <v>0.6</v>
      </c>
      <c r="E44" s="51">
        <f>SUM(E30:E31)</f>
        <v>54280.799999999996</v>
      </c>
      <c r="F44" s="233"/>
      <c r="G44" s="6"/>
      <c r="H44" s="3" t="s">
        <v>382</v>
      </c>
      <c r="I44" s="312">
        <f>I30+I31+I32</f>
        <v>1069</v>
      </c>
    </row>
    <row r="45" spans="2:10" ht="15" customHeight="1">
      <c r="B45" s="41" t="s">
        <v>378</v>
      </c>
      <c r="C45" s="182">
        <f>SUM(C32:C35)</f>
        <v>0</v>
      </c>
      <c r="D45" s="183">
        <f>IF(E45=0,0,E45/C45)</f>
        <v>0</v>
      </c>
      <c r="E45" s="51">
        <f>SUM(E32:E35)</f>
        <v>0</v>
      </c>
      <c r="F45" s="233"/>
      <c r="G45" s="6"/>
    </row>
    <row r="46" spans="2:10" ht="15" customHeight="1">
      <c r="B46" s="41" t="s">
        <v>379</v>
      </c>
      <c r="C46" s="182">
        <f>C36+C37+C38+C39</f>
        <v>771353</v>
      </c>
      <c r="D46" s="183">
        <f t="shared" ref="D46:D47" si="6">IF(E46=0,0,E46/C46)</f>
        <v>0.4</v>
      </c>
      <c r="E46" s="51">
        <f>E36+E37+E38+E39</f>
        <v>308541.2</v>
      </c>
      <c r="F46" s="6"/>
      <c r="G46" s="6"/>
      <c r="H46" s="41" t="s">
        <v>260</v>
      </c>
      <c r="I46" s="184">
        <f>(E44+E24)/D55</f>
        <v>373.03463286295147</v>
      </c>
      <c r="J46" s="13" t="str">
        <f>IF(I46&lt;1,"Liquidity Problem!","")</f>
        <v/>
      </c>
    </row>
    <row r="47" spans="2:10" ht="15" customHeight="1">
      <c r="B47" s="41" t="s">
        <v>380</v>
      </c>
      <c r="C47" s="182">
        <f>C40+C41+C42</f>
        <v>21696</v>
      </c>
      <c r="D47" s="183">
        <f t="shared" si="6"/>
        <v>0.63867533185840708</v>
      </c>
      <c r="E47" s="51">
        <f>E40+E41+E42</f>
        <v>13856.699999999999</v>
      </c>
      <c r="F47" s="6"/>
      <c r="G47" s="6"/>
      <c r="H47" s="41" t="s">
        <v>264</v>
      </c>
      <c r="I47" s="184">
        <f>(E44+E45+E24+E25)/$I$49</f>
        <v>2.7683937588563645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883517</v>
      </c>
      <c r="D48" s="310">
        <f>E48/C48</f>
        <v>0.42634007042309319</v>
      </c>
      <c r="E48" s="304">
        <f>SUM(E30:E42)</f>
        <v>376678.7</v>
      </c>
      <c r="F48" s="6"/>
      <c r="G48" s="6"/>
      <c r="H48" s="308" t="s">
        <v>109</v>
      </c>
      <c r="I48" s="311">
        <v>16641</v>
      </c>
      <c r="J48" s="13"/>
    </row>
    <row r="49" spans="2:10" ht="15" customHeight="1" thickTop="1">
      <c r="B49" s="5" t="s">
        <v>370</v>
      </c>
      <c r="C49" s="182">
        <f>SUM(C44:C47)+C28</f>
        <v>3424978</v>
      </c>
      <c r="D49" s="149">
        <f>E49/C49</f>
        <v>0.70786822572290975</v>
      </c>
      <c r="E49" s="51">
        <f>E28+E48</f>
        <v>2424433.1</v>
      </c>
      <c r="F49" s="6"/>
      <c r="G49" s="6"/>
      <c r="H49" s="5" t="s">
        <v>261</v>
      </c>
      <c r="I49" s="130">
        <f>I28+I48</f>
        <v>638665</v>
      </c>
      <c r="J49" s="6"/>
    </row>
    <row r="50" spans="2:10" ht="15" customHeight="1">
      <c r="C50" s="6"/>
      <c r="D50" s="6"/>
      <c r="E50" s="6"/>
      <c r="I50" s="6"/>
    </row>
    <row r="51" spans="2:10">
      <c r="B51" s="17" t="s">
        <v>110</v>
      </c>
      <c r="C51" s="17"/>
      <c r="D51" s="31"/>
    </row>
    <row r="52" spans="2:10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>
      <c r="B53" s="5" t="s">
        <v>181</v>
      </c>
      <c r="C53" s="51">
        <f>D4</f>
        <v>0</v>
      </c>
      <c r="D53" s="54">
        <f>IF(E53=0, 0,E53/C53)</f>
        <v>0</v>
      </c>
      <c r="E53" s="51">
        <f>MAX(C53,C53*Dashboard!I10)</f>
        <v>0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5.75" thickBot="1">
      <c r="B55" s="44" t="s">
        <v>221</v>
      </c>
      <c r="C55" s="5"/>
      <c r="D55" s="379">
        <f>D56+D57+D58</f>
        <v>4181</v>
      </c>
      <c r="E55" s="380"/>
      <c r="F55" s="5"/>
      <c r="G55" s="5"/>
      <c r="H55" s="6"/>
      <c r="I55" s="6"/>
    </row>
    <row r="56" spans="2:10" ht="15.75" thickTop="1">
      <c r="B56" s="37" t="s">
        <v>197</v>
      </c>
      <c r="C56" s="6"/>
      <c r="D56" s="350">
        <f>SUM(I11:I13)+SUM(I30:I32)</f>
        <v>4181</v>
      </c>
      <c r="E56" s="381"/>
      <c r="F56" s="5"/>
      <c r="G56" s="5"/>
      <c r="H56" s="6" t="s">
        <v>262</v>
      </c>
      <c r="I56" s="149">
        <f>D56/I3</f>
        <v>1.5005492922008402E-3</v>
      </c>
    </row>
    <row r="57" spans="2:10">
      <c r="B57" s="37" t="s">
        <v>112</v>
      </c>
      <c r="C57" s="6"/>
      <c r="D57" s="386">
        <v>0</v>
      </c>
      <c r="E57" s="322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22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>
      <c r="B60" s="44" t="s">
        <v>115</v>
      </c>
      <c r="C60" s="5"/>
      <c r="D60" s="283" t="s">
        <v>341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159808</v>
      </c>
      <c r="D61" s="149">
        <f>IF(E61=0,0,E61/C61)</f>
        <v>0.64338956748097709</v>
      </c>
      <c r="E61" s="130">
        <f>E14+E15+(E19*G19)+(E20*G20)+E31+E32+(E33*G33)+(E35*G35)+(E36*G36)+(E37*G37)</f>
        <v>102818.79999999999</v>
      </c>
      <c r="F61" s="6"/>
      <c r="G61" s="6"/>
      <c r="H61" s="6"/>
      <c r="I61" s="6"/>
    </row>
    <row r="62" spans="2:10">
      <c r="B62" s="32" t="s">
        <v>78</v>
      </c>
      <c r="C62" s="192">
        <f>C11+C12+C30</f>
        <v>1456839</v>
      </c>
      <c r="D62" s="54">
        <f>IF(E62=0,0,E62/C62)</f>
        <v>1</v>
      </c>
      <c r="E62" s="182">
        <f>E11+E12+E30</f>
        <v>1456839</v>
      </c>
      <c r="F62" s="6"/>
      <c r="G62" s="6"/>
      <c r="H62" s="6"/>
      <c r="I62" s="6"/>
    </row>
    <row r="63" spans="2:10">
      <c r="B63" s="32" t="s">
        <v>116</v>
      </c>
      <c r="C63" s="6"/>
      <c r="D63" s="350">
        <f>((Dashboard!I6*Data!C4)+D55+E53-C61-C62)</f>
        <v>334366</v>
      </c>
      <c r="E63" s="350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7.6824138131776548E-2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6.7599999999999993E-2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6.7599999999999993E-2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disablePrompts="1"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7"/>
  <sheetViews>
    <sheetView showGridLines="0" zoomScaleNormal="100" zoomScalePageLayoutView="80" workbookViewId="0">
      <selection activeCell="G21" sqref="G21"/>
    </sheetView>
  </sheetViews>
  <sheetFormatPr defaultColWidth="12.42578125" defaultRowHeight="15" customHeight="1"/>
  <cols>
    <col min="1" max="1" width="2.42578125" style="3" customWidth="1"/>
    <col min="2" max="5" width="26.85546875" style="3" customWidth="1"/>
    <col min="6" max="9" width="22.7109375" style="3" customWidth="1"/>
    <col min="10" max="10" width="2.42578125" style="3" customWidth="1"/>
    <col min="11" max="11" width="87.42578125" style="3" customWidth="1"/>
    <col min="12" max="16384" width="12.42578125" style="3"/>
  </cols>
  <sheetData>
    <row r="1" spans="1:12" ht="15" customHeight="1">
      <c r="F1" s="6"/>
      <c r="G1" s="6"/>
      <c r="H1" s="6"/>
    </row>
    <row r="2" spans="1:12" ht="15.6" customHeight="1">
      <c r="A2" s="4"/>
      <c r="B2" s="56" t="s">
        <v>208</v>
      </c>
      <c r="C2" s="56"/>
      <c r="D2" s="56"/>
      <c r="E2" s="316">
        <f>IF(I3="",IF(H3="",1,2),3)</f>
        <v>3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44012</v>
      </c>
      <c r="D3" s="194">
        <f>EOMONTH(EDATE(E3,-12),0)</f>
        <v>44377</v>
      </c>
      <c r="E3" s="194">
        <f>EOMONTH(EDATE(F3,-12),0)</f>
        <v>44742</v>
      </c>
      <c r="F3" s="194">
        <f>Dashboard!E6</f>
        <v>45107</v>
      </c>
      <c r="G3" s="194">
        <f>EOMONTH(EDATE(F3,12),0)</f>
        <v>45473</v>
      </c>
      <c r="H3" s="194">
        <f>IF(H7="","",EOMONTH(EDATE(G3,12),0))</f>
        <v>45838</v>
      </c>
      <c r="I3" s="194">
        <f>IF(I14="","",EOMONTH(EDATE(H3,12),0))</f>
        <v>46203</v>
      </c>
      <c r="K3" s="42" t="s">
        <v>117</v>
      </c>
    </row>
    <row r="4" spans="1:12" ht="15.75" customHeight="1">
      <c r="B4" s="118" t="s">
        <v>406</v>
      </c>
      <c r="C4" s="205">
        <v>5119040</v>
      </c>
      <c r="D4" s="205">
        <v>4956534</v>
      </c>
      <c r="E4" s="205">
        <v>5283560</v>
      </c>
      <c r="F4" s="205">
        <v>4326192</v>
      </c>
      <c r="G4" s="205">
        <f>F4*0.95</f>
        <v>4109882.4</v>
      </c>
      <c r="H4" s="206">
        <f>G4*1.1</f>
        <v>4520870.6400000006</v>
      </c>
      <c r="I4" s="206">
        <f>H4*1.1</f>
        <v>4972957.7040000008</v>
      </c>
      <c r="J4" s="6"/>
      <c r="K4" s="43" t="s">
        <v>389</v>
      </c>
      <c r="L4" s="36"/>
    </row>
    <row r="5" spans="1:12" ht="15.75" customHeight="1">
      <c r="B5" s="118" t="s">
        <v>407</v>
      </c>
      <c r="C5" s="196">
        <v>397</v>
      </c>
      <c r="D5" s="196">
        <v>804714</v>
      </c>
      <c r="E5" s="196">
        <v>823075</v>
      </c>
      <c r="F5" s="196">
        <v>792746</v>
      </c>
      <c r="G5" s="196">
        <f>F5*0.9</f>
        <v>713471.4</v>
      </c>
      <c r="H5" s="197">
        <f>G5*1.1</f>
        <v>784818.54</v>
      </c>
      <c r="I5" s="197">
        <f>E5</f>
        <v>823075</v>
      </c>
      <c r="J5" s="6"/>
      <c r="K5" s="43"/>
      <c r="L5" s="36"/>
    </row>
    <row r="6" spans="1:12" ht="15.75" customHeight="1">
      <c r="B6" s="5" t="s">
        <v>118</v>
      </c>
      <c r="C6" s="198">
        <f>Data!F7</f>
        <v>5119437</v>
      </c>
      <c r="D6" s="198">
        <f>Data!E7</f>
        <v>5761248</v>
      </c>
      <c r="E6" s="198">
        <f>Data!D7</f>
        <v>6106635</v>
      </c>
      <c r="F6" s="198">
        <f>Data!C7</f>
        <v>5118938</v>
      </c>
      <c r="G6" s="200">
        <f>G4+G5</f>
        <v>4823353.8</v>
      </c>
      <c r="H6" s="200">
        <f>H4+H5</f>
        <v>5305689.1800000006</v>
      </c>
      <c r="I6" s="201">
        <f>I4+I5</f>
        <v>5796032.7040000008</v>
      </c>
      <c r="J6" s="6"/>
      <c r="K6" s="43"/>
      <c r="L6" s="36"/>
    </row>
    <row r="7" spans="1:12" ht="15.75" customHeight="1">
      <c r="B7" s="14" t="s">
        <v>348</v>
      </c>
      <c r="C7" s="285"/>
      <c r="D7" s="171">
        <f>D6/C6-1</f>
        <v>0.12536749646494338</v>
      </c>
      <c r="E7" s="171">
        <f>E6/D6-1</f>
        <v>5.9950031659806946E-2</v>
      </c>
      <c r="F7" s="171">
        <f>Data!C8</f>
        <v>-0.16174161383478791</v>
      </c>
      <c r="G7" s="149">
        <f>G6/F6-1</f>
        <v>-5.7743266279060235E-2</v>
      </c>
      <c r="H7" s="149">
        <f>H6/G6-1</f>
        <v>0.10000000000000009</v>
      </c>
      <c r="I7" s="180">
        <f>I6/H6-1</f>
        <v>9.2418441292861475E-2</v>
      </c>
      <c r="J7" s="6"/>
      <c r="K7" s="43"/>
      <c r="L7" s="36"/>
    </row>
    <row r="8" spans="1:12" ht="15.75" customHeight="1">
      <c r="B8" s="8" t="s">
        <v>119</v>
      </c>
      <c r="C8" s="202">
        <f>Data!F9</f>
        <v>3925837</v>
      </c>
      <c r="D8" s="202">
        <f>Data!E9</f>
        <v>4476856</v>
      </c>
      <c r="E8" s="202">
        <f>Data!D9</f>
        <v>4963246</v>
      </c>
      <c r="F8" s="202">
        <f>Data!C9</f>
        <v>4242965</v>
      </c>
      <c r="G8" s="203">
        <f>G6*(1-G9)</f>
        <v>4051617.1919999998</v>
      </c>
      <c r="H8" s="204">
        <f>IF(H6="","",H6*(1-H9))</f>
        <v>4312267.0013646279</v>
      </c>
      <c r="I8" s="204">
        <f>IF(I6="","",I6*(1-I9))</f>
        <v>4694786.4902400011</v>
      </c>
      <c r="J8" s="6"/>
      <c r="K8" s="77"/>
      <c r="L8" s="1"/>
    </row>
    <row r="9" spans="1:12" ht="15.75" customHeight="1">
      <c r="B9" s="14" t="s">
        <v>44</v>
      </c>
      <c r="C9" s="96">
        <f t="shared" ref="C9:E9" si="0">(C6-C8)/C6</f>
        <v>0.23315063746267412</v>
      </c>
      <c r="D9" s="96">
        <f t="shared" si="0"/>
        <v>0.2229364193313671</v>
      </c>
      <c r="E9" s="96">
        <f t="shared" si="0"/>
        <v>0.18723716089139109</v>
      </c>
      <c r="F9" s="96">
        <f>(F6-F8)/F6</f>
        <v>0.17112397141750887</v>
      </c>
      <c r="G9" s="208">
        <v>0.16</v>
      </c>
      <c r="H9" s="208">
        <f>E9</f>
        <v>0.18723716089139109</v>
      </c>
      <c r="I9" s="208">
        <v>0.19</v>
      </c>
      <c r="J9" s="6"/>
      <c r="K9" s="43"/>
    </row>
    <row r="10" spans="1:12" ht="15.75" customHeight="1">
      <c r="B10" s="5" t="s">
        <v>347</v>
      </c>
      <c r="C10" s="51">
        <f>C6-C8</f>
        <v>1193600</v>
      </c>
      <c r="D10" s="51">
        <f t="shared" ref="D10:E10" si="1">D6-D8</f>
        <v>1284392</v>
      </c>
      <c r="E10" s="51">
        <f t="shared" si="1"/>
        <v>1143389</v>
      </c>
      <c r="F10" s="51">
        <f>F6-F8</f>
        <v>875973</v>
      </c>
      <c r="G10" s="51">
        <f>G6-G8</f>
        <v>771736.60800000001</v>
      </c>
      <c r="H10" s="51">
        <f>IF(H7="","",H6-H8)</f>
        <v>993422.17863537278</v>
      </c>
      <c r="I10" s="51">
        <f>IF(I7="","",I6-I8)</f>
        <v>1101246.2137599997</v>
      </c>
      <c r="J10" s="6"/>
      <c r="K10" s="43"/>
    </row>
    <row r="11" spans="1:12" ht="15.75" customHeight="1">
      <c r="B11" s="14" t="s">
        <v>46</v>
      </c>
      <c r="C11" s="54">
        <f>C12/C6</f>
        <v>0.16828471568260339</v>
      </c>
      <c r="D11" s="54">
        <f t="shared" ref="D11:E11" si="2">D12/D6</f>
        <v>0.15783420536661502</v>
      </c>
      <c r="E11" s="54">
        <f t="shared" si="2"/>
        <v>0.14702941963945773</v>
      </c>
      <c r="F11" s="54">
        <f>F12/F6</f>
        <v>0.16221724115431754</v>
      </c>
      <c r="G11" s="207">
        <v>0.159</v>
      </c>
      <c r="H11" s="180">
        <f>H12/H6</f>
        <v>0.14454545454545453</v>
      </c>
      <c r="I11" s="180">
        <v>0.15</v>
      </c>
      <c r="J11" s="6"/>
      <c r="K11" s="43"/>
    </row>
    <row r="12" spans="1:12" ht="15.75" customHeight="1">
      <c r="B12" s="8" t="s">
        <v>120</v>
      </c>
      <c r="C12" s="198">
        <f>Data!F11</f>
        <v>861523</v>
      </c>
      <c r="D12" s="198">
        <f>Data!E11</f>
        <v>909322</v>
      </c>
      <c r="E12" s="198">
        <f>Data!D11</f>
        <v>897855</v>
      </c>
      <c r="F12" s="198">
        <f>Data!C11</f>
        <v>830380</v>
      </c>
      <c r="G12" s="161">
        <f>G6*G11</f>
        <v>766913.25419999997</v>
      </c>
      <c r="H12" s="161">
        <f>G12</f>
        <v>766913.25419999997</v>
      </c>
      <c r="I12" s="161">
        <f>I6*I11</f>
        <v>869404.90560000006</v>
      </c>
      <c r="J12" s="6"/>
      <c r="K12" s="43"/>
    </row>
    <row r="13" spans="1:12" ht="15.75" customHeight="1">
      <c r="B13" s="14" t="s">
        <v>47</v>
      </c>
      <c r="C13" s="166">
        <f t="shared" ref="C13:E13" si="3">C15/C6</f>
        <v>6.4865921780070737E-2</v>
      </c>
      <c r="D13" s="166">
        <f t="shared" si="3"/>
        <v>6.5102213964752076E-2</v>
      </c>
      <c r="E13" s="166">
        <f t="shared" si="3"/>
        <v>4.0207741251933347E-2</v>
      </c>
      <c r="F13" s="166">
        <f>F15/F6</f>
        <v>8.9067302631913106E-3</v>
      </c>
      <c r="G13" s="166">
        <f>G15/G6</f>
        <v>1.0000000000000085E-3</v>
      </c>
      <c r="H13" s="166">
        <f>IF(H7="","",H15/H6)</f>
        <v>4.2691706345936532E-2</v>
      </c>
      <c r="I13" s="166">
        <f>IF(I7="","",I15/I6)</f>
        <v>3.9999999999999938E-2</v>
      </c>
      <c r="J13" s="6"/>
      <c r="K13" s="43"/>
      <c r="L13" s="36"/>
    </row>
    <row r="14" spans="1:12" ht="15.75" customHeight="1">
      <c r="B14" s="14" t="s">
        <v>121</v>
      </c>
      <c r="C14" s="285"/>
      <c r="D14" s="171">
        <f t="shared" ref="D14:E14" si="4">D15/C15-1</f>
        <v>0.12946696097591825</v>
      </c>
      <c r="E14" s="171">
        <f t="shared" si="4"/>
        <v>-0.34536486522515797</v>
      </c>
      <c r="F14" s="171">
        <f>F15/E15-1</f>
        <v>-0.81431084900665485</v>
      </c>
      <c r="G14" s="149">
        <f>IF(ABS(F15+G15)=ABS(F15)+ABS(G15),IF(G15&lt;0,-1,1)*(G15-F15)/F15,"Turn")</f>
        <v>-0.89420845743864097</v>
      </c>
      <c r="H14" s="149">
        <f>IF(H7="","",IF(ABS(G15+H15)=ABS(G15)+ABS(H15),IF(H15&lt;0,-1,1)*(H15-G15)/G15,"Turn"))</f>
        <v>45.96087698052979</v>
      </c>
      <c r="I14" s="149">
        <f>IF(I7="","",IF(ABS(H15+I15)=ABS(H15)+ABS(I15),IF(I15&lt;0,-1,1)*(I15-H15)/H15,"Turn"))</f>
        <v>2.3541605426448793E-2</v>
      </c>
      <c r="J14" s="6"/>
      <c r="K14" s="45"/>
      <c r="L14" s="46"/>
    </row>
    <row r="15" spans="1:12" ht="15.75" customHeight="1">
      <c r="B15" s="5" t="s">
        <v>207</v>
      </c>
      <c r="C15" s="154">
        <f t="shared" ref="C15:D15" si="5">C10-C12</f>
        <v>332077</v>
      </c>
      <c r="D15" s="154">
        <f t="shared" si="5"/>
        <v>375070</v>
      </c>
      <c r="E15" s="154">
        <f>E10-E12</f>
        <v>245534</v>
      </c>
      <c r="F15" s="154">
        <f>F10-F12</f>
        <v>45593</v>
      </c>
      <c r="G15" s="154">
        <f>G10-G12</f>
        <v>4823.3538000000408</v>
      </c>
      <c r="H15" s="154">
        <f>IF(H7="","",H10-H12)</f>
        <v>226508.92443537281</v>
      </c>
      <c r="I15" s="154">
        <f>IF(I7="","",I10-I12)</f>
        <v>231841.30815999967</v>
      </c>
      <c r="J15" s="6"/>
      <c r="K15" s="47"/>
      <c r="L15" s="35"/>
    </row>
    <row r="16" spans="1:12" ht="15.75" customHeight="1">
      <c r="B16" s="209" t="s">
        <v>122</v>
      </c>
      <c r="C16" s="284"/>
      <c r="D16" s="284"/>
      <c r="E16" s="284"/>
      <c r="F16" s="211">
        <v>0.25</v>
      </c>
      <c r="G16" s="166">
        <f>IF(G15="","",F16)</f>
        <v>0.25</v>
      </c>
      <c r="H16" s="166">
        <f>IF(H15="","",G16)</f>
        <v>0.25</v>
      </c>
      <c r="I16" s="166">
        <f>IF(I15="","",H16)</f>
        <v>0.25</v>
      </c>
      <c r="K16" s="43"/>
    </row>
    <row r="17" spans="2:9" ht="15.75" customHeight="1">
      <c r="B17" s="14" t="s">
        <v>253</v>
      </c>
      <c r="C17" s="285"/>
      <c r="D17" s="285"/>
      <c r="E17" s="285"/>
      <c r="F17" s="171">
        <f>F18/F6</f>
        <v>6.680047697393483E-3</v>
      </c>
      <c r="G17" s="149">
        <f>G18/G6</f>
        <v>7.5000000000000641E-4</v>
      </c>
      <c r="H17" s="149">
        <f>IF(H6="","",H18/H6)</f>
        <v>3.2018779759452401E-2</v>
      </c>
      <c r="I17" s="149">
        <f>IF(I6="","",I18/I6)</f>
        <v>2.9999999999999954E-2</v>
      </c>
    </row>
    <row r="18" spans="2:9" ht="15.75" customHeight="1">
      <c r="B18" s="85" t="s">
        <v>69</v>
      </c>
      <c r="C18" s="286"/>
      <c r="D18" s="286"/>
      <c r="E18" s="286"/>
      <c r="F18" s="51">
        <f>IF(F15&lt;=0,F15,F15*(1-F16))</f>
        <v>34194.75</v>
      </c>
      <c r="G18" s="210">
        <f>IF(G15="","",IF(G15&lt;=0,G15,G15*(1-G16)))</f>
        <v>3617.5153500000306</v>
      </c>
      <c r="H18" s="210">
        <f>IF(H15="","",IF(H15&lt;=0,H15,H15*(1-H16)))</f>
        <v>169881.69332652961</v>
      </c>
      <c r="I18" s="210">
        <f>IF(I15="","",IF(I15&lt;=0,I15,I15*(1-I16)))</f>
        <v>173880.98111999975</v>
      </c>
    </row>
    <row r="19" spans="2:9" ht="15.75" customHeight="1">
      <c r="B19" s="14" t="s">
        <v>336</v>
      </c>
      <c r="C19" s="287"/>
      <c r="D19" s="287"/>
      <c r="E19" s="287"/>
      <c r="F19" s="212">
        <f>Data!C35</f>
        <v>0</v>
      </c>
      <c r="G19" s="213">
        <f>IF(G7&lt;=0,0,(G6-F6)*Asset_Model!$D$67)</f>
        <v>0</v>
      </c>
      <c r="H19" s="213">
        <f>IF(H6="","",IF(H7&lt;=0,0,(H6-G6)*Asset_Model!$D$67))</f>
        <v>32605.871688000054</v>
      </c>
      <c r="I19" s="213">
        <f>IF(I6="","",IF(I7&lt;=0,0,(I6-H6)*Asset_Model!$D$67))</f>
        <v>33147.222222400014</v>
      </c>
    </row>
    <row r="20" spans="2:9" ht="15.75" customHeight="1">
      <c r="B20" s="318" t="s">
        <v>396</v>
      </c>
      <c r="C20" s="319"/>
      <c r="D20" s="319">
        <v>62914</v>
      </c>
      <c r="E20" s="319">
        <v>65977</v>
      </c>
      <c r="F20" s="319">
        <f>E20</f>
        <v>65977</v>
      </c>
      <c r="G20" s="320">
        <f>F20</f>
        <v>65977</v>
      </c>
      <c r="H20" s="320">
        <f>G20</f>
        <v>65977</v>
      </c>
      <c r="I20" s="320">
        <f>H20</f>
        <v>65977</v>
      </c>
    </row>
    <row r="21" spans="2:9" ht="15.75" customHeight="1">
      <c r="B21" s="14" t="s">
        <v>394</v>
      </c>
      <c r="C21" s="288"/>
      <c r="D21" s="288"/>
      <c r="E21" s="288"/>
      <c r="F21" s="95">
        <f>Data!C33</f>
        <v>108000</v>
      </c>
      <c r="G21" s="161">
        <f>F21</f>
        <v>108000</v>
      </c>
      <c r="H21" s="161">
        <f>G21</f>
        <v>108000</v>
      </c>
      <c r="I21" s="161">
        <f>H21</f>
        <v>108000</v>
      </c>
    </row>
    <row r="22" spans="2:9" ht="15.75" customHeight="1">
      <c r="B22" s="85" t="s">
        <v>339</v>
      </c>
      <c r="C22" s="289"/>
      <c r="D22" s="289"/>
      <c r="E22" s="289"/>
      <c r="F22" s="214">
        <f>F19-F20+F21</f>
        <v>42023</v>
      </c>
      <c r="G22" s="214">
        <f>IF(G13="","",G19-G20+G21)</f>
        <v>42023</v>
      </c>
      <c r="H22" s="214">
        <f>IF(H13="","",H19-H20+H21)</f>
        <v>74628.871688000057</v>
      </c>
      <c r="I22" s="214">
        <f>IF(I13="","",I19-I20+I21)</f>
        <v>75170.222222400014</v>
      </c>
    </row>
    <row r="23" spans="2:9" ht="15.75" customHeight="1">
      <c r="B23" s="14" t="s">
        <v>334</v>
      </c>
      <c r="C23" s="285"/>
      <c r="D23" s="285"/>
      <c r="E23" s="285"/>
      <c r="F23" s="171">
        <f>AVERAGE(Data!C54:E54)</f>
        <v>7.6513669243682692E-2</v>
      </c>
      <c r="G23" s="387"/>
      <c r="H23" s="388"/>
      <c r="I23" s="389"/>
    </row>
    <row r="24" spans="2:9" ht="15.75" customHeight="1">
      <c r="B24" s="84" t="s">
        <v>123</v>
      </c>
      <c r="C24" s="289"/>
      <c r="D24" s="289"/>
      <c r="E24" s="289"/>
      <c r="F24" s="214">
        <f>F18-F22</f>
        <v>-7828.25</v>
      </c>
      <c r="G24" s="214">
        <f>G18-G22</f>
        <v>-38405.484649999969</v>
      </c>
      <c r="H24" s="214">
        <f>IF(H18="","",H18-H22)</f>
        <v>95252.821638529553</v>
      </c>
      <c r="I24" s="214">
        <f>IF(I18="","",I18-I22)</f>
        <v>98710.758897599735</v>
      </c>
    </row>
    <row r="25" spans="2:9" ht="15.75" customHeight="1"/>
    <row r="26" spans="2:9" ht="15.75" customHeight="1"/>
    <row r="27" spans="2:9" ht="15.75" customHeight="1"/>
    <row r="28" spans="2:9" ht="15.75" customHeight="1"/>
    <row r="29" spans="2:9" ht="15.75" customHeight="1"/>
    <row r="30" spans="2:9" ht="15.75" customHeight="1"/>
    <row r="31" spans="2:9" ht="15.75" customHeight="1"/>
    <row r="32" spans="2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</sheetData>
  <mergeCells count="1">
    <mergeCell ref="G23:I23"/>
  </mergeCells>
  <phoneticPr fontId="31" type="noConversion"/>
  <conditionalFormatting sqref="C20:G20">
    <cfRule type="containsBlanks" priority="2">
      <formula>LEN(TRIM(C20))=0</formula>
    </cfRule>
  </conditionalFormatting>
  <conditionalFormatting sqref="C20:I20">
    <cfRule type="containsBlanks" dxfId="13" priority="1">
      <formula>LEN(TRIM(C20))=0</formula>
    </cfRule>
  </conditionalFormatting>
  <conditionalFormatting sqref="G16:G18">
    <cfRule type="containsBlanks" dxfId="12" priority="22">
      <formula>LEN(TRIM(G16))=0</formula>
    </cfRule>
  </conditionalFormatting>
  <conditionalFormatting sqref="G23">
    <cfRule type="containsBlanks" dxfId="11" priority="11">
      <formula>LEN(TRIM(G23))=0</formula>
    </cfRule>
  </conditionalFormatting>
  <conditionalFormatting sqref="H8:H11 H13:H15">
    <cfRule type="containsBlanks" priority="31">
      <formula>LEN(TRIM(H8))=0</formula>
    </cfRule>
  </conditionalFormatting>
  <conditionalFormatting sqref="H8:H19">
    <cfRule type="containsBlanks" dxfId="10" priority="30">
      <formula>LEN(TRIM(H8))=0</formula>
    </cfRule>
  </conditionalFormatting>
  <conditionalFormatting sqref="H18:I18">
    <cfRule type="containsBlanks" dxfId="9" priority="24">
      <formula>LEN(TRIM(H18))=0</formula>
    </cfRule>
  </conditionalFormatting>
  <conditionalFormatting sqref="H19:I22">
    <cfRule type="containsBlanks" dxfId="8" priority="3">
      <formula>LEN(TRIM(H19))=0</formula>
    </cfRule>
    <cfRule type="containsBlanks" priority="4">
      <formula>LEN(TRIM(H19))=0</formula>
    </cfRule>
  </conditionalFormatting>
  <conditionalFormatting sqref="H24:I24">
    <cfRule type="containsBlanks" dxfId="7" priority="12">
      <formula>LEN(TRIM(H24))=0</formula>
    </cfRule>
    <cfRule type="containsBlanks" priority="13">
      <formula>LEN(TRIM(H24))=0</formula>
    </cfRule>
  </conditionalFormatting>
  <conditionalFormatting sqref="I7:I15">
    <cfRule type="containsBlanks" priority="27">
      <formula>LEN(TRIM(I7))=0</formula>
    </cfRule>
  </conditionalFormatting>
  <conditionalFormatting sqref="I7:I19">
    <cfRule type="containsBlanks" dxfId="6" priority="26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E38" sqref="E38"/>
    </sheetView>
  </sheetViews>
  <sheetFormatPr defaultColWidth="8.85546875" defaultRowHeight="12.75"/>
  <cols>
    <col min="1" max="1" width="5" customWidth="1"/>
    <col min="2" max="2" width="23.28515625" customWidth="1"/>
    <col min="3" max="7" width="13.28515625" customWidth="1"/>
    <col min="8" max="19" width="12.7109375" customWidth="1"/>
  </cols>
  <sheetData>
    <row r="18" spans="2:19" ht="15.7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5">
      <c r="B19" s="3" t="s">
        <v>385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5">
      <c r="B20" s="3" t="s">
        <v>386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5">
      <c r="B21" s="3" t="s">
        <v>387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5">
      <c r="B22" s="3" t="s">
        <v>388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5">
      <c r="B23" s="3" t="s">
        <v>346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>
      <c r="B46" s="297" t="s">
        <v>349</v>
      </c>
    </row>
    <row r="47" spans="2:13" ht="15.7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>
      <c r="B71" s="297" t="s">
        <v>359</v>
      </c>
    </row>
    <row r="72" spans="2:13" ht="15.7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350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351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352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353</v>
      </c>
      <c r="J76" s="296"/>
      <c r="K76" s="296"/>
      <c r="L76" s="296"/>
      <c r="M76" s="296"/>
    </row>
    <row r="78" spans="2:13">
      <c r="B78" s="297" t="s">
        <v>358</v>
      </c>
    </row>
    <row r="79" spans="2:13" ht="15.7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356</v>
      </c>
      <c r="J80" s="295"/>
      <c r="K80" s="295"/>
      <c r="L80" s="295"/>
      <c r="M80" s="295"/>
    </row>
    <row r="81" spans="2:13">
      <c r="B81" s="292" t="s">
        <v>357</v>
      </c>
      <c r="J81" s="295"/>
      <c r="K81" s="295"/>
      <c r="L81" s="295"/>
      <c r="M81" s="295"/>
    </row>
    <row r="82" spans="2:13">
      <c r="B82" s="292" t="s">
        <v>355</v>
      </c>
      <c r="J82" s="296"/>
      <c r="K82" s="296"/>
      <c r="L82" s="296"/>
      <c r="M82" s="296"/>
    </row>
    <row r="103" spans="2:13" ht="15.7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360</v>
      </c>
      <c r="J104" s="298">
        <f>Data!F19</f>
        <v>316889</v>
      </c>
      <c r="K104" s="298">
        <f>Data!E19</f>
        <v>357698</v>
      </c>
      <c r="L104" s="298">
        <f>Data!D19</f>
        <v>257260</v>
      </c>
      <c r="M104" s="298">
        <f>Data!C19</f>
        <v>85349</v>
      </c>
    </row>
    <row r="105" spans="2:13">
      <c r="B105" t="s">
        <v>361</v>
      </c>
      <c r="J105" s="298">
        <f>Data!F33</f>
        <v>108000</v>
      </c>
      <c r="K105" s="298">
        <f>Data!E33</f>
        <v>140000</v>
      </c>
      <c r="L105" s="298">
        <f>Data!D33</f>
        <v>108000</v>
      </c>
      <c r="M105" s="298">
        <f>Data!C33</f>
        <v>108000</v>
      </c>
    </row>
    <row r="106" spans="2:13">
      <c r="B106" t="s">
        <v>362</v>
      </c>
      <c r="J106" s="298">
        <f>Data!F40</f>
        <v>104297</v>
      </c>
      <c r="K106" s="298">
        <f>Data!E40</f>
        <v>108954</v>
      </c>
      <c r="L106" s="298">
        <f>Data!D40</f>
        <v>113211</v>
      </c>
      <c r="M106" s="298">
        <f>Data!C40</f>
        <v>48670.8</v>
      </c>
    </row>
    <row r="107" spans="2:13">
      <c r="B107" t="s">
        <v>363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365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>
      <c r="B111" t="s">
        <v>367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368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369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honeticPr fontId="3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5" zoomScaleNormal="100" zoomScalePageLayoutView="80" workbookViewId="0">
      <selection activeCell="C24" sqref="C24"/>
    </sheetView>
  </sheetViews>
  <sheetFormatPr defaultColWidth="12.42578125" defaultRowHeight="15" customHeight="1"/>
  <cols>
    <col min="1" max="1" width="2.42578125" style="3" customWidth="1"/>
    <col min="2" max="2" width="26.85546875" style="3" customWidth="1"/>
    <col min="3" max="7" width="22.7109375" style="3" customWidth="1"/>
    <col min="8" max="8" width="2.42578125" style="3" customWidth="1"/>
    <col min="9" max="9" width="68.42578125" style="3" bestFit="1" customWidth="1"/>
    <col min="10" max="16384" width="12.42578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329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3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45107</v>
      </c>
      <c r="D3" s="194">
        <f>Projections!G3</f>
        <v>45473</v>
      </c>
      <c r="E3" s="194">
        <f>Projections!H3</f>
        <v>45838</v>
      </c>
      <c r="F3" s="194">
        <f>Projections!I3</f>
        <v>46203</v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IF(B4="NOPAT",Projections!F18,Projections!F6)</f>
        <v>34194.75</v>
      </c>
      <c r="D4" s="243">
        <f>IF(B4="NOPAT",Projections!G18,Projections!G6)</f>
        <v>3617.5153500000306</v>
      </c>
      <c r="E4" s="243">
        <f>IF(Projections!H6="","",IF(B4="NOPAT",Projections!H18,Projections!H6))</f>
        <v>169881.69332652961</v>
      </c>
      <c r="F4" s="243">
        <f>IF(Projections!I6="","",IF(B4="NOPAT",Projections!I18,Projections!I6))</f>
        <v>173880.98111999975</v>
      </c>
      <c r="G4" s="244">
        <f>IF(F3="",IF(E3="",1,2),3)</f>
        <v>3</v>
      </c>
      <c r="H4" s="6"/>
      <c r="I4" s="47" t="s">
        <v>390</v>
      </c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-0.89420845743864097</v>
      </c>
      <c r="E5" s="241">
        <f>IF(E4="","",E4/D4-1)</f>
        <v>45.96087698052979</v>
      </c>
      <c r="F5" s="241">
        <f>IF(F4="","",F4/E4-1)</f>
        <v>2.3541605426448786E-2</v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1.2289313417995453</v>
      </c>
      <c r="D6" s="171">
        <f>D7/D4</f>
        <v>11.616536748074793</v>
      </c>
      <c r="E6" s="171">
        <f>E7/E4</f>
        <v>0.43929908059343331</v>
      </c>
      <c r="F6" s="171">
        <f>F7/F4</f>
        <v>0.43230847754719709</v>
      </c>
      <c r="G6" s="285"/>
      <c r="H6" s="6"/>
      <c r="I6" s="45"/>
    </row>
    <row r="7" spans="1:10" ht="15" customHeight="1" thickBot="1">
      <c r="B7" s="146" t="s">
        <v>68</v>
      </c>
      <c r="C7" s="313">
        <f>Projections!F22</f>
        <v>42023</v>
      </c>
      <c r="D7" s="313">
        <f>Projections!G22</f>
        <v>42023</v>
      </c>
      <c r="E7" s="247">
        <f>Projections!H22</f>
        <v>74628.871688000057</v>
      </c>
      <c r="F7" s="247">
        <f>Projections!I22</f>
        <v>75170.222222400014</v>
      </c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IF(C4="","",Projections!F18-C7)</f>
        <v>-7828.25</v>
      </c>
      <c r="D8" s="210">
        <f>Projections!G18-D7</f>
        <v>-38405.484649999969</v>
      </c>
      <c r="E8" s="210">
        <f>IF(E4="","",Projections!H18-E7)</f>
        <v>95252.821638529553</v>
      </c>
      <c r="F8" s="210">
        <f>IF(F4="","",Projections!I18-F7)</f>
        <v>98710.758897599735</v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-3.2168158320800153E-2</v>
      </c>
      <c r="D9" s="248">
        <f>D8/(Common_Shares/Data!$C$4)</f>
        <v>-0.15781735516983478</v>
      </c>
      <c r="E9" s="248">
        <f>IF(E8="","",E8/(Common_Shares/Data!$C$4))</f>
        <v>0.39141670832831821</v>
      </c>
      <c r="F9" s="248">
        <f>IF(F8="","",F8/(Common_Shares/Data!$C$4))</f>
        <v>0.4056262025592336</v>
      </c>
      <c r="G9" s="249">
        <f>IF(F4="",IF(E4="",D8,E8),F8)*Data!C$4/Common_Shares</f>
        <v>0.40562620255923365</v>
      </c>
      <c r="H9" s="49"/>
      <c r="I9" s="35"/>
      <c r="J9" s="35"/>
    </row>
    <row r="10" spans="1:10" ht="15.75" customHeight="1">
      <c r="B10" s="14" t="s">
        <v>124</v>
      </c>
      <c r="C10" s="246"/>
      <c r="D10" s="149">
        <f ca="1">IF(Projections!$E2=1,"",Dashboard!C12)</f>
        <v>0.08</v>
      </c>
      <c r="E10" s="149">
        <f ca="1">IF(Projections!$E2=2,"",IF(E4="","",D10))</f>
        <v>0.08</v>
      </c>
      <c r="F10" s="149" t="str">
        <f>IF(Projections!$E2=3,"",IF(F4="","",D10))</f>
        <v/>
      </c>
      <c r="G10" s="149">
        <f ca="1">Dashboard!C12</f>
        <v>0.08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>
        <f ca="1">IF(D10="","",1+D10)</f>
        <v>1.08</v>
      </c>
      <c r="E11" s="250">
        <f ca="1">IF(E10="","",(1+D10)*(1+E10))</f>
        <v>1.1664000000000001</v>
      </c>
      <c r="F11" s="250" t="str">
        <f>IF(F10="","",(1+D10)*(1+E10)*(1+F10))</f>
        <v/>
      </c>
      <c r="G11" s="250">
        <f ca="1">IF(F9="",IF(E9="",1,D11),E11)*(1+G10)</f>
        <v>1.2597120000000002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>
        <f ca="1">IF(D11="","",D9/D11)</f>
        <v>-0.14612718071280997</v>
      </c>
      <c r="E12" s="252">
        <f ca="1">IF(E11="","",E9/E11)</f>
        <v>0.33557673896460749</v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1456839</v>
      </c>
      <c r="D15" s="106">
        <f>C15*Data!C4/Common_Shares</f>
        <v>5.9865011464779707</v>
      </c>
      <c r="E15" s="52" t="s">
        <v>199</v>
      </c>
      <c r="G15" s="199">
        <f>C15+C16+C17+C18</f>
        <v>1555476.8</v>
      </c>
    </row>
    <row r="16" spans="1:10" ht="15.75" customHeight="1">
      <c r="B16" s="37" t="s">
        <v>205</v>
      </c>
      <c r="C16" s="51">
        <f>Asset_Model!E61</f>
        <v>102818.79999999999</v>
      </c>
      <c r="D16" s="106">
        <f>C16*Data!C4/Common_Shares</f>
        <v>0.42250712953146441</v>
      </c>
      <c r="E16" s="52" t="s">
        <v>274</v>
      </c>
      <c r="G16" s="264">
        <f>(G15+MIN(D4,0))*Data!C$4/Common_Shares</f>
        <v>6.391827543414121</v>
      </c>
    </row>
    <row r="17" spans="1:9" ht="15.75" customHeight="1">
      <c r="B17" s="37" t="s">
        <v>192</v>
      </c>
      <c r="C17" s="51">
        <f>-Asset_Model!D55</f>
        <v>-4181</v>
      </c>
      <c r="D17" s="106">
        <f>C17*Data!C4/Common_Shares</f>
        <v>-1.7180732595313823E-2</v>
      </c>
      <c r="E17" s="342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0</v>
      </c>
      <c r="D18" s="106">
        <f>C18*Data!C4/Common_Shares</f>
        <v>0</v>
      </c>
      <c r="E18" s="342"/>
      <c r="F18" s="89">
        <f>D15+(MIN(D4,0)*Data!C$4/Common_Shares)</f>
        <v>5.9865011464779707</v>
      </c>
      <c r="G18" s="88">
        <f>SUM(D16:D18)</f>
        <v>0.40532639693615058</v>
      </c>
    </row>
    <row r="19" spans="1:9" ht="15.75" customHeight="1">
      <c r="F19" s="6"/>
      <c r="G19" s="6"/>
    </row>
    <row r="20" spans="1:9" ht="15.75" customHeight="1">
      <c r="B20" s="20" t="s">
        <v>328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>
      <c r="B21" s="81" t="str">
        <f>"TV after Year "&amp;G4</f>
        <v>TV after Year 3</v>
      </c>
      <c r="C21" s="265" t="s">
        <v>189</v>
      </c>
      <c r="D21" s="38" t="s">
        <v>325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6</v>
      </c>
      <c r="D22" s="268"/>
      <c r="E22" s="239">
        <f ca="1">IF(D22="",IF(G9&lt;0,G9,G9*C22/G11),D22)</f>
        <v>1.9319949443645861</v>
      </c>
      <c r="F22" s="239">
        <f ca="1">SUM(D12:F12)+E22+$G$16</f>
        <v>8.5132720460305045</v>
      </c>
      <c r="G22" s="271">
        <f ca="1">F22*Exchange_Rate</f>
        <v>8.5132720460305045</v>
      </c>
      <c r="I22" s="43"/>
    </row>
    <row r="23" spans="1:9" ht="15.75" customHeight="1">
      <c r="B23" s="132" t="s">
        <v>249</v>
      </c>
      <c r="C23" s="269">
        <v>8</v>
      </c>
      <c r="D23" s="270"/>
      <c r="E23" s="98">
        <f ca="1">IF(D23="",IF(G9&lt;0,G9,G9*C23/G11),D23)</f>
        <v>2.5759932591527814</v>
      </c>
      <c r="F23" s="98">
        <f ca="1">SUM(D12:F12)+E23+$G$16</f>
        <v>9.1572703608186998</v>
      </c>
      <c r="G23" s="272">
        <f ca="1">F23*Exchange_Rate</f>
        <v>9.1572703608186998</v>
      </c>
      <c r="I23" s="43"/>
    </row>
    <row r="24" spans="1:9" ht="15.6" customHeight="1">
      <c r="C24" s="6"/>
      <c r="D24" s="6"/>
      <c r="E24" s="391" t="s">
        <v>333</v>
      </c>
      <c r="F24" s="392"/>
      <c r="G24" s="143">
        <f ca="1">MIN(G22,G23)+ABS(G22-G23)*Qualitative_Analysis!$E$64</f>
        <v>8.9555882695318427</v>
      </c>
    </row>
    <row r="25" spans="1:9" ht="15.75" customHeight="1"/>
    <row r="26" spans="1:9" ht="15.75" customHeight="1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3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45107</v>
      </c>
      <c r="D27" s="194">
        <f>D3</f>
        <v>45473</v>
      </c>
      <c r="E27" s="194">
        <f>E3</f>
        <v>45838</v>
      </c>
      <c r="F27" s="194">
        <f>F3</f>
        <v>46203</v>
      </c>
      <c r="G27" s="195" t="str">
        <f>G3</f>
        <v>Terminal Value</v>
      </c>
      <c r="I27" s="43" t="s">
        <v>319</v>
      </c>
    </row>
    <row r="28" spans="1:9" ht="15.75" customHeight="1">
      <c r="B28" s="5" t="s">
        <v>123</v>
      </c>
      <c r="C28" s="51">
        <f>C8</f>
        <v>-7828.25</v>
      </c>
      <c r="D28" s="51">
        <f>D8</f>
        <v>-38405.484649999969</v>
      </c>
      <c r="E28" s="51">
        <f>E8</f>
        <v>95252.821638529553</v>
      </c>
      <c r="F28" s="51">
        <f>F8</f>
        <v>98710.758897599735</v>
      </c>
      <c r="G28" s="161"/>
      <c r="I28" s="43" t="s">
        <v>316</v>
      </c>
    </row>
    <row r="29" spans="1:9" ht="15.75" customHeight="1">
      <c r="B29" s="141" t="s">
        <v>298</v>
      </c>
      <c r="C29" s="180">
        <v>0.04</v>
      </c>
      <c r="D29" s="207">
        <v>0.04</v>
      </c>
      <c r="E29" s="180">
        <v>0.04</v>
      </c>
      <c r="F29" s="207">
        <v>0.04</v>
      </c>
      <c r="G29" s="207"/>
      <c r="I29" s="43"/>
    </row>
    <row r="30" spans="1:9" ht="15.75" customHeight="1">
      <c r="B30" s="141" t="s">
        <v>307</v>
      </c>
      <c r="C30" s="95">
        <f>MAX(Asset_Model!D55,0)</f>
        <v>4181</v>
      </c>
      <c r="D30" s="150">
        <v>0</v>
      </c>
      <c r="E30" s="161">
        <v>0</v>
      </c>
      <c r="F30" s="161">
        <v>0</v>
      </c>
      <c r="G30" s="161"/>
      <c r="I30" s="43" t="s">
        <v>308</v>
      </c>
    </row>
    <row r="31" spans="1:9" ht="15.75" customHeight="1">
      <c r="B31" s="141" t="s">
        <v>312</v>
      </c>
      <c r="C31" s="171">
        <f>Projections!F16</f>
        <v>0.25</v>
      </c>
      <c r="D31" s="171">
        <f>Projections!G16</f>
        <v>0.25</v>
      </c>
      <c r="E31" s="171">
        <f>Projections!H16</f>
        <v>0.25</v>
      </c>
      <c r="F31" s="171">
        <f>Projections!I16</f>
        <v>0.25</v>
      </c>
      <c r="G31" s="171"/>
      <c r="I31" s="43"/>
    </row>
    <row r="32" spans="1:9" ht="15.75" customHeight="1" thickBot="1">
      <c r="B32" s="142" t="s">
        <v>311</v>
      </c>
      <c r="C32" s="276">
        <f>C30*(C29*(1-Projections!F16))</f>
        <v>125.42999999999999</v>
      </c>
      <c r="D32" s="276">
        <f>(D30*D29)*(1-D31)</f>
        <v>0</v>
      </c>
      <c r="E32" s="277">
        <f>IF(E28="","",(E30*E29)*(1-E31))</f>
        <v>0</v>
      </c>
      <c r="F32" s="277">
        <f>IF(F28="","",(F30*F29)*(1-F31))</f>
        <v>0</v>
      </c>
      <c r="G32" s="276"/>
      <c r="I32" s="43"/>
    </row>
    <row r="33" spans="1:9" ht="15.75" customHeight="1" thickTop="1">
      <c r="B33" s="141" t="s">
        <v>299</v>
      </c>
      <c r="C33" s="51">
        <f>C28-C32</f>
        <v>-7953.68</v>
      </c>
      <c r="D33" s="210">
        <f>D28-D32</f>
        <v>-38405.484649999969</v>
      </c>
      <c r="E33" s="210">
        <f>IF(E28="","",E28-E32)</f>
        <v>95252.821638529553</v>
      </c>
      <c r="F33" s="210">
        <f>IF(F28="","",F28-F32)</f>
        <v>98710.758897599735</v>
      </c>
      <c r="G33" s="317"/>
      <c r="I33" s="43" t="s">
        <v>303</v>
      </c>
    </row>
    <row r="34" spans="1:9" ht="15.75" customHeight="1">
      <c r="B34" s="120" t="s">
        <v>300</v>
      </c>
      <c r="C34" s="139">
        <f>C33/(Common_Shares/Data!$C$4)</f>
        <v>-3.2683580298659566E-2</v>
      </c>
      <c r="D34" s="245">
        <f>D33/(Common_Shares/Data!$C$4)</f>
        <v>-0.15781735516983478</v>
      </c>
      <c r="E34" s="245">
        <f>IF(E33="","",E33/(Common_Shares/Data!$C$4))</f>
        <v>0.39141670832831821</v>
      </c>
      <c r="F34" s="245">
        <f>IF(F33="","",F33/(Common_Shares/Data!$C$4))</f>
        <v>0.4056262025592336</v>
      </c>
      <c r="G34" s="139">
        <f>INDEX(D34:F34,Projections!E2)</f>
        <v>0.4056262025592336</v>
      </c>
      <c r="H34" s="6"/>
      <c r="I34" s="43"/>
    </row>
    <row r="35" spans="1:9" ht="15.75" customHeight="1">
      <c r="B35" s="141" t="s">
        <v>305</v>
      </c>
      <c r="C35" s="273">
        <f>Dashboard!C31</f>
        <v>7.8</v>
      </c>
      <c r="D35" s="149">
        <f ca="1">D10</f>
        <v>0.08</v>
      </c>
      <c r="E35" s="149">
        <f ca="1">IF(E10="","",E10)</f>
        <v>0.08</v>
      </c>
      <c r="F35" s="149" t="str">
        <f>IF(F10="","",F10)</f>
        <v/>
      </c>
      <c r="G35" s="149">
        <f ca="1">G10</f>
        <v>0.08</v>
      </c>
      <c r="I35" s="43"/>
    </row>
    <row r="36" spans="1:9" ht="15.75" customHeight="1" thickBot="1">
      <c r="B36" s="142" t="s">
        <v>304</v>
      </c>
      <c r="C36" s="75"/>
      <c r="D36" s="278">
        <f ca="1">IF(D35="","",C35*D35)</f>
        <v>0.624</v>
      </c>
      <c r="E36" s="278">
        <f ca="1">IF(E35="","", $D$36)</f>
        <v>0.624</v>
      </c>
      <c r="F36" s="278" t="str">
        <f>IF(F35="","", $D$36)</f>
        <v/>
      </c>
      <c r="G36" s="278">
        <f ca="1">C35*G35</f>
        <v>0.624</v>
      </c>
      <c r="H36" s="6"/>
      <c r="I36" s="43"/>
    </row>
    <row r="37" spans="1:9" ht="15.75" customHeight="1" thickTop="1">
      <c r="B37" s="5" t="s">
        <v>301</v>
      </c>
      <c r="C37" s="274">
        <f>Qualitative_Analysis!E64^2</f>
        <v>0.47173301930040729</v>
      </c>
      <c r="D37" s="245">
        <f ca="1">IF(D36="","",D34-D36)</f>
        <v>-0.78181735516983475</v>
      </c>
      <c r="E37" s="245">
        <f ca="1">IF(E36="","",E34-E36)</f>
        <v>-0.23258329167168179</v>
      </c>
      <c r="F37" s="245" t="str">
        <f>IF(F36="","",F34-F36)</f>
        <v/>
      </c>
      <c r="G37" s="275">
        <f ca="1">G34-G36</f>
        <v>-0.2183737974407664</v>
      </c>
      <c r="I37" s="43" t="s">
        <v>302</v>
      </c>
    </row>
    <row r="38" spans="1:9" ht="15.75" customHeight="1">
      <c r="B38" s="5" t="s">
        <v>125</v>
      </c>
      <c r="C38" s="144"/>
      <c r="D38" s="149">
        <f ca="1">D11</f>
        <v>1.08</v>
      </c>
      <c r="E38" s="149">
        <f ca="1">E11</f>
        <v>1.1664000000000001</v>
      </c>
      <c r="F38" s="149" t="str">
        <f>F11</f>
        <v/>
      </c>
      <c r="G38" s="149">
        <f ca="1">IF(F34="",IF(E34="",1,D38),E38)*(1+G35)*(1+G35-C37)</f>
        <v>0.76624121479104557</v>
      </c>
      <c r="I38" s="43"/>
    </row>
    <row r="39" spans="1:9" ht="15.75" customHeight="1">
      <c r="B39" s="85" t="s">
        <v>310</v>
      </c>
      <c r="C39" s="145"/>
      <c r="D39" s="279">
        <f ca="1">IF(D37="","",D37/D38)</f>
        <v>-0.72390495849058767</v>
      </c>
      <c r="E39" s="279">
        <f ca="1">IF(E37="","",E37/E38)</f>
        <v>-0.19940268490370522</v>
      </c>
      <c r="F39" s="279" t="str">
        <f>IF(F37="","",F37/F38)</f>
        <v/>
      </c>
      <c r="G39" s="279">
        <f ca="1">G37/G38</f>
        <v>-0.284993541492436</v>
      </c>
      <c r="I39" s="43"/>
    </row>
    <row r="40" spans="1:9" ht="15.75" customHeight="1">
      <c r="B40" s="20" t="s">
        <v>331</v>
      </c>
      <c r="C40" s="6"/>
      <c r="D40" s="6"/>
      <c r="E40" s="393" t="s">
        <v>320</v>
      </c>
      <c r="F40" s="371"/>
      <c r="G40" s="280">
        <f>Asset_Model!D7</f>
        <v>7.3381497735808736</v>
      </c>
    </row>
    <row r="41" spans="1:9" ht="15.75" customHeight="1">
      <c r="C41" s="6"/>
      <c r="D41" s="6"/>
      <c r="E41" s="391" t="s">
        <v>306</v>
      </c>
      <c r="F41" s="391"/>
      <c r="G41" s="281">
        <f ca="1">MAX((G40+SUM(D39:G39))*Exchange_Rate,0)</f>
        <v>6.129848588694145</v>
      </c>
    </row>
    <row r="42" spans="1:9" ht="15.75" customHeight="1"/>
    <row r="43" spans="1:9" ht="15.75" customHeight="1">
      <c r="A43" s="4"/>
      <c r="B43" s="254" t="s">
        <v>332</v>
      </c>
      <c r="C43" s="6"/>
      <c r="D43" s="6"/>
      <c r="E43" s="22" t="s">
        <v>189</v>
      </c>
      <c r="F43" s="22" t="s">
        <v>326</v>
      </c>
      <c r="G43" s="22" t="s">
        <v>327</v>
      </c>
      <c r="H43" s="84"/>
      <c r="I43" s="104"/>
    </row>
    <row r="44" spans="1:9" ht="15.75" customHeight="1">
      <c r="B44" s="76" t="s">
        <v>278</v>
      </c>
      <c r="C44" s="261">
        <f ca="1">MIN(G24,G41)+ABS(G24-G41)*Qualitative_Analysis!$E$8</f>
        <v>8.2774107461307942</v>
      </c>
      <c r="D44" s="262" t="str">
        <f>Dashboard!J4</f>
        <v>HKD</v>
      </c>
      <c r="E44" s="263">
        <f ca="1">(C44-G16)/C9</f>
        <v>-58.616448722755827</v>
      </c>
      <c r="F44" s="263">
        <f ca="1">C44/(Data!C29*Exchange_Rate*Data!C4/Common_Shares)</f>
        <v>0.7229413977230531</v>
      </c>
      <c r="G44" s="263">
        <f ca="1">C44/(Data!C7*Data!C4*Exchange_Rate/Common_Shares)</f>
        <v>0.39350760152084541</v>
      </c>
      <c r="I44" s="43"/>
    </row>
    <row r="45" spans="1:9" ht="15.75" customHeight="1">
      <c r="B45" s="6" t="s">
        <v>313</v>
      </c>
      <c r="C45" s="255">
        <f>Projections!F6*0.5/Common_Shares*Data!C4</f>
        <v>10.517472488637951</v>
      </c>
      <c r="D45" s="256" t="str">
        <f>D44</f>
        <v>HKD</v>
      </c>
      <c r="E45" s="223">
        <f>(C45-G16)/C9</f>
        <v>-128.25244467154215</v>
      </c>
      <c r="F45" s="223">
        <f>C45/(Asset_Model!I3*Exchange_Rate*Data!C4/Common_Shares)</f>
        <v>0.91858631819181835</v>
      </c>
      <c r="G45" s="223">
        <f>C45/(Data!C7*Data!C4*Exchange_Rate/Common_Shares)</f>
        <v>0.5</v>
      </c>
      <c r="I45" s="43"/>
    </row>
    <row r="46" spans="1:9" ht="15.75" customHeight="1">
      <c r="B46" s="257" t="s">
        <v>314</v>
      </c>
      <c r="C46" s="258">
        <f ca="1">MIN(C45,C44)+ABS(C45-C44)*Qualitative_Analysis!E64</f>
        <v>9.8159483907230189</v>
      </c>
      <c r="D46" s="256" t="str">
        <f>D45</f>
        <v>HKD</v>
      </c>
      <c r="E46" s="223">
        <f ca="1">(C46-G16)/C9</f>
        <v>-106.44441665455363</v>
      </c>
      <c r="F46" s="223">
        <f ca="1">C46/(Asset_Model!I3*Exchange_Rate*Data!C4/Common_Shares)</f>
        <v>0.85731585240998043</v>
      </c>
      <c r="G46" s="223">
        <f ca="1">C46/(Data!C7*Data!C4*Exchange_Rate/Common_Shares)</f>
        <v>0.4666495872143811</v>
      </c>
    </row>
    <row r="47" spans="1:9" ht="15.75" customHeight="1">
      <c r="B47" s="84" t="s">
        <v>279</v>
      </c>
      <c r="C47" s="259">
        <f ca="1">MAX(G41,C44)/(1+Dashboard!I14)</f>
        <v>6.6219285969046355</v>
      </c>
      <c r="D47" s="260" t="str">
        <f>D45</f>
        <v>HKD</v>
      </c>
      <c r="E47" s="224">
        <f ca="1">(C47-G16)/C9</f>
        <v>-7.1530689197624859</v>
      </c>
      <c r="F47" s="224">
        <f ca="1">C47/(Asset_Model!I3*Exchange_Rate*Data!C4/Common_Shares)</f>
        <v>0.57835311817844248</v>
      </c>
      <c r="G47" s="224">
        <f ca="1">C47/(Data!C7*Data!C4*Exchange_Rate/Common_Shares)</f>
        <v>0.3148060812166763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7" zoomScaleNormal="100" workbookViewId="0">
      <selection activeCell="G3" sqref="G3"/>
    </sheetView>
  </sheetViews>
  <sheetFormatPr defaultColWidth="12.42578125" defaultRowHeight="15" customHeight="1"/>
  <cols>
    <col min="1" max="1" width="2.42578125" style="3" customWidth="1"/>
    <col min="2" max="2" width="62.42578125" style="3" customWidth="1"/>
    <col min="3" max="3" width="28.7109375" style="3" customWidth="1"/>
    <col min="4" max="4" width="10.7109375" style="3" customWidth="1"/>
    <col min="5" max="5" width="28.7109375" style="3" customWidth="1"/>
    <col min="6" max="6" width="5.7109375" style="3" customWidth="1"/>
    <col min="7" max="7" width="73.85546875" style="3" customWidth="1"/>
    <col min="8" max="16384" width="12.42578125" style="3"/>
  </cols>
  <sheetData>
    <row r="2" spans="1:7" ht="15.75">
      <c r="A2" s="4"/>
      <c r="B2" s="11" t="s">
        <v>126</v>
      </c>
      <c r="C2" s="59"/>
      <c r="D2" s="12"/>
      <c r="E2" s="6"/>
      <c r="G2" s="42" t="s">
        <v>117</v>
      </c>
    </row>
    <row r="3" spans="1:7">
      <c r="B3" s="6" t="s">
        <v>231</v>
      </c>
      <c r="C3" s="60"/>
      <c r="D3" s="58">
        <f>IF(E3="Strongly disagree",0,IF(E3="disagree",1,IF(E3="unclear",2,IF(E3="agree",3,4))))</f>
        <v>2</v>
      </c>
      <c r="E3" s="216" t="s">
        <v>127</v>
      </c>
      <c r="G3" s="47"/>
    </row>
    <row r="4" spans="1:7">
      <c r="B4" s="6" t="s">
        <v>233</v>
      </c>
      <c r="C4" s="60"/>
      <c r="D4" s="58">
        <f t="shared" ref="D4" si="0">IF(E4="Strongly disagree",0,IF(E4="disagree",1,IF(E4="unclear",2,IF(E4="agree",3,4))))</f>
        <v>4</v>
      </c>
      <c r="E4" s="175" t="s">
        <v>137</v>
      </c>
      <c r="G4" s="45"/>
    </row>
    <row r="5" spans="1:7">
      <c r="B5" s="6" t="s">
        <v>228</v>
      </c>
      <c r="C5" s="60"/>
      <c r="D5" s="58">
        <f>AVERAGE(D12:D16)</f>
        <v>2.8</v>
      </c>
      <c r="E5" s="170" t="str">
        <f>IF(D5&gt;=3.5,"Strongly agree",IF(D5&gt;=2.5,"agree",IF(D5&gt;=1.5,"unclear",IF(D5&gt;=0.5,"disagree","Strongly disagree"))))</f>
        <v>agree</v>
      </c>
      <c r="G5" s="45"/>
    </row>
    <row r="6" spans="1:7">
      <c r="B6" s="6" t="s">
        <v>229</v>
      </c>
      <c r="C6" s="60"/>
      <c r="D6" s="58">
        <f>AVERAGE(D24:D28)</f>
        <v>3.4</v>
      </c>
      <c r="E6" s="170" t="str">
        <f>IF(D6&gt;=3.5,"Strongly agree",IF(D6&gt;=2.5,"agree",IF(D6&gt;=1.5,"unclear",IF(D6&gt;=0.5,"disagree","Strongly disagree"))))</f>
        <v>agree</v>
      </c>
      <c r="G6" s="45"/>
    </row>
    <row r="7" spans="1:7">
      <c r="B7" s="6" t="s">
        <v>230</v>
      </c>
      <c r="C7" s="60"/>
      <c r="D7" s="63">
        <f>IF(E7="Strongly disagree",0,IF(E7="disagree",1,IF(E7="unclear",2,IF(E7="agree",3,4))))</f>
        <v>3</v>
      </c>
      <c r="E7" s="22" t="str">
        <f>IF(D64&gt;=3.5,"Strongly agree",IF(D64&gt;=2.5,"agree",IF(D64&gt;=1.5,"unclear",IF(D64&gt;=0.5,"disagree","Strongly disagree"))))</f>
        <v>agree</v>
      </c>
      <c r="G7" s="47"/>
    </row>
    <row r="8" spans="1:7">
      <c r="B8" s="61" t="s">
        <v>129</v>
      </c>
      <c r="C8" s="60"/>
      <c r="D8" s="58">
        <f>AVERAGE(D3:D7)</f>
        <v>3.04</v>
      </c>
      <c r="E8" s="215">
        <f>D8/4</f>
        <v>0.76</v>
      </c>
      <c r="G8" s="45"/>
    </row>
    <row r="9" spans="1:7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4</v>
      </c>
      <c r="E13" s="175" t="s">
        <v>137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4</v>
      </c>
      <c r="E14" s="175" t="s">
        <v>137</v>
      </c>
      <c r="F14" s="6"/>
      <c r="G14" s="119"/>
    </row>
    <row r="15" spans="1:7" ht="15" customHeight="1">
      <c r="B15" s="32" t="s">
        <v>134</v>
      </c>
      <c r="D15" s="63">
        <f>IF(E15="Strongly disagree",0,IF(E15="disagree",1,IF(E15="unclear",2,IF(E15="agree",3,4))))</f>
        <v>1</v>
      </c>
      <c r="E15" s="175" t="s">
        <v>135</v>
      </c>
      <c r="F15" s="6"/>
      <c r="G15" s="119"/>
    </row>
    <row r="16" spans="1:7" ht="15" customHeight="1">
      <c r="B16" s="32" t="s">
        <v>136</v>
      </c>
      <c r="D16" s="63">
        <f>IF(E16="Strongly disagree",0,IF(E16="disagree",1,IF(E16="unclear",2,IF(E16="agree",3,4))))</f>
        <v>4</v>
      </c>
      <c r="E16" s="175" t="s">
        <v>137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4</v>
      </c>
      <c r="E19" s="175" t="s">
        <v>137</v>
      </c>
      <c r="F19" s="6"/>
      <c r="G19" s="119"/>
    </row>
    <row r="20" spans="2:7" ht="15" customHeight="1">
      <c r="B20" s="32" t="s">
        <v>140</v>
      </c>
      <c r="D20" s="63">
        <f t="shared" si="1"/>
        <v>1</v>
      </c>
      <c r="E20" s="175" t="s">
        <v>135</v>
      </c>
      <c r="F20" s="6"/>
      <c r="G20" s="119"/>
    </row>
    <row r="21" spans="2:7" ht="15" customHeight="1">
      <c r="B21" s="32" t="s">
        <v>141</v>
      </c>
      <c r="D21" s="63">
        <f t="shared" si="1"/>
        <v>3</v>
      </c>
      <c r="E21" s="175" t="s">
        <v>128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4</v>
      </c>
      <c r="E24" s="175" t="s">
        <v>137</v>
      </c>
      <c r="F24" s="6"/>
      <c r="G24" s="119"/>
    </row>
    <row r="25" spans="2:7" ht="15" customHeight="1">
      <c r="B25" s="32" t="s">
        <v>145</v>
      </c>
      <c r="D25" s="63">
        <f t="shared" si="2"/>
        <v>3</v>
      </c>
      <c r="E25" s="175" t="s">
        <v>128</v>
      </c>
      <c r="F25" s="6"/>
      <c r="G25" s="119"/>
    </row>
    <row r="26" spans="2:7" ht="15" customHeight="1">
      <c r="B26" s="32" t="s">
        <v>234</v>
      </c>
      <c r="D26" s="63">
        <f t="shared" si="2"/>
        <v>4</v>
      </c>
      <c r="E26" s="175" t="s">
        <v>137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3</v>
      </c>
      <c r="E28" s="175" t="s">
        <v>128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0.55000000000000004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0</v>
      </c>
      <c r="E31" s="175" t="s">
        <v>150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3</v>
      </c>
      <c r="E33" s="175" t="s">
        <v>128</v>
      </c>
      <c r="F33" s="6"/>
      <c r="G33" s="119"/>
    </row>
    <row r="34" spans="2:7" ht="15" customHeight="1">
      <c r="B34" s="32" t="s">
        <v>238</v>
      </c>
      <c r="D34" s="63">
        <f t="shared" si="3"/>
        <v>1</v>
      </c>
      <c r="E34" s="175" t="s">
        <v>135</v>
      </c>
      <c r="F34" s="6"/>
      <c r="G34" s="119"/>
    </row>
    <row r="35" spans="2:7" ht="15" customHeight="1">
      <c r="B35" s="32" t="s">
        <v>254</v>
      </c>
      <c r="D35" s="63">
        <f t="shared" si="3"/>
        <v>3</v>
      </c>
      <c r="E35" s="175" t="s">
        <v>128</v>
      </c>
      <c r="G35" s="119"/>
    </row>
    <row r="36" spans="2:7" ht="15" customHeight="1">
      <c r="B36" s="1" t="s">
        <v>151</v>
      </c>
      <c r="D36" s="64">
        <f>SUM(D37:D41)/(5*4)</f>
        <v>0.2</v>
      </c>
      <c r="E36" s="18" t="str">
        <f>IF(D36&gt;80%,"Very High",IF(D36&lt;=20%,"Very Low",IF(D36&lt;=40%,"Low",IF(D36&lt;=60%,"Medium","High"))))</f>
        <v>Very 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0</v>
      </c>
      <c r="E37" s="175" t="s">
        <v>150</v>
      </c>
      <c r="F37" s="6"/>
      <c r="G37" s="119"/>
    </row>
    <row r="38" spans="2:7" ht="15" customHeight="1">
      <c r="B38" s="32" t="s">
        <v>239</v>
      </c>
      <c r="D38" s="63">
        <f t="shared" si="4"/>
        <v>0</v>
      </c>
      <c r="E38" s="175" t="s">
        <v>150</v>
      </c>
      <c r="F38" s="6"/>
      <c r="G38" s="119"/>
    </row>
    <row r="39" spans="2:7" ht="15" customHeight="1">
      <c r="B39" s="32" t="s">
        <v>240</v>
      </c>
      <c r="D39" s="63">
        <f t="shared" si="4"/>
        <v>0</v>
      </c>
      <c r="E39" s="175" t="s">
        <v>150</v>
      </c>
      <c r="F39" s="6"/>
      <c r="G39" s="119"/>
    </row>
    <row r="40" spans="2:7" ht="15" customHeight="1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0.25</v>
      </c>
      <c r="E42" s="18" t="str">
        <f>IF(D42&gt;80%,"Very High",IF(D42&lt;=20%,"Very Low",IF(D42&lt;=40%,"Low",IF(D42&lt;=60%,"Medium","High"))))</f>
        <v>Low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0</v>
      </c>
      <c r="E43" s="175" t="s">
        <v>150</v>
      </c>
      <c r="F43" s="6"/>
      <c r="G43" s="119"/>
    </row>
    <row r="44" spans="2:7" ht="15" customHeight="1">
      <c r="B44" s="32" t="s">
        <v>155</v>
      </c>
      <c r="D44" s="63">
        <f t="shared" si="5"/>
        <v>1</v>
      </c>
      <c r="E44" s="175" t="s">
        <v>135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0</v>
      </c>
      <c r="E47" s="175" t="s">
        <v>150</v>
      </c>
      <c r="F47" s="6"/>
      <c r="G47" s="119"/>
    </row>
    <row r="48" spans="2:7" ht="15" customHeight="1">
      <c r="B48" s="32" t="s">
        <v>184</v>
      </c>
      <c r="D48" s="63">
        <f t="shared" si="5"/>
        <v>1</v>
      </c>
      <c r="E48" s="175" t="s">
        <v>135</v>
      </c>
      <c r="F48" s="6"/>
      <c r="G48" s="119"/>
    </row>
    <row r="49" spans="2:8" ht="15" customHeight="1">
      <c r="B49" s="1" t="s">
        <v>159</v>
      </c>
      <c r="D49" s="64">
        <f>SUM(D50:D54)/(5*4)</f>
        <v>0.55510204081632653</v>
      </c>
      <c r="E49" s="18" t="str">
        <f>IF(D49&gt;80%,"Very High",IF(D49&lt;=20%,"Very Low",IF(D49&lt;=40%,"Low",IF(D49&lt;=60%,"Medium","High"))))</f>
        <v>Medium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2</v>
      </c>
      <c r="E50" s="175" t="s">
        <v>127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3.1020408163265305</v>
      </c>
      <c r="E54" s="175" t="s">
        <v>405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0.70833333333333337</v>
      </c>
      <c r="E55" s="18" t="str">
        <f>IF(D55&gt;80%,"Very High",IF(D55&lt;=20%,"Very Low",IF(D55&lt;=40%,"Low",IF(D55&lt;=60%,"Medium","High"))))</f>
        <v>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2</v>
      </c>
      <c r="E57" s="175" t="s">
        <v>127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2</v>
      </c>
      <c r="E58" s="175" t="s">
        <v>127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296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0.54731292517006802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2.7473129251700681</v>
      </c>
      <c r="E64" s="217">
        <f>AVERAGE(AVERAGE(D12:D16)/4,AVERAGE(D18:D22)/4,AVERAGE(D24:D28)/4,D62)</f>
        <v>0.68682823129251702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2023-11-29T07:28:37Z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