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 chen\PycharmProjects\Invest_Proc\financial_models\Opportunities\"/>
    </mc:Choice>
  </mc:AlternateContent>
  <xr:revisionPtr revIDLastSave="0" documentId="13_ncr:1_{4C7B1884-7B53-4C49-9AC8-A1C90BDE168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al_Models" sheetId="4" r:id="rId5"/>
    <sheet name="Qualitative_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7" i="7" l="1"/>
  <c r="F27" i="7"/>
  <c r="G25" i="7"/>
  <c r="F25" i="7"/>
  <c r="G23" i="7"/>
  <c r="F24" i="7"/>
  <c r="F23" i="7"/>
  <c r="G15" i="7"/>
  <c r="F15" i="7"/>
  <c r="E15" i="7"/>
  <c r="D15" i="7"/>
  <c r="C15" i="7"/>
  <c r="F11" i="7"/>
  <c r="E11" i="7"/>
  <c r="D11" i="7"/>
  <c r="C11" i="7"/>
  <c r="C37" i="1"/>
  <c r="G22" i="7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I44" i="3"/>
  <c r="I24" i="3"/>
  <c r="C47" i="3"/>
  <c r="C45" i="3"/>
  <c r="C25" i="3"/>
  <c r="C27" i="3"/>
  <c r="C26" i="3"/>
  <c r="C44" i="3"/>
  <c r="C38" i="3"/>
  <c r="C46" i="3" s="1"/>
  <c r="G9" i="7" l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G11" i="7" l="1"/>
  <c r="G13" i="7" s="1"/>
  <c r="G18" i="7" s="1"/>
  <c r="C9" i="7"/>
  <c r="C13" i="7" s="1"/>
  <c r="C18" i="7" s="1"/>
  <c r="F9" i="7"/>
  <c r="F13" i="7" s="1"/>
  <c r="F18" i="7" s="1"/>
  <c r="E9" i="7"/>
  <c r="E13" i="7" s="1"/>
  <c r="E18" i="7" s="1"/>
  <c r="D9" i="7"/>
  <c r="D13" i="7" s="1"/>
  <c r="D18" i="7" s="1"/>
  <c r="I15" i="3"/>
  <c r="B18" i="1"/>
  <c r="J20" i="1"/>
  <c r="F42" i="1"/>
  <c r="I23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D61" i="2"/>
  <c r="E61" i="2"/>
  <c r="B8" i="4"/>
  <c r="B12" i="4" s="1"/>
  <c r="J10" i="1"/>
  <c r="E5" i="1"/>
  <c r="M37" i="2" l="1"/>
  <c r="L37" i="2"/>
  <c r="K37" i="2"/>
  <c r="J37" i="2"/>
  <c r="I37" i="2"/>
  <c r="C12" i="7"/>
  <c r="E14" i="7"/>
  <c r="D14" i="7"/>
  <c r="C14" i="7"/>
  <c r="E12" i="7"/>
  <c r="C16" i="7"/>
  <c r="D10" i="7"/>
  <c r="E16" i="7"/>
  <c r="E10" i="7"/>
  <c r="D12" i="7"/>
  <c r="B6" i="4"/>
  <c r="B9" i="4"/>
  <c r="J27" i="1"/>
  <c r="C31" i="4"/>
  <c r="C35" i="4"/>
  <c r="G27" i="4"/>
  <c r="D16" i="7" l="1"/>
  <c r="D17" i="7"/>
  <c r="E17" i="7"/>
  <c r="G10" i="7"/>
  <c r="B16" i="1" l="1"/>
  <c r="H23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10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C7" i="4" l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I25" i="7" s="1"/>
  <c r="C17" i="4"/>
  <c r="D17" i="4" s="1"/>
  <c r="C32" i="4"/>
  <c r="G12" i="2"/>
  <c r="D46" i="4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C55" i="2"/>
  <c r="D44" i="3"/>
  <c r="D45" i="3"/>
  <c r="G15" i="4"/>
  <c r="J27" i="3"/>
  <c r="D25" i="3"/>
  <c r="C45" i="4" l="1"/>
  <c r="C6" i="4"/>
  <c r="D6" i="3"/>
  <c r="D7" i="3" s="1"/>
  <c r="G17" i="7"/>
  <c r="G16" i="7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22" i="4"/>
  <c r="D23" i="4"/>
  <c r="D6" i="4"/>
  <c r="D5" i="4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H25" i="7" s="1"/>
  <c r="F10" i="4" l="1"/>
  <c r="G34" i="4"/>
  <c r="D10" i="4"/>
  <c r="D11" i="4" s="1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<sst xmlns="http://schemas.openxmlformats.org/spreadsheetml/2006/main" count="465" uniqueCount="399">
  <si>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</si>
  <si>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</si>
  <si>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</si>
  <si>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</si>
  <si>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</si>
  <si>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</si>
  <si>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</si>
  <si>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</si>
  <si>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</si>
  <si>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</si>
  <si>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</si>
  <si>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</si>
  <si>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</si>
  <si>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</si>
  <si>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</si>
  <si>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</si>
  <si>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</si>
  <si>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</si>
  <si>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</si>
  <si>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</si>
  <si>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</si>
  <si>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</si>
  <si>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</si>
  <si>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</si>
  <si>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</si>
  <si>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</si>
  <si>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</si>
  <si>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</si>
  <si>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</si>
  <si>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</si>
  <si>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</si>
  <si>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</si>
  <si>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</si>
  <si>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</si>
  <si>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</si>
  <si>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</si>
  <si>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</si>
  <si>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</si>
  <si>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</si>
  <si>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</si>
  <si>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</si>
  <si>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</si>
  <si>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</si>
  <si>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</si>
  <si>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</si>
  <si>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</si>
  <si>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</si>
  <si>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</si>
  <si>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</si>
  <si>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</si>
  <si>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</si>
  <si>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</si>
  <si>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</si>
  <si>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</si>
  <si>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</si>
  <si>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</si>
  <si>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</si>
  <si>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</si>
  <si>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</si>
  <si>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</si>
  <si>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</si>
  <si>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</si>
  <si>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</si>
  <si>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</si>
  <si>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</si>
  <si>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</si>
  <si>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</si>
  <si>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</si>
  <si>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</si>
  <si>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</si>
  <si>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</si>
  <si>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</si>
  <si>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</si>
  <si>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</si>
  <si>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</si>
  <si>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</si>
  <si>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</si>
  <si>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</si>
  <si>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</si>
  <si>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</si>
  <si>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</si>
  <si>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</si>
  <si>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</si>
  <si>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</si>
  <si>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</si>
  <si>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</si>
  <si>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</si>
  <si>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</si>
  <si>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</si>
  <si>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</si>
  <si>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</si>
  <si>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</si>
  <si>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</si>
  <si>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</si>
  <si>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</si>
  <si>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</si>
  <si>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</si>
  <si>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</si>
  <si>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</si>
  <si>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</si>
  <si>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</si>
  <si>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</si>
  <si>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</si>
  <si>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</si>
  <si>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</si>
  <si>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</si>
  <si>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</si>
  <si>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</si>
  <si>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</si>
  <si>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</si>
  <si>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</si>
  <si>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</si>
  <si>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</si>
  <si>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</si>
  <si>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</si>
  <si>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</si>
  <si>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</si>
  <si>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</si>
  <si>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</si>
  <si>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</si>
  <si>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</si>
  <si>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</si>
  <si>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</si>
  <si>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</si>
  <si>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</si>
  <si>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</si>
  <si>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</si>
  <si>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</si>
  <si>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</si>
  <si>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</si>
  <si>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</si>
  <si>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</si>
  <si>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</si>
  <si>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</si>
  <si>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</si>
  <si>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</si>
  <si>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</si>
  <si>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</si>
  <si>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</si>
  <si>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</si>
  <si>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</si>
  <si>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</si>
  <si>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</si>
  <si>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</si>
  <si>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</si>
  <si>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</si>
  <si>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</si>
  <si>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</si>
  <si>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</si>
  <si>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</si>
  <si>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</si>
  <si>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</si>
  <si>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</si>
  <si>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</si>
  <si>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</si>
  <si>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</si>
  <si>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</si>
  <si>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</si>
  <si>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</si>
  <si>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</si>
  <si>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</si>
  <si>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</si>
  <si>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</si>
  <si>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</si>
  <si>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</si>
  <si>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</si>
  <si>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</si>
  <si>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</si>
  <si>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</si>
  <si>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</si>
  <si>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</si>
  <si>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</si>
  <si>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</si>
  <si>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</si>
  <si>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</si>
  <si>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</si>
  <si>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</si>
  <si>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</si>
  <si>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</si>
  <si>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</si>
  <si>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</si>
  <si>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</si>
  <si>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</si>
  <si>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</si>
  <si>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</si>
  <si>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</si>
  <si>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</si>
  <si>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</si>
  <si>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</si>
  <si>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</si>
  <si>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</si>
  <si>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</si>
  <si>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</si>
  <si>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</si>
  <si>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</si>
  <si>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</si>
  <si>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</si>
  <si>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</si>
  <si>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</si>
  <si>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</si>
  <si>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</si>
  <si>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</si>
  <si>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</si>
  <si>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</si>
  <si>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</si>
  <si>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</si>
  <si>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</si>
  <si>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</si>
  <si>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</si>
  <si>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</si>
  <si>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</si>
  <si>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</si>
  <si>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</si>
  <si>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</si>
  <si>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</si>
  <si>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</si>
  <si>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</si>
  <si>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</si>
  <si>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</si>
  <si>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</si>
  <si>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</si>
  <si>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</si>
  <si>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</si>
  <si>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</si>
  <si>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</si>
  <si>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</si>
  <si>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</si>
  <si>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</si>
  <si>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</si>
  <si>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</si>
  <si>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</si>
  <si>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</si>
  <si>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</si>
  <si>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</si>
  <si>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</si>
  <si>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</si>
  <si>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</si>
  <si>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</si>
  <si>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</si>
  <si>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</si>
  <si>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</si>
  <si>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</si>
  <si>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</si>
  <si>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</si>
  <si>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</si>
  <si>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</si>
  <si>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</si>
  <si>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</si>
  <si>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</si>
  <si>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</si>
  <si>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</si>
  <si>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</si>
  <si>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</si>
  <si>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</si>
  <si>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</si>
  <si>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</si>
  <si>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</si>
  <si>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</si>
  <si>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</si>
  <si>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</si>
  <si>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</si>
  <si>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</si>
  <si>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</si>
  <si>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</si>
  <si>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</si>
  <si>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</si>
  <si>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</si>
  <si>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</si>
  <si>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</si>
  <si>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</si>
  <si>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</si>
  <si>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</si>
  <si>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</si>
  <si>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</si>
  <si>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</si>
  <si>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</si>
  <si>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</si>
  <si>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</si>
  <si>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</si>
  <si>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</si>
  <si>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</si>
  <si>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</si>
  <si>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</si>
  <si>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</si>
  <si>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</si>
  <si>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</si>
  <si>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</si>
  <si>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</si>
  <si>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</si>
  <si>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</si>
  <si>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</si>
  <si>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</si>
  <si>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</si>
  <si>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</si>
  <si>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</si>
  <si>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</si>
  <si>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</si>
  <si>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</si>
  <si>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</si>
  <si>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</si>
  <si>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</si>
  <si>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</si>
  <si>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</si>
  <si>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</si>
  <si>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</si>
  <si>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</si>
  <si>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</si>
  <si>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</si>
  <si>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</si>
  <si>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</si>
  <si>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</si>
  <si>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</si>
  <si>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</si>
  <si>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</si>
  <si>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</si>
  <si>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</si>
  <si>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</si>
  <si>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</si>
  <si>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</si>
  <si>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</si>
  <si>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</si>
  <si>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</si>
  <si>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</si>
  <si>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</si>
  <si>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</si>
  <si>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</si>
  <si>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</si>
  <si>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</si>
  <si>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</si>
  <si>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</si>
  <si>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</si>
  <si>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</si>
  <si>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</si>
  <si>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</si>
  <si>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</si>
  <si>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</si>
  <si>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</si>
  <si>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</si>
  <si>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</si>
  <si>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</si>
  <si>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</si>
  <si>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</si>
  <si>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</si>
  <si>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</si>
  <si>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</si>
  <si>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</si>
  <si>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</si>
  <si>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</si>
  <si>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</si>
  <si>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</si>
  <si>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</si>
  <si>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</si>
  <si>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</si>
  <si>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</si>
  <si>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</si>
  <si>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Total Liabilities / Total Assets</t>
  </si>
  <si>
    <t>M&amp;A</t>
  </si>
  <si>
    <t>Total Debt / Common Equity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</si>
  <si>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</si>
  <si>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</si>
  <si>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</si>
  <si>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</si>
  <si>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</si>
  <si>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</si>
  <si>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</si>
  <si>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</si>
  <si>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</si>
  <si>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</si>
  <si>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</si>
  <si>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</si>
  <si>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</si>
  <si>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</si>
  <si>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</si>
  <si>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</si>
  <si>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</si>
  <si>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</si>
  <si>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</si>
  <si>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</si>
  <si>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</si>
  <si>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</si>
  <si>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</si>
  <si>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</si>
  <si>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</si>
  <si>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</si>
  <si>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</si>
  <si>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</si>
  <si>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</si>
  <si>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</si>
  <si>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>FCInv = Δ PP&amp;E + D&amp;A</t>
  </si>
  <si>
    <t>1. 京東方被美國制裁，多方面受制，難以開拓海外市場
2. 電子元器件因制裁導致短缺
3. 原材料及耗用品價格上升</t>
  </si>
  <si>
    <t>1. 液晶面板价格21年上半年后转入了下行周期
2. 下游车厂打价格战
3. 原材料及耗用品价格上升</t>
  </si>
  <si>
    <t>COGS went up due to higher material cost</t>
  </si>
  <si>
    <t>1. 因制裁導業務受阻的可能性較低，關鍵零件國產率較高
2. 主要竞争对手为深天马、TCL华星
3. 根据“王氏定律”，每三年，液晶显示面板价格会下降50</t>
  </si>
  <si>
    <t>1. 背靠京东方集团，获得充沛面板生产资源及技术支持
2. 呎吋大於8英吋的TFT-LCD顯示屏，取得了市場佔有率第一位
3. 強大的客戶網絡，並獲得主要汽車製造商的量產項目</t>
  </si>
  <si>
    <t>1. 电动化率提升、座舱升级、多屏化
2. 大屏化及高清化趋势继续快速增长
3. 产能稳步扩张，高世代产能率先释放利于大尺寸面板出货</t>
  </si>
  <si>
    <t>1. Uncertain.
2. Uncertain
3. Uncertain</t>
  </si>
  <si>
    <t>D&amp;A</t>
  </si>
  <si>
    <t>- WCInv</t>
  </si>
  <si>
    <t xml:space="preserve">- FCInv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</si>
</sst>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4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7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3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1" fillId="2" borderId="11" xfId="0" applyNumberFormat="1" applyFont="1" applyFill="1" applyBorder="1" applyAlignment="1">
      <alignment horizontal="center"/>
    </xf>
  </cellXfs>
  <cellStyles count="3">
    <cellStyle name="一般" xfId="0" builtinId="0"/>
    <cellStyle name="千分位" xfId="1" builtinId="3"/>
    <cellStyle name="超連結" xfId="2" builtinId="8"/>
  </cellStyles>
  <dxfs count="2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5" zoomScaleNormal="100" workbookViewId="0">
      <selection activeCell="I38" sqref="I38:J38"/>
    </sheetView>
  </sheetViews>
  <sheetFormatPr defaultColWidth="12.42578125" defaultRowHeight="15" customHeight="1"/>
  <cols>
    <col min="1" max="1" width="2.42578125" style="3" customWidth="1"/>
    <col min="2" max="2" width="28.28515625" style="3" customWidth="1"/>
    <col min="3" max="10" width="14.85546875" style="3" customWidth="1"/>
    <col min="11" max="11" width="14.42578125" style="3" bestFit="1" customWidth="1"/>
    <col min="12" max="16384" width="12.42578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19" t="s">
        <v>359</v>
      </c>
      <c r="D3" s="320"/>
      <c r="E3" s="6"/>
      <c r="G3" s="7" t="s">
        <v>2</v>
      </c>
      <c r="I3" s="331" t="s">
        <v>3</v>
      </c>
      <c r="J3" s="331"/>
    </row>
    <row r="4" spans="1:12" ht="15.75" customHeight="1">
      <c r="B4" s="5" t="s">
        <v>4</v>
      </c>
      <c r="C4" s="321" t="s">
        <v>360</v>
      </c>
      <c r="D4" s="322"/>
      <c r="E4" s="6"/>
      <c r="G4" s="5" t="s">
        <v>5</v>
      </c>
      <c r="I4" s="220">
        <v>7.8</v>
      </c>
      <c r="J4" s="221" t="s">
        <v>6</v>
      </c>
      <c r="K4" s="92"/>
    </row>
    <row r="5" spans="1:12" ht="15.75" customHeight="1">
      <c r="B5" s="5" t="s">
        <v>7</v>
      </c>
      <c r="C5" s="323">
        <v>45154</v>
      </c>
      <c r="D5" s="322"/>
      <c r="E5" s="79" t="str">
        <f ca="1">IF(C5+30&gt;=TODAY(),"Patience Premium","")</f>
        <v/>
      </c>
      <c r="G5" s="5" t="s">
        <v>8</v>
      </c>
      <c r="I5" s="332">
        <v>791574976</v>
      </c>
      <c r="J5" s="332"/>
      <c r="K5" s="91"/>
      <c r="L5" s="52"/>
    </row>
    <row r="6" spans="1:12" ht="15.75" customHeight="1">
      <c r="B6" s="12" t="s">
        <v>212</v>
      </c>
      <c r="C6" s="218">
        <v>8</v>
      </c>
      <c r="D6" s="219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33">
        <f>I4*I5/1000000</f>
        <v>6174.2848128000005</v>
      </c>
      <c r="J6" s="333"/>
      <c r="K6" s="91"/>
    </row>
    <row r="7" spans="1:12" ht="15.75" customHeight="1">
      <c r="B7" s="86" t="s">
        <v>10</v>
      </c>
      <c r="C7" s="217">
        <f>(Data!C42*Exchange_Rate)/I4</f>
        <v>2.947709824183898E-2</v>
      </c>
      <c r="D7" s="217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4">
        <f>IF(Data!F3&lt;=0,"NNI",I4/((Data!F3*I12)/(I5/Data!C4)))</f>
        <v>10.600522297669675</v>
      </c>
      <c r="J9" s="166">
        <f>IF(I9="NNI","NNI",1/I9)</f>
        <v>9.4334974439875582E-2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1.5001519308280609</v>
      </c>
      <c r="J10" s="222">
        <f>I4/(Data!C7*Data!C4/Common_Shares*Exchange_Rate)</f>
        <v>0.57583258135032012</v>
      </c>
    </row>
    <row r="11" spans="1:12" ht="15.75" customHeight="1" thickBot="1">
      <c r="B11" s="124" t="s">
        <v>227</v>
      </c>
      <c r="C11" s="344">
        <f ca="1">C12-D10</f>
        <v>5.1000000000000004E-2</v>
      </c>
      <c r="D11" s="345"/>
      <c r="E11" s="13"/>
      <c r="G11" s="5" t="s">
        <v>14</v>
      </c>
      <c r="H11" s="6"/>
      <c r="I11" s="331" t="s">
        <v>6</v>
      </c>
      <c r="J11" s="331"/>
    </row>
    <row r="12" spans="1:12" ht="15.75" customHeight="1" thickTop="1">
      <c r="B12" s="125" t="s">
        <v>124</v>
      </c>
      <c r="C12" s="342">
        <f ca="1">IF(C10="CN",8%,6%)*IF($C$5+30&gt;=TODAY(),1.2,1)</f>
        <v>0.08</v>
      </c>
      <c r="D12" s="343"/>
      <c r="G12" s="85" t="s">
        <v>15</v>
      </c>
      <c r="H12" s="84"/>
      <c r="I12" s="225">
        <v>1</v>
      </c>
      <c r="J12" s="226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7.7251970767034761</v>
      </c>
      <c r="F14" s="98"/>
      <c r="G14" s="99"/>
      <c r="H14" s="134" t="s">
        <v>323</v>
      </c>
      <c r="I14" s="239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0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7.8</v>
      </c>
      <c r="C16" s="356">
        <v>0.2</v>
      </c>
      <c r="D16" s="237">
        <f ca="1">I37/B16-(1+C16)</f>
        <v>0.14192620320427651</v>
      </c>
      <c r="E16" s="337" t="s">
        <v>21</v>
      </c>
      <c r="F16" s="334">
        <f>(Val_Models!G16)*Exchange_Rate</f>
        <v>1.9017968695722327</v>
      </c>
      <c r="G16" s="337" t="s">
        <v>22</v>
      </c>
      <c r="H16" s="238">
        <f>B16-$F$16</f>
        <v>5.8982031304277669</v>
      </c>
      <c r="I16" s="350">
        <v>2.3E-2</v>
      </c>
      <c r="J16" s="166">
        <f>I16/B16</f>
        <v>2.9487179487179488E-3</v>
      </c>
    </row>
    <row r="17" spans="1:10" ht="15.75" customHeight="1">
      <c r="B17" s="116">
        <f ca="1">MIN((I37+I38)/2,I37/(1+C16), IF(J20=0,E14,I37/(1+C16)))</f>
        <v>8.3235910231780679</v>
      </c>
      <c r="C17" s="357"/>
      <c r="D17" s="149">
        <f ca="1">I37/B17-(1+C16)</f>
        <v>5.7513056065180868E-2</v>
      </c>
      <c r="E17" s="338"/>
      <c r="F17" s="335"/>
      <c r="G17" s="338"/>
      <c r="H17" s="235">
        <f ca="1">B17-$F$16</f>
        <v>6.4217941536058349</v>
      </c>
      <c r="I17" s="351"/>
      <c r="J17" s="149">
        <f ca="1">I16/B17</f>
        <v>2.7632304297452452E-3</v>
      </c>
    </row>
    <row r="18" spans="1:10" ht="15.75" customHeight="1">
      <c r="B18" s="129">
        <f>C37</f>
        <v>6.04</v>
      </c>
      <c r="C18" s="358"/>
      <c r="D18" s="236">
        <f ca="1">I37/B18-(1+C16)</f>
        <v>0.53295105711810553</v>
      </c>
      <c r="E18" s="339"/>
      <c r="F18" s="336"/>
      <c r="G18" s="339"/>
      <c r="H18" s="98">
        <f>B18-$F$16</f>
        <v>4.1382031304277671</v>
      </c>
      <c r="I18" s="352"/>
      <c r="J18" s="158">
        <f>I16/B18</f>
        <v>3.8079470198675498E-3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26" t="s">
        <v>363</v>
      </c>
      <c r="D21" s="327"/>
      <c r="E21" s="328"/>
      <c r="F21" s="328"/>
      <c r="G21" s="328"/>
      <c r="H21" s="328"/>
      <c r="I21" s="328"/>
      <c r="J21" s="328"/>
    </row>
    <row r="22" spans="1:10" ht="52.5" customHeight="1">
      <c r="A22" s="6"/>
      <c r="B22" s="19" t="s">
        <v>25</v>
      </c>
      <c r="C22" s="341" t="s">
        <v>393</v>
      </c>
      <c r="D22" s="320"/>
      <c r="E22" s="320"/>
      <c r="F22" s="320"/>
      <c r="G22" s="341" t="s">
        <v>389</v>
      </c>
      <c r="H22" s="341"/>
      <c r="I22" s="320"/>
      <c r="J22" s="320"/>
    </row>
    <row r="23" spans="1:10" ht="52.5" customHeight="1">
      <c r="A23" s="6"/>
      <c r="B23" s="138" t="s">
        <v>26</v>
      </c>
      <c r="C23" s="329" t="s">
        <v>394</v>
      </c>
      <c r="D23" s="330"/>
      <c r="E23" s="330"/>
      <c r="F23" s="330"/>
      <c r="G23" s="329" t="s">
        <v>392</v>
      </c>
      <c r="H23" s="329"/>
      <c r="I23" s="330"/>
      <c r="J23" s="330"/>
    </row>
    <row r="24" spans="1:10" ht="52.5" customHeight="1">
      <c r="A24" s="6"/>
      <c r="B24" s="19" t="s">
        <v>292</v>
      </c>
      <c r="C24" s="304" t="s">
        <v>390</v>
      </c>
      <c r="D24" s="304"/>
      <c r="E24" s="304"/>
      <c r="F24" s="304"/>
      <c r="G24" s="304"/>
      <c r="H24" s="304"/>
      <c r="I24" s="304"/>
      <c r="J24" s="304"/>
    </row>
    <row r="25" spans="1:10" ht="52.5" customHeight="1">
      <c r="A25" s="6"/>
      <c r="B25" s="138" t="s">
        <v>291</v>
      </c>
      <c r="C25" s="305" t="s">
        <v>395</v>
      </c>
      <c r="D25" s="305"/>
      <c r="E25" s="305"/>
      <c r="F25" s="305"/>
      <c r="G25" s="305"/>
      <c r="H25" s="305"/>
      <c r="I25" s="305"/>
      <c r="J25" s="305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7">
        <v>660000</v>
      </c>
      <c r="E27" s="6"/>
      <c r="F27" s="5"/>
      <c r="G27" s="6"/>
      <c r="H27" s="228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24">
        <v>45180</v>
      </c>
      <c r="D28" s="325"/>
      <c r="E28" s="355" t="str">
        <f>IF(C28="","","Action_Planning")</f>
        <v>Action_Planning</v>
      </c>
      <c r="F28" s="355"/>
      <c r="G28" s="355"/>
      <c r="H28" s="355"/>
      <c r="I28" s="340" t="s">
        <v>30</v>
      </c>
      <c r="J28" s="340"/>
    </row>
    <row r="29" spans="1:10" ht="15.75" customHeight="1">
      <c r="B29" s="18" t="s">
        <v>31</v>
      </c>
      <c r="C29" s="349">
        <f>C33/D27</f>
        <v>0.11174242424242424</v>
      </c>
      <c r="D29" s="348"/>
      <c r="E29" s="347">
        <f>E33/D27</f>
        <v>9.1515151515151522E-2</v>
      </c>
      <c r="F29" s="348"/>
      <c r="G29" s="354">
        <f>G33/D27</f>
        <v>0</v>
      </c>
      <c r="H29" s="354"/>
      <c r="I29" s="353">
        <f>C29+E29+G29</f>
        <v>0.20325757575757575</v>
      </c>
      <c r="J29" s="353"/>
    </row>
    <row r="30" spans="1:10" ht="15.75" customHeight="1">
      <c r="B30" s="18" t="s">
        <v>32</v>
      </c>
      <c r="C30" s="332">
        <v>10000</v>
      </c>
      <c r="D30" s="322"/>
      <c r="E30" s="332">
        <v>10000</v>
      </c>
      <c r="F30" s="322"/>
      <c r="G30" s="332"/>
      <c r="H30" s="332"/>
      <c r="I30" s="359">
        <f>C30+E30+G30</f>
        <v>20000</v>
      </c>
      <c r="J30" s="359"/>
    </row>
    <row r="31" spans="1:10" ht="15.75" customHeight="1">
      <c r="B31" s="18" t="s">
        <v>33</v>
      </c>
      <c r="C31" s="346">
        <v>7.375</v>
      </c>
      <c r="D31" s="322"/>
      <c r="E31" s="346">
        <v>6.04</v>
      </c>
      <c r="F31" s="322"/>
      <c r="G31" s="346"/>
      <c r="H31" s="346"/>
      <c r="I31" s="313"/>
      <c r="J31" s="313"/>
    </row>
    <row r="32" spans="1:10" ht="15.75" customHeight="1">
      <c r="B32" s="18" t="s">
        <v>34</v>
      </c>
      <c r="C32" s="311">
        <f>C31*$I$5/1000000</f>
        <v>5837.8654479999996</v>
      </c>
      <c r="D32" s="348"/>
      <c r="E32" s="311">
        <f>E31*$I$5/1000000</f>
        <v>4781.1128550399999</v>
      </c>
      <c r="F32" s="348"/>
      <c r="G32" s="311">
        <f>G31*$I$5/1000000</f>
        <v>0</v>
      </c>
      <c r="H32" s="311"/>
      <c r="I32" s="313"/>
      <c r="J32" s="313"/>
    </row>
    <row r="33" spans="2:11" ht="15.75" customHeight="1">
      <c r="B33" s="2" t="s">
        <v>35</v>
      </c>
      <c r="C33" s="312">
        <f>C30*C31</f>
        <v>73750</v>
      </c>
      <c r="D33" s="361"/>
      <c r="E33" s="312">
        <f>E30*E31</f>
        <v>60400</v>
      </c>
      <c r="F33" s="361"/>
      <c r="G33" s="312">
        <f>G30*G31</f>
        <v>0</v>
      </c>
      <c r="H33" s="312"/>
      <c r="I33" s="312">
        <f>C33+E33+G33</f>
        <v>134150</v>
      </c>
      <c r="J33" s="312"/>
    </row>
    <row r="34" spans="2:11" ht="15.75" customHeight="1">
      <c r="B34" s="1" t="s">
        <v>36</v>
      </c>
      <c r="C34" s="313"/>
      <c r="D34" s="316"/>
      <c r="E34" s="315">
        <f>IF(C33=0,"-",(C33+E33)/(C30+E30))</f>
        <v>6.7074999999999996</v>
      </c>
      <c r="F34" s="348"/>
      <c r="G34" s="78"/>
      <c r="H34" s="78"/>
      <c r="I34" s="315">
        <f>IF(I33=0,"",I33/I30)</f>
        <v>6.7074999999999996</v>
      </c>
      <c r="J34" s="315"/>
    </row>
    <row r="35" spans="2:11" ht="15.75" customHeight="1">
      <c r="B35" s="1" t="s">
        <v>37</v>
      </c>
      <c r="C35" s="317"/>
      <c r="D35" s="318"/>
      <c r="E35" s="314">
        <f>IF(E34="-","-",E34*$I$5/1000000)</f>
        <v>5309.4891515199997</v>
      </c>
      <c r="F35" s="360"/>
      <c r="G35" s="229"/>
      <c r="H35" s="229"/>
      <c r="I35" s="314">
        <f>IF(I34="","",I34*$I$5/1000000)</f>
        <v>5309.4891515199997</v>
      </c>
      <c r="J35" s="314"/>
    </row>
    <row r="36" spans="2:11" ht="15.75" customHeight="1"/>
    <row r="37" spans="2:11" ht="15.75" customHeight="1">
      <c r="B37" s="87" t="s">
        <v>256</v>
      </c>
      <c r="C37" s="309">
        <f>E31</f>
        <v>6.04</v>
      </c>
      <c r="D37" s="310"/>
      <c r="E37" s="79" t="str">
        <f ca="1">IF(C37&gt;B17,"Caution! &gt; Breakeven price!","")</f>
        <v/>
      </c>
      <c r="F37" s="6"/>
      <c r="G37" s="306" t="s">
        <v>316</v>
      </c>
      <c r="H37" s="306"/>
      <c r="I37" s="307">
        <f ca="1">Val_Models!C46</f>
        <v>10.467024384993357</v>
      </c>
      <c r="J37" s="308"/>
    </row>
    <row r="38" spans="2:11" ht="15.75" customHeight="1">
      <c r="B38" s="87" t="s">
        <v>281</v>
      </c>
      <c r="C38" s="309">
        <f>E34</f>
        <v>6.7074999999999996</v>
      </c>
      <c r="D38" s="310"/>
      <c r="E38" s="6"/>
      <c r="F38" s="6"/>
      <c r="G38" s="306" t="s">
        <v>280</v>
      </c>
      <c r="H38" s="306"/>
      <c r="I38" s="307">
        <f ca="1">Val_Models!C47</f>
        <v>6.1801576613627809</v>
      </c>
      <c r="J38" s="308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0.41925754372791268</v>
      </c>
      <c r="F47" s="171">
        <f ca="1">I37/C38-1</f>
        <v>0.56049562206386239</v>
      </c>
      <c r="G47" s="6"/>
      <c r="H47" s="6"/>
      <c r="I47" s="6"/>
      <c r="J47" s="232"/>
    </row>
    <row r="48" spans="2:11" ht="15.75" customHeight="1">
      <c r="B48" s="3" t="s">
        <v>270</v>
      </c>
      <c r="C48" s="6"/>
      <c r="D48" s="6"/>
      <c r="E48" s="171">
        <f ca="1">Val_Models!C47/C31-1</f>
        <v>-0.16201252049318227</v>
      </c>
      <c r="F48" s="171">
        <f ca="1">Val_Models!C47/C38-1</f>
        <v>-7.8619804493062828E-2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0.58598799633711929</v>
      </c>
      <c r="F50" s="171">
        <f ca="1">IF(F47&lt;=0,0,AVERAGE(F41:F44,0.5*(1+F47+F48-C16)))</f>
        <v>0.60845107577072621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3">
        <f ca="1">IF(E48&gt;=0,100,E47/ABS(E48))</f>
        <v>2.5878095251629376</v>
      </c>
      <c r="F51" s="233">
        <f ca="1">IF(F48&gt;=0,100,F47/ABS(F48))</f>
        <v>7.1291912473951626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1">
        <f ca="1">MAX(C16*2.5/E47,1)+IF(E47&lt;C16,100,0)+IF(J20=1,2/(1+E47+E48-C16),0)</f>
        <v>3.0842934554514763</v>
      </c>
      <c r="F52" s="231">
        <f ca="1">MAX(C16*2.5/F47,1)+IF(F47&lt;C16,100,0)+IF(D18&lt;0,100,0)+IF(J20=1,2/(1+F47+F48-C16),0)</f>
        <v>2.5602135344046597</v>
      </c>
      <c r="G52" s="170"/>
      <c r="H52" s="234"/>
      <c r="I52" s="234"/>
      <c r="J52" s="6"/>
    </row>
    <row r="53" spans="2:10" ht="15.75" customHeight="1">
      <c r="B53" s="3" t="s">
        <v>285</v>
      </c>
      <c r="C53" s="6"/>
      <c r="D53" s="6"/>
      <c r="E53" s="216">
        <f ca="1">MIN(MAX(E50-ABS((1-E50)/E51),0)/E52,H53)</f>
        <v>0.13811996211748664</v>
      </c>
      <c r="F53" s="216">
        <f ca="1">MIN(MAX(F50-ABS((1-F50)/F51),0)/F52,H53)</f>
        <v>0.21620428957021834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384</v>
      </c>
    </row>
    <row r="65" spans="2:2" ht="15.75" customHeight="1">
      <c r="B65" s="3" t="s">
        <v>387</v>
      </c>
    </row>
    <row r="66" spans="2:2" ht="15.75" customHeight="1">
      <c r="B66" s="3" t="s">
        <v>386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3" priority="12" operator="lessThan">
      <formula>$B$18</formula>
    </cfRule>
  </conditionalFormatting>
  <conditionalFormatting sqref="B18">
    <cfRule type="cellIs" dxfId="22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1" priority="25" operator="lessThan">
      <formula>0</formula>
    </cfRule>
  </conditionalFormatting>
  <conditionalFormatting sqref="E14">
    <cfRule type="cellIs" dxfId="20" priority="17" operator="greaterThan">
      <formula>$B$16</formula>
    </cfRule>
  </conditionalFormatting>
  <conditionalFormatting sqref="E51:F51">
    <cfRule type="cellIs" dxfId="19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8" priority="13">
      <formula>LEN(TRIM(E28))=0</formula>
    </cfRule>
  </conditionalFormatting>
  <conditionalFormatting sqref="F16">
    <cfRule type="cellIs" dxfId="17" priority="20" operator="greaterThan">
      <formula>$B$16</formula>
    </cfRule>
  </conditionalFormatting>
  <conditionalFormatting sqref="G16">
    <cfRule type="cellIs" dxfId="16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22" zoomScaleNormal="100" workbookViewId="0">
      <selection activeCell="F47" sqref="F47"/>
    </sheetView>
  </sheetViews>
  <sheetFormatPr defaultColWidth="12.42578125" defaultRowHeight="15" customHeight="1"/>
  <cols>
    <col min="1" max="1" width="1.42578125" style="3" customWidth="1"/>
    <col min="2" max="2" width="26.42578125" style="3" customWidth="1"/>
    <col min="3" max="13" width="24.7109375" style="3" customWidth="1"/>
    <col min="14" max="16384" width="12.42578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358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6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351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388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356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343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345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355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357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362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361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342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5" priority="2">
      <formula>$C$58="No"</formula>
    </cfRule>
  </conditionalFormatting>
  <conditionalFormatting sqref="C7:M38 D45:M49 D51:M55">
    <cfRule type="containsBlanks" dxfId="14" priority="5">
      <formula>LEN(TRIM(C7))=0</formula>
    </cfRule>
  </conditionalFormatting>
  <conditionalFormatting sqref="C40:M43">
    <cfRule type="containsBlanks" dxfId="13" priority="7">
      <formula>LEN(TRIM(C40))=0</formula>
    </cfRule>
  </conditionalFormatting>
  <conditionalFormatting sqref="D17:M18">
    <cfRule type="containsBlanks" dxfId="12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37" zoomScaleNormal="100" workbookViewId="0">
      <selection activeCell="D17" sqref="D17"/>
    </sheetView>
  </sheetViews>
  <sheetFormatPr defaultColWidth="12.42578125" defaultRowHeight="15" customHeight="1"/>
  <cols>
    <col min="1" max="1" width="2.42578125" style="3" customWidth="1"/>
    <col min="2" max="2" width="27" style="3" customWidth="1"/>
    <col min="3" max="5" width="17.42578125" style="3" customWidth="1"/>
    <col min="6" max="6" width="7.42578125" style="3" customWidth="1"/>
    <col min="7" max="7" width="2" style="3" customWidth="1"/>
    <col min="8" max="8" width="18.42578125" style="3" bestFit="1" customWidth="1"/>
    <col min="9" max="9" width="13.28515625" style="3" bestFit="1" customWidth="1"/>
    <col min="10" max="10" width="4.7109375" style="3" customWidth="1"/>
    <col min="11" max="11" width="38.85546875" style="3" customWidth="1"/>
    <col min="12" max="16384" width="12.42578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1047930.7113885146</v>
      </c>
      <c r="E6" s="149">
        <f>1-D6/D3</f>
        <v>0.74358894213204851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1.3238552798674053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365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1" t="s">
        <v>74</v>
      </c>
      <c r="D10" s="281" t="s">
        <v>75</v>
      </c>
      <c r="E10" s="281" t="s">
        <v>76</v>
      </c>
      <c r="F10" s="282" t="s">
        <v>202</v>
      </c>
      <c r="G10" s="6"/>
      <c r="H10" s="40" t="s">
        <v>77</v>
      </c>
      <c r="I10" s="281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349</v>
      </c>
      <c r="I14" s="179">
        <v>0</v>
      </c>
      <c r="J14" s="6"/>
      <c r="K14" s="47"/>
    </row>
    <row r="15" spans="1:11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>
      <c r="B17" s="5" t="s">
        <v>348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2" t="s">
        <v>376</v>
      </c>
      <c r="G23" s="6"/>
      <c r="H23" s="6"/>
      <c r="I23" s="6"/>
    </row>
    <row r="24" spans="2:10" ht="15" customHeight="1">
      <c r="B24" s="41" t="s">
        <v>366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2">
        <f>E24/$E$28</f>
        <v>0.49715884148522366</v>
      </c>
      <c r="G24" s="6"/>
      <c r="H24" s="3" t="s">
        <v>374</v>
      </c>
      <c r="I24" s="296">
        <f>I11+I12+I13</f>
        <v>721194</v>
      </c>
    </row>
    <row r="25" spans="2:10" ht="15" customHeight="1">
      <c r="B25" s="41" t="s">
        <v>370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2">
        <f t="shared" ref="F25:F27" si="2">E25/$E$28</f>
        <v>0.32781149154025252</v>
      </c>
      <c r="G25" s="6"/>
      <c r="H25" s="41" t="s">
        <v>377</v>
      </c>
      <c r="I25" s="184">
        <f>E28/I28</f>
        <v>1.1452720082709331</v>
      </c>
    </row>
    <row r="26" spans="2:10" ht="15" customHeight="1">
      <c r="B26" s="41" t="s">
        <v>368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2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369</v>
      </c>
      <c r="C27" s="289">
        <f>C21+C22</f>
        <v>2133</v>
      </c>
      <c r="D27" s="183">
        <f t="shared" si="3"/>
        <v>0.95</v>
      </c>
      <c r="E27" s="51">
        <f>E21+E22</f>
        <v>2026.35</v>
      </c>
      <c r="F27" s="232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290" t="s">
        <v>93</v>
      </c>
      <c r="C28" s="291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290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350</v>
      </c>
      <c r="I33" s="179">
        <v>0</v>
      </c>
      <c r="J33" s="6"/>
    </row>
    <row r="34" spans="2:10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367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2"/>
      <c r="G44" s="6"/>
      <c r="H44" s="3" t="s">
        <v>375</v>
      </c>
      <c r="I44" s="296">
        <f>I30+I31+I32</f>
        <v>84082</v>
      </c>
    </row>
    <row r="45" spans="2:10" ht="15" customHeight="1">
      <c r="B45" s="41" t="s">
        <v>371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2"/>
      <c r="G45" s="6"/>
    </row>
    <row r="46" spans="2:10" ht="15" customHeight="1">
      <c r="B46" s="41" t="s">
        <v>372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373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292" t="s">
        <v>108</v>
      </c>
      <c r="C48" s="293">
        <f>SUM(C30:C42)</f>
        <v>1836346</v>
      </c>
      <c r="D48" s="294">
        <f>E48/C48</f>
        <v>0.40272364249438836</v>
      </c>
      <c r="E48" s="288">
        <f>SUM(E30:E42)</f>
        <v>739539.95000000007</v>
      </c>
      <c r="F48" s="6"/>
      <c r="G48" s="6"/>
      <c r="H48" s="292" t="s">
        <v>109</v>
      </c>
      <c r="I48" s="295">
        <v>217792</v>
      </c>
      <c r="J48" s="13"/>
    </row>
    <row r="49" spans="2:10" ht="15" customHeight="1" thickTop="1">
      <c r="B49" s="5" t="s">
        <v>358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>
      <c r="B51" s="17" t="s">
        <v>110</v>
      </c>
      <c r="C51" s="17"/>
      <c r="D51" s="31"/>
    </row>
    <row r="52" spans="2:10">
      <c r="B52" s="105" t="s">
        <v>182</v>
      </c>
      <c r="C52" s="6"/>
      <c r="D52" s="281" t="str">
        <f>IF(E53=D4,"BV of the MI","P/B Approach")</f>
        <v>P/B Approach</v>
      </c>
      <c r="E52" s="6"/>
      <c r="F52" s="6"/>
      <c r="G52" s="6"/>
      <c r="H52" s="6"/>
      <c r="I52" s="6"/>
    </row>
    <row r="53" spans="2:10">
      <c r="B53" s="5" t="s">
        <v>181</v>
      </c>
      <c r="C53" s="51">
        <f>D4</f>
        <v>50606</v>
      </c>
      <c r="D53" s="54">
        <f>IF(E53=0, 0,E53/C53)</f>
        <v>1.5001519308280609</v>
      </c>
      <c r="E53" s="51">
        <f>MAX(C53,C53*Dashboard!I10)</f>
        <v>75916.688611484846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5.75" thickBot="1">
      <c r="B55" s="44" t="s">
        <v>221</v>
      </c>
      <c r="C55" s="5"/>
      <c r="D55" s="362">
        <f>D56+D57+D58</f>
        <v>805276</v>
      </c>
      <c r="E55" s="363"/>
      <c r="F55" s="5"/>
      <c r="G55" s="5"/>
      <c r="H55" s="6"/>
      <c r="I55" s="6"/>
    </row>
    <row r="56" spans="2:10" ht="15.75" thickTop="1">
      <c r="B56" s="37" t="s">
        <v>197</v>
      </c>
      <c r="C56" s="6"/>
      <c r="D56" s="359">
        <f>SUM(I11:I13)+SUM(I30:I32)</f>
        <v>805276</v>
      </c>
      <c r="E56" s="364"/>
      <c r="F56" s="5"/>
      <c r="G56" s="5"/>
      <c r="H56" s="6" t="s">
        <v>263</v>
      </c>
      <c r="I56" s="149">
        <f>D56/I3</f>
        <v>0.1995079170063952</v>
      </c>
    </row>
    <row r="57" spans="2:10">
      <c r="B57" s="37" t="s">
        <v>112</v>
      </c>
      <c r="C57" s="6"/>
      <c r="D57" s="369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69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>
      <c r="B60" s="44" t="s">
        <v>115</v>
      </c>
      <c r="C60" s="5"/>
      <c r="D60" s="282" t="s">
        <v>347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>
      <c r="B63" s="32" t="s">
        <v>116</v>
      </c>
      <c r="C63" s="6"/>
      <c r="D63" s="359">
        <f>((Dashboard!I6*Data!C4)+D55+E53-C61-C62)</f>
        <v>4642143.5014114855</v>
      </c>
      <c r="E63" s="359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67">
        <f>((C28-C11-C12-C14-C15-C16*G16-C19*G19-C20*G20)-I28)/Data!C7</f>
        <v>1.0112977915964591E-2</v>
      </c>
      <c r="E66" s="368"/>
      <c r="F66" s="6"/>
      <c r="G66" s="6"/>
      <c r="H66" s="6"/>
      <c r="I66" s="6"/>
    </row>
    <row r="67" spans="2:9" ht="15" customHeight="1">
      <c r="B67" s="3" t="s">
        <v>222</v>
      </c>
      <c r="C67" s="6"/>
      <c r="D67" s="365">
        <v>0.34289999999999998</v>
      </c>
      <c r="E67" s="366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65">
        <v>0.34289999999999998</v>
      </c>
      <c r="E68" s="366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tabSelected="1" zoomScaleNormal="100" zoomScalePageLayoutView="80" workbookViewId="0">
      <selection activeCell="F24" sqref="F23:F24"/>
    </sheetView>
  </sheetViews>
  <sheetFormatPr defaultColWidth="12.42578125" defaultRowHeight="15" customHeight="1"/>
  <cols>
    <col min="1" max="1" width="2.42578125" style="3" customWidth="1"/>
    <col min="2" max="5" width="26.85546875" style="3" customWidth="1"/>
    <col min="6" max="9" width="22.7109375" style="3" customWidth="1"/>
    <col min="10" max="10" width="2.42578125" style="3" customWidth="1"/>
    <col min="11" max="11" width="87.42578125" style="3" customWidth="1"/>
    <col min="12" max="16384" width="12.42578125" style="3"/>
  </cols>
  <sheetData>
    <row r="1" spans="1:12" ht="15" customHeight="1">
      <c r="F1" s="6"/>
      <c r="G1" s="6"/>
      <c r="H1" s="6"/>
    </row>
    <row r="2" spans="1:12" ht="15.6" customHeight="1">
      <c r="A2" s="4"/>
      <c r="B2" s="56" t="s">
        <v>208</v>
      </c>
      <c r="C2" s="56"/>
      <c r="D2" s="56"/>
      <c r="E2" s="299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378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382</v>
      </c>
      <c r="L4" s="36"/>
    </row>
    <row r="5" spans="1:12" ht="15.75" customHeight="1">
      <c r="B5" s="118" t="s">
        <v>379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380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381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352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354</v>
      </c>
      <c r="C10" s="284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-Data!F9</f>
        <v>-3214958</v>
      </c>
      <c r="D11" s="202">
        <f>-Data!E9</f>
        <v>-4204600</v>
      </c>
      <c r="E11" s="202">
        <f>-Data!D9</f>
        <v>-7340712</v>
      </c>
      <c r="F11" s="202">
        <f>-Data!C9</f>
        <v>-10136404</v>
      </c>
      <c r="G11" s="203">
        <f>-G9*(1-G12)</f>
        <v>-10451693.1072</v>
      </c>
      <c r="H11" s="204" t="str">
        <f>IF(H9="","",H9*(1-H12))</f>
        <v/>
      </c>
      <c r="I11" s="204" t="str">
        <f>IF(I9="","",I9*(1-I12))</f>
        <v/>
      </c>
      <c r="J11" s="6"/>
      <c r="K11" s="77" t="s">
        <v>391</v>
      </c>
      <c r="L11" s="1"/>
    </row>
    <row r="12" spans="1:12" ht="15.75" customHeight="1">
      <c r="B12" s="14" t="s">
        <v>44</v>
      </c>
      <c r="C12" s="96">
        <f t="shared" ref="C12:E12" si="0">(C9-C11)/C9</f>
        <v>1.8995461080062608</v>
      </c>
      <c r="D12" s="96">
        <f t="shared" si="0"/>
        <v>1.9288005029474826</v>
      </c>
      <c r="E12" s="96">
        <f t="shared" si="0"/>
        <v>1.9486645223414025</v>
      </c>
      <c r="F12" s="96">
        <f>(F9-F11)/F9</f>
        <v>1.9453518679328181</v>
      </c>
      <c r="G12" s="208">
        <v>0.04</v>
      </c>
      <c r="H12" s="208"/>
      <c r="I12" s="208"/>
      <c r="J12" s="6"/>
      <c r="K12" s="43"/>
    </row>
    <row r="13" spans="1:12" ht="15.75" customHeight="1">
      <c r="B13" s="5" t="s">
        <v>353</v>
      </c>
      <c r="C13" s="51">
        <f>C9+C11</f>
        <v>359020</v>
      </c>
      <c r="D13" s="51">
        <f>D9+D11</f>
        <v>322314</v>
      </c>
      <c r="E13" s="51">
        <f>E9+E11</f>
        <v>397231</v>
      </c>
      <c r="F13" s="51">
        <f>F9+F11</f>
        <v>585957</v>
      </c>
      <c r="G13" s="51">
        <f>G9+G11</f>
        <v>435487.21279999986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-7.6004385029790331E-2</v>
      </c>
      <c r="D14" s="54">
        <f t="shared" ref="D14:E14" si="1">D15/D9</f>
        <v>-5.0511231271457777E-2</v>
      </c>
      <c r="E14" s="54">
        <f t="shared" si="1"/>
        <v>-4.6455886273651797E-2</v>
      </c>
      <c r="F14" s="54">
        <f>F15/F9</f>
        <v>-4.1457940093604387E-2</v>
      </c>
      <c r="G14" s="207">
        <f>F14</f>
        <v>-4.1457940093604387E-2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-Data!F11</f>
        <v>-271638</v>
      </c>
      <c r="D15" s="198">
        <f>-Data!E11</f>
        <v>-228660</v>
      </c>
      <c r="E15" s="198">
        <f>-Data!D11</f>
        <v>-359473</v>
      </c>
      <c r="F15" s="198">
        <f>-Data!C11</f>
        <v>-444527</v>
      </c>
      <c r="G15" s="161">
        <f>-207908*2</f>
        <v>-415816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2">C18/C9</f>
        <v>2.4449506963948854E-2</v>
      </c>
      <c r="D16" s="166">
        <f t="shared" si="2"/>
        <v>2.068826578105968E-2</v>
      </c>
      <c r="E16" s="166">
        <f t="shared" si="2"/>
        <v>4.8795913849455858E-3</v>
      </c>
      <c r="F16" s="166">
        <f>F18/F9</f>
        <v>1.319019197357746E-2</v>
      </c>
      <c r="G16" s="166">
        <f>G18/G9</f>
        <v>1.8068234585830634E-3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4"/>
      <c r="D17" s="171">
        <f t="shared" ref="D17:E17" si="3">D18/C18-1</f>
        <v>7.1776796136504117E-2</v>
      </c>
      <c r="E17" s="171">
        <f t="shared" si="3"/>
        <v>-0.59683515920302388</v>
      </c>
      <c r="F17" s="171">
        <f>F18/E18-1</f>
        <v>2.7456962762858201</v>
      </c>
      <c r="G17" s="149">
        <f>IF(ABS(F18+G18)=ABS(F18)+ABS(G18),IF(G18&lt;0,-1,1)*(G18-F18)/F18,"Turn")</f>
        <v>-0.86091202149473334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>C13+C15</f>
        <v>87382</v>
      </c>
      <c r="D18" s="154">
        <f>D13+D15</f>
        <v>93654</v>
      </c>
      <c r="E18" s="154">
        <f>E13+E15</f>
        <v>37758</v>
      </c>
      <c r="F18" s="154">
        <f>F13+F15</f>
        <v>141430</v>
      </c>
      <c r="G18" s="154">
        <f>G13+G15</f>
        <v>19671.212799999863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3"/>
      <c r="D19" s="283"/>
      <c r="E19" s="283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4"/>
      <c r="D20" s="284"/>
      <c r="E20" s="284"/>
      <c r="F20" s="171">
        <f>F21/F9</f>
        <v>9.8926439801830957E-3</v>
      </c>
      <c r="G20" s="149">
        <f>G21/G9</f>
        <v>1.3551175939372974E-3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7"/>
      <c r="D21" s="287"/>
      <c r="E21" s="287"/>
      <c r="F21" s="377">
        <f>IF(F18&lt;=0,F18,F18*(1-F19))</f>
        <v>106072.5</v>
      </c>
      <c r="G21" s="378">
        <f>IF(G18="","",IF(G18&lt;=0,G18,G18*(1-G19)))</f>
        <v>14753.409599999897</v>
      </c>
      <c r="H21" s="378" t="str">
        <f>IF(H18="","",IF(H18&lt;=0,H18,H18*(1-H19)))</f>
        <v/>
      </c>
      <c r="I21" s="378" t="str">
        <f>IF(I18="","",IF(I18&lt;=0,I18,I18*(1-I19)))</f>
        <v/>
      </c>
    </row>
    <row r="22" spans="2:12" ht="15.75" customHeight="1">
      <c r="B22" s="301" t="s">
        <v>396</v>
      </c>
      <c r="C22" s="302"/>
      <c r="D22" s="302">
        <v>140695</v>
      </c>
      <c r="E22" s="302">
        <v>157454</v>
      </c>
      <c r="F22" s="302">
        <v>160871</v>
      </c>
      <c r="G22" s="303">
        <f>F22</f>
        <v>160871</v>
      </c>
      <c r="H22" s="303"/>
      <c r="I22" s="303"/>
    </row>
    <row r="23" spans="2:12" ht="15.75" customHeight="1">
      <c r="B23" s="301" t="s">
        <v>397</v>
      </c>
      <c r="C23" s="285"/>
      <c r="D23" s="285"/>
      <c r="E23" s="285"/>
      <c r="F23" s="51">
        <f>-Data!C35</f>
        <v>-1023356.9321999999</v>
      </c>
      <c r="G23" s="95">
        <f>-IF(G10&lt;=0,0,(G9-F9)*Asset_Model!$D$67)</f>
        <v>-56516.5448280001</v>
      </c>
      <c r="H23" s="95" t="str">
        <f>IF(H9="","",IF(H10&lt;=0,0,(H9-G9)*Asset_Model!$D$67))</f>
        <v/>
      </c>
      <c r="I23" s="95" t="str">
        <f>IF(I9="","",IF(I10&lt;=0,0,(I9-H9)*Asset_Model!$D$67))</f>
        <v/>
      </c>
    </row>
    <row r="24" spans="2:12" ht="15.75" customHeight="1">
      <c r="B24" s="301" t="s">
        <v>398</v>
      </c>
      <c r="C24" s="286"/>
      <c r="D24" s="286"/>
      <c r="E24" s="286"/>
      <c r="F24" s="95">
        <f>-Data!C33</f>
        <v>-1176000</v>
      </c>
      <c r="G24" s="161">
        <v>-260000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344</v>
      </c>
      <c r="C25" s="287"/>
      <c r="D25" s="287"/>
      <c r="E25" s="287"/>
      <c r="F25" s="213">
        <f>F22+F23+F24</f>
        <v>-2038485.9321999999</v>
      </c>
      <c r="G25" s="213">
        <f>IF(G16="","",G22+G23+G24)</f>
        <v>-155645.5448280001</v>
      </c>
      <c r="H25" s="213" t="str">
        <f>IF(H16="","",H23-H22+H24)</f>
        <v/>
      </c>
      <c r="I25" s="213" t="str">
        <f>IF(I16="","",I23-I22+I24)</f>
        <v/>
      </c>
    </row>
    <row r="26" spans="2:12" ht="15.75" customHeight="1">
      <c r="B26" s="14" t="s">
        <v>336</v>
      </c>
      <c r="C26" s="284"/>
      <c r="D26" s="284"/>
      <c r="E26" s="284"/>
      <c r="F26" s="171">
        <f>AVERAGE(Data!C54:E54)</f>
        <v>2.6497863572380802E-2</v>
      </c>
      <c r="G26" s="370"/>
      <c r="H26" s="371"/>
      <c r="I26" s="372"/>
    </row>
    <row r="27" spans="2:12" ht="15.75" customHeight="1">
      <c r="B27" s="84" t="s">
        <v>123</v>
      </c>
      <c r="C27" s="287"/>
      <c r="D27" s="287"/>
      <c r="E27" s="287"/>
      <c r="F27" s="213">
        <f>F21+F25</f>
        <v>-1932413.4321999999</v>
      </c>
      <c r="G27" s="213">
        <f>G21+G25</f>
        <v>-140892.1352280002</v>
      </c>
      <c r="H27" s="213" t="str">
        <f>IF(H21="","",H21-H25)</f>
        <v/>
      </c>
      <c r="I27" s="213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 H11:H21 I10:I21 H23:I23">
    <cfRule type="containsBlanks" dxfId="11" priority="1">
      <formula>LEN(TRIM(C10))=0</formula>
    </cfRule>
  </conditionalFormatting>
  <conditionalFormatting sqref="G19:G21">
    <cfRule type="containsBlanks" dxfId="10" priority="22">
      <formula>LEN(TRIM(G19))=0</formula>
    </cfRule>
  </conditionalFormatting>
  <conditionalFormatting sqref="G26">
    <cfRule type="containsBlanks" dxfId="9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21:I21">
    <cfRule type="containsBlanks" dxfId="8" priority="24">
      <formula>LEN(TRIM(H21))=0</formula>
    </cfRule>
  </conditionalFormatting>
  <conditionalFormatting sqref="H22:I25">
    <cfRule type="containsBlanks" dxfId="7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6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B12" sqref="B12"/>
    </sheetView>
  </sheetViews>
  <sheetFormatPr defaultColWidth="12.42578125" defaultRowHeight="15" customHeight="1"/>
  <cols>
    <col min="1" max="1" width="2.42578125" style="3" customWidth="1"/>
    <col min="2" max="2" width="26.85546875" style="3" customWidth="1"/>
    <col min="3" max="7" width="22.7109375" style="3" customWidth="1"/>
    <col min="8" max="8" width="2.42578125" style="3" customWidth="1"/>
    <col min="9" max="9" width="68.42578125" style="3" bestFit="1" customWidth="1"/>
    <col min="10" max="16384" width="12.42578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1">
        <f>IF(B4="NOPAT",Projections!F21,Projections!F9)</f>
        <v>10722361</v>
      </c>
      <c r="D4" s="242">
        <f>IF(B4="NOPAT",Projections!G21,Projections!G9)</f>
        <v>10887180.32</v>
      </c>
      <c r="E4" s="242" t="str">
        <f>IF(Projections!H9="","",IF(B4="NOPAT",Projections!H21,Projections!H9))</f>
        <v/>
      </c>
      <c r="F4" s="242" t="str">
        <f>IF(Projections!I9="","",IF(B4="NOPAT",Projections!I21,Projections!I9))</f>
        <v/>
      </c>
      <c r="G4" s="243">
        <f>IF(F3="",IF(E3="",1,2),3)</f>
        <v>1</v>
      </c>
      <c r="H4" s="6"/>
      <c r="I4" s="47" t="s">
        <v>383</v>
      </c>
      <c r="J4" s="35"/>
    </row>
    <row r="5" spans="1:10" ht="15.75" customHeight="1">
      <c r="B5" s="14" t="str">
        <f>B4&amp;" Growth rate"</f>
        <v>Sales Growth rate</v>
      </c>
      <c r="C5" s="102"/>
      <c r="D5" s="240">
        <f>D4/C4-1</f>
        <v>1.5371551097747904E-2</v>
      </c>
      <c r="E5" s="240" t="str">
        <f>IF(E4="","",E4/D4-1)</f>
        <v/>
      </c>
      <c r="F5" s="240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-0.1901153982970728</v>
      </c>
      <c r="D6" s="171">
        <f>D7/D4</f>
        <v>-1.4296221818065754E-2</v>
      </c>
      <c r="E6" s="171"/>
      <c r="F6" s="171"/>
      <c r="G6" s="284"/>
      <c r="H6" s="6"/>
      <c r="I6" s="45"/>
    </row>
    <row r="7" spans="1:10" ht="15" customHeight="1" thickBot="1">
      <c r="B7" s="146" t="s">
        <v>68</v>
      </c>
      <c r="C7" s="297">
        <f>Projections!F25</f>
        <v>-2038485.9321999999</v>
      </c>
      <c r="D7" s="297">
        <f>Projections!G25</f>
        <v>-155645.5448280001</v>
      </c>
      <c r="E7" s="246" t="str">
        <f>Projections!H25</f>
        <v/>
      </c>
      <c r="F7" s="246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2144558.4321999997</v>
      </c>
      <c r="D8" s="210">
        <f>Projections!G21-D7</f>
        <v>170398.954428</v>
      </c>
      <c r="E8" s="210" t="str">
        <f>IF(E4="","",Projections!H21-E7)</f>
        <v/>
      </c>
      <c r="F8" s="210" t="str">
        <f>IF(F4="","",Projections!I21-F7)</f>
        <v/>
      </c>
      <c r="G8" s="298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2.7092296967710103</v>
      </c>
      <c r="D9" s="247">
        <f>D8/(Common_Shares/Data!$C$4)</f>
        <v>0.21526571657060567</v>
      </c>
      <c r="E9" s="247" t="str">
        <f>IF(E8="","",E8/(Common_Shares/Data!$C$4))</f>
        <v/>
      </c>
      <c r="F9" s="247" t="str">
        <f>IF(F8="","",F8/(Common_Shares/Data!$C$4))</f>
        <v/>
      </c>
      <c r="G9" s="248">
        <f>IF(F4="",IF(E4="",D8,E8),F8)*Data!C$4/Common_Shares</f>
        <v>0.2152657165706057</v>
      </c>
      <c r="H9" s="49"/>
      <c r="I9" s="35"/>
      <c r="J9" s="35"/>
    </row>
    <row r="10" spans="1:10" ht="15.75" customHeight="1">
      <c r="B10" s="14" t="s">
        <v>124</v>
      </c>
      <c r="C10" s="245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49" t="str">
        <f>IF(D10="","",1+D10)</f>
        <v/>
      </c>
      <c r="E11" s="249" t="str">
        <f>IF(E10="","",(1+D10)*(1+E10))</f>
        <v/>
      </c>
      <c r="F11" s="249" t="str">
        <f>IF(F10="","",(1+D10)*(1+E10)*(1+F10))</f>
        <v/>
      </c>
      <c r="G11" s="249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0"/>
      <c r="D12" s="251" t="str">
        <f>IF(D11="","",D9/D11)</f>
        <v/>
      </c>
      <c r="E12" s="251" t="str">
        <f>IF(E11="","",E9/E11)</f>
        <v/>
      </c>
      <c r="F12" s="251" t="str">
        <f>IF(F11="","",F9/F11)</f>
        <v/>
      </c>
      <c r="G12" s="252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1505414.8113885152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3">
        <f>(G15+MIN(D4,0))*Data!C$4/Dashboard!I5</f>
        <v>1.9017968695722327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38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-75916.688611484846</v>
      </c>
      <c r="D18" s="106">
        <f>C18/(Dashboard!I5/Data!C4)</f>
        <v>-9.5905872359821592E-2</v>
      </c>
      <c r="E18" s="338"/>
      <c r="F18" s="89">
        <f>D15+(MIN(D4,0)*Data!C$4/Dashboard!I5)</f>
        <v>2.9812476032592521</v>
      </c>
      <c r="G18" s="88">
        <f>SUM(D16:D18)</f>
        <v>-1.0794507336870196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73" t="s">
        <v>195</v>
      </c>
      <c r="F20" s="373"/>
      <c r="G20" s="60"/>
    </row>
    <row r="21" spans="1:9" ht="15.75" customHeight="1">
      <c r="B21" s="81" t="str">
        <f>"TV after Year "&amp;G4</f>
        <v>TV after Year 1</v>
      </c>
      <c r="C21" s="264" t="s">
        <v>364</v>
      </c>
      <c r="D21" s="38" t="s">
        <v>326</v>
      </c>
      <c r="E21" s="265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6">
        <v>0.45</v>
      </c>
      <c r="D22" s="267">
        <f>C22*D4*Data!C4/Common_Shares</f>
        <v>6.1892193317642219</v>
      </c>
      <c r="E22" s="238">
        <f>IF(D22="",IF(G9&lt;0,G9,G9*C22/G11),D22)</f>
        <v>6.1892193317642219</v>
      </c>
      <c r="F22" s="238">
        <f>SUM(D12:F12)+E22+$G$16</f>
        <v>8.0910162013364548</v>
      </c>
      <c r="G22" s="270">
        <f>F22*Exchange_Rate</f>
        <v>8.0910162013364548</v>
      </c>
      <c r="I22" s="43" t="s">
        <v>385</v>
      </c>
    </row>
    <row r="23" spans="1:9" ht="15.75" customHeight="1">
      <c r="B23" s="132" t="s">
        <v>249</v>
      </c>
      <c r="C23" s="268">
        <v>1.33</v>
      </c>
      <c r="D23" s="269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20.194378450119824</v>
      </c>
      <c r="G23" s="271">
        <f>F23*Exchange_Rate</f>
        <v>20.194378450119824</v>
      </c>
      <c r="I23" s="43"/>
    </row>
    <row r="24" spans="1:9" ht="15.6" customHeight="1">
      <c r="C24" s="6"/>
      <c r="D24" s="6"/>
      <c r="E24" s="374" t="s">
        <v>335</v>
      </c>
      <c r="F24" s="375"/>
      <c r="G24" s="143">
        <f>MIN(G22,G23)+ABS(G22-G23)*Qualitative_Analysis!$E$64</f>
        <v>13.792564346388335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2144558.4321999997</v>
      </c>
      <c r="D28" s="51">
        <f>D8</f>
        <v>170398.954428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5">
        <f>C30*(C29*(1-Projections!F19))</f>
        <v>24158.28</v>
      </c>
      <c r="D32" s="275">
        <f>(D30*D29)*(1-D31)</f>
        <v>26574.108000000007</v>
      </c>
      <c r="E32" s="276" t="str">
        <f>IF(E28="","",(E30*E29)*(1-E31))</f>
        <v/>
      </c>
      <c r="F32" s="276" t="str">
        <f>IF(F28="","",(F30*F29)*(1-F31))</f>
        <v/>
      </c>
      <c r="G32" s="275"/>
      <c r="I32" s="43"/>
    </row>
    <row r="33" spans="1:9" ht="15.75" customHeight="1" thickTop="1">
      <c r="B33" s="141" t="s">
        <v>300</v>
      </c>
      <c r="C33" s="51">
        <f>C28-C32</f>
        <v>2120400.1521999999</v>
      </c>
      <c r="D33" s="210">
        <f>D28-D32</f>
        <v>143824.84642799999</v>
      </c>
      <c r="E33" s="210" t="str">
        <f>IF(E28="","",E28-E32)</f>
        <v/>
      </c>
      <c r="F33" s="210" t="str">
        <f>IF(F28="","",F28-F32)</f>
        <v/>
      </c>
      <c r="G33" s="300"/>
      <c r="I33" s="43" t="s">
        <v>304</v>
      </c>
    </row>
    <row r="34" spans="1:9" ht="15.75" customHeight="1">
      <c r="B34" s="120" t="s">
        <v>301</v>
      </c>
      <c r="C34" s="139">
        <f>C33/(Common_Shares/Data!$C$4)</f>
        <v>2.6787104399318453</v>
      </c>
      <c r="D34" s="244">
        <f>D33/(Common_Shares/Data!$C$4)</f>
        <v>0.181694534047524</v>
      </c>
      <c r="E34" s="244" t="str">
        <f>IF(E33="","",E33/(Common_Shares/Data!$C$4))</f>
        <v/>
      </c>
      <c r="F34" s="244" t="str">
        <f>IF(F33="","",F33/(Common_Shares/Data!$C$4))</f>
        <v/>
      </c>
      <c r="G34" s="139">
        <f>INDEX(D34:F34,Projections!E2)</f>
        <v>0.181694534047524</v>
      </c>
      <c r="H34" s="6"/>
      <c r="I34" s="43"/>
    </row>
    <row r="35" spans="1:9" ht="15.75" customHeight="1">
      <c r="B35" s="141" t="s">
        <v>306</v>
      </c>
      <c r="C35" s="272">
        <f>Dashboard!C31</f>
        <v>7.375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305</v>
      </c>
      <c r="C36" s="75"/>
      <c r="D36" s="277" t="str">
        <f>IF(D35="","",C35*D35)</f>
        <v/>
      </c>
      <c r="E36" s="277" t="str">
        <f>IF(E35="","", $D$36)</f>
        <v/>
      </c>
      <c r="F36" s="277" t="str">
        <f>IF(F35="","", $D$36)</f>
        <v/>
      </c>
      <c r="G36" s="277">
        <f ca="1">C35*G35</f>
        <v>0.59</v>
      </c>
      <c r="H36" s="6"/>
      <c r="I36" s="43"/>
    </row>
    <row r="37" spans="1:9" ht="15.75" customHeight="1" thickTop="1">
      <c r="B37" s="5" t="s">
        <v>302</v>
      </c>
      <c r="C37" s="273">
        <f>Qualitative_Analysis!E64^2</f>
        <v>0.22190829081632654</v>
      </c>
      <c r="D37" s="244" t="str">
        <f>IF(D36="","",D34-D36)</f>
        <v/>
      </c>
      <c r="E37" s="244" t="str">
        <f>IF(E36="","",E34-E36)</f>
        <v/>
      </c>
      <c r="F37" s="244" t="str">
        <f>IF(F36="","",F34-F36)</f>
        <v/>
      </c>
      <c r="G37" s="274">
        <f ca="1">G34-G36</f>
        <v>-0.40830546595247597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0.92673904591836742</v>
      </c>
      <c r="I38" s="43"/>
    </row>
    <row r="39" spans="1:9" ht="15.75" customHeight="1">
      <c r="B39" s="85" t="s">
        <v>311</v>
      </c>
      <c r="C39" s="145"/>
      <c r="D39" s="278" t="str">
        <f>IF(D37="","",D37/D38)</f>
        <v/>
      </c>
      <c r="E39" s="278" t="str">
        <f>IF(E37="","",E37/E38)</f>
        <v/>
      </c>
      <c r="F39" s="278" t="str">
        <f>IF(F37="","",F37/F38)</f>
        <v/>
      </c>
      <c r="G39" s="278">
        <f ca="1">G37/G38</f>
        <v>-0.44058299663834588</v>
      </c>
      <c r="I39" s="43"/>
    </row>
    <row r="40" spans="1:9" ht="15.75" customHeight="1">
      <c r="B40" s="20" t="s">
        <v>333</v>
      </c>
      <c r="C40" s="6"/>
      <c r="D40" s="6"/>
      <c r="E40" s="376" t="s">
        <v>321</v>
      </c>
      <c r="F40" s="306"/>
      <c r="G40" s="279">
        <f>Asset_Model!D7</f>
        <v>1.3238552798674053</v>
      </c>
    </row>
    <row r="41" spans="1:9" ht="15.75" customHeight="1">
      <c r="C41" s="6"/>
      <c r="D41" s="6"/>
      <c r="E41" s="374" t="s">
        <v>307</v>
      </c>
      <c r="F41" s="374"/>
      <c r="G41" s="280">
        <f ca="1">MAX((G40+SUM(D39:G39))*Exchange_Rate,0)</f>
        <v>0.88327228322905937</v>
      </c>
    </row>
    <row r="42" spans="1:9" ht="15.75" customHeight="1"/>
    <row r="43" spans="1:9" ht="15.75" customHeight="1">
      <c r="A43" s="4"/>
      <c r="B43" s="253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0">
        <f ca="1">MIN(G24,G41)+ABS(G24-G41)*Qualitative_Analysis!$E$8</f>
        <v>7.7251970767034761</v>
      </c>
      <c r="D44" s="261" t="str">
        <f>Dashboard!J4</f>
        <v>HKD</v>
      </c>
      <c r="E44" s="262">
        <f ca="1">(C44-G16)/C9</f>
        <v>2.1494671397083276</v>
      </c>
      <c r="F44" s="262">
        <f ca="1">C44/(Data!C29*Exchange_Rate*Data!C4/Common_Shares)</f>
        <v>1.4857652962364116</v>
      </c>
      <c r="G44" s="262">
        <f ca="1">C44/(Data!C7*Data!C4*Exchange_Rate/Common_Shares)</f>
        <v>0.57031027873309104</v>
      </c>
      <c r="I44" s="43"/>
    </row>
    <row r="45" spans="1:9" ht="15.75" customHeight="1">
      <c r="B45" s="6" t="s">
        <v>314</v>
      </c>
      <c r="C45" s="254">
        <f>C4*Data!C4*1/Common_Shares*Exchange_Rate</f>
        <v>13.545603796348407</v>
      </c>
      <c r="D45" s="255" t="str">
        <f>D44</f>
        <v>HKD</v>
      </c>
      <c r="E45" s="222">
        <f>(C45-G16)/C9</f>
        <v>4.297829357419868</v>
      </c>
      <c r="F45" s="222">
        <f>C45/(Asset_Model!I3*Exchange_Rate*Data!C4/Common_Shares)</f>
        <v>2.6564754301638298</v>
      </c>
      <c r="G45" s="222">
        <f>C45/(Data!C7*Data!C4*Exchange_Rate/Common_Shares)</f>
        <v>1</v>
      </c>
      <c r="I45" s="43"/>
    </row>
    <row r="46" spans="1:9" ht="15.75" customHeight="1">
      <c r="B46" s="256" t="s">
        <v>315</v>
      </c>
      <c r="C46" s="257">
        <f ca="1">MIN(C45,C44)+ABS(C45-C44)*Qualitative_Analysis!E64</f>
        <v>10.467024384993357</v>
      </c>
      <c r="D46" s="255" t="str">
        <f>D45</f>
        <v>HKD</v>
      </c>
      <c r="E46" s="222">
        <f ca="1">(C46-G16)/C9</f>
        <v>3.1614991986945857</v>
      </c>
      <c r="F46" s="222">
        <f ca="1">C46/(Asset_Model!I3*Exchange_Rate*Data!C4/Common_Shares)</f>
        <v>2.0527245240375507</v>
      </c>
      <c r="G46" s="222">
        <f ca="1">C46/(Data!C7*Data!C4*Exchange_Rate/Common_Shares)</f>
        <v>0.77272482957275279</v>
      </c>
    </row>
    <row r="47" spans="1:9" ht="15.75" customHeight="1">
      <c r="B47" s="84" t="s">
        <v>280</v>
      </c>
      <c r="C47" s="258">
        <f ca="1">MAX(G41,C44)/(1+Dashboard!I14)</f>
        <v>6.1801576613627809</v>
      </c>
      <c r="D47" s="259" t="str">
        <f>D45</f>
        <v>HKD</v>
      </c>
      <c r="E47" s="223">
        <f ca="1">(C47-G16)/C9</f>
        <v>1.5791797930200246</v>
      </c>
      <c r="F47" s="223">
        <f ca="1">C47/(Asset_Model!I3*Exchange_Rate*Data!C4/Common_Shares)</f>
        <v>1.2120121944194735</v>
      </c>
      <c r="G47" s="223">
        <f ca="1">C47/(Data!C7*Data!C4*Exchange_Rate/Common_Shares)</f>
        <v>0.45624822298647283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5" zoomScaleNormal="100" workbookViewId="0">
      <selection activeCell="G15" sqref="G15"/>
    </sheetView>
  </sheetViews>
  <sheetFormatPr defaultColWidth="12.42578125" defaultRowHeight="15" customHeight="1"/>
  <cols>
    <col min="1" max="1" width="2.42578125" style="3" customWidth="1"/>
    <col min="2" max="2" width="62.42578125" style="3" customWidth="1"/>
    <col min="3" max="3" width="28.7109375" style="3" customWidth="1"/>
    <col min="4" max="4" width="10.7109375" style="3" customWidth="1"/>
    <col min="5" max="5" width="28.7109375" style="3" customWidth="1"/>
    <col min="6" max="6" width="5.7109375" style="3" customWidth="1"/>
    <col min="7" max="7" width="73.85546875" style="3" customWidth="1"/>
    <col min="8" max="16384" width="12.42578125" style="3"/>
  </cols>
  <sheetData>
    <row r="2" spans="1:7" ht="15.75">
      <c r="A2" s="4"/>
      <c r="B2" s="11" t="s">
        <v>126</v>
      </c>
      <c r="C2" s="59"/>
      <c r="D2" s="12"/>
      <c r="E2" s="6"/>
      <c r="G2" s="42" t="s">
        <v>117</v>
      </c>
    </row>
    <row r="3" spans="1:7">
      <c r="B3" s="6" t="s">
        <v>231</v>
      </c>
      <c r="C3" s="60"/>
      <c r="D3" s="58">
        <f>IF(E3="Strongly disagree",0,IF(E3="disagree",1,IF(E3="unclear",2,IF(E3="agree",3,4))))</f>
        <v>3</v>
      </c>
      <c r="E3" s="215" t="s">
        <v>128</v>
      </c>
      <c r="G3" s="47" t="s">
        <v>255</v>
      </c>
    </row>
    <row r="4" spans="1:7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>
      <c r="B8" s="61" t="s">
        <v>129</v>
      </c>
      <c r="C8" s="60"/>
      <c r="D8" s="58">
        <f>AVERAGE(D3:D7)</f>
        <v>2.12</v>
      </c>
      <c r="E8" s="214">
        <f>D8/4</f>
        <v>0.53</v>
      </c>
      <c r="G8" s="45"/>
    </row>
    <row r="9" spans="1:7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346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6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Projections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2024-02-15T07:56:14Z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