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Opportunities\"/>
    </mc:Choice>
  </mc:AlternateContent>
  <xr:revisionPtr revIDLastSave="0" documentId="8_{BEF9A005-D202-4A59-811B-1D5D356B56FE}" xr6:coauthVersionLast="47" xr6:coauthVersionMax="47" xr10:uidLastSave="{00000000-0000-0000-0000-000000000000}"/>
  <bookViews>
    <workbookView xWindow="3075" yWindow="1410" windowWidth="21600" windowHeight="1138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1" i="7" l="1"/>
  <c r="H21" i="7" s="1"/>
  <c r="I21" i="7" s="1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E7" i="7"/>
  <c r="D7" i="7"/>
  <c r="C13" i="7"/>
  <c r="D13" i="7"/>
  <c r="E13" i="7"/>
  <c r="F13" i="7"/>
  <c r="H13" i="7" s="1"/>
  <c r="I15" i="3"/>
  <c r="C37" i="1"/>
  <c r="B18" i="1" s="1"/>
  <c r="J20" i="1"/>
  <c r="F42" i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G10" i="7" l="1"/>
  <c r="H7" i="7"/>
  <c r="I13" i="7"/>
  <c r="H12" i="7"/>
  <c r="M37" i="2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I7" i="7" l="1"/>
  <c r="H8" i="7"/>
  <c r="D14" i="7"/>
  <c r="D15" i="7"/>
  <c r="E15" i="7"/>
  <c r="G8" i="7"/>
  <c r="G20" i="7" s="1"/>
  <c r="I12" i="7" l="1"/>
  <c r="I20" i="7"/>
  <c r="B16" i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8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30" i="4" s="1"/>
  <c r="F30" i="4" s="1"/>
  <c r="E62" i="3"/>
  <c r="C15" i="4" s="1"/>
  <c r="D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7" i="4"/>
  <c r="F31" i="4"/>
  <c r="I19" i="7"/>
  <c r="E6" i="4" l="1"/>
  <c r="I18" i="7"/>
  <c r="F4" i="4"/>
  <c r="D12" i="4"/>
  <c r="D38" i="4"/>
  <c r="D39" i="4" s="1"/>
  <c r="E5" i="4"/>
  <c r="H25" i="7"/>
  <c r="E8" i="4"/>
  <c r="E28" i="4" s="1"/>
  <c r="E32" i="4" s="1"/>
  <c r="F5" i="4" l="1"/>
  <c r="F10" i="4"/>
  <c r="E33" i="4"/>
  <c r="E34" i="4" s="1"/>
  <c r="E35" i="4"/>
  <c r="E38" i="4"/>
  <c r="E9" i="4"/>
  <c r="E12" i="4" s="1"/>
  <c r="F11" i="4" l="1"/>
  <c r="F12" i="4" s="1"/>
  <c r="F35" i="4"/>
  <c r="F36" i="4" s="1"/>
  <c r="F37" i="4" s="1"/>
  <c r="F38" i="4" l="1"/>
  <c r="F39" i="4" s="1"/>
  <c r="E36" i="4" l="1"/>
  <c r="E37" i="4" l="1"/>
  <c r="E39" i="4" s="1"/>
  <c r="J18" i="1" l="1"/>
  <c r="H18" i="1"/>
  <c r="I23" i="7" l="1"/>
  <c r="I25" i="7" l="1"/>
  <c r="F7" i="4"/>
  <c r="F6" i="4" l="1"/>
  <c r="F8" i="4"/>
  <c r="F28" i="4" l="1"/>
  <c r="F32" i="4" s="1"/>
  <c r="F33" i="4" s="1"/>
  <c r="F34" i="4" s="1"/>
  <c r="F9" i="4"/>
  <c r="G11" i="4" s="1"/>
  <c r="G9" i="4"/>
  <c r="E22" i="4" l="1"/>
  <c r="F22" i="4" s="1"/>
  <c r="G22" i="4" s="1"/>
  <c r="E23" i="4"/>
  <c r="F23" i="4" s="1"/>
  <c r="G23" i="4" s="1"/>
  <c r="G38" i="4"/>
  <c r="G34" i="4"/>
  <c r="G37" i="4" s="1"/>
  <c r="G39" i="4" l="1"/>
  <c r="G41" i="4" s="1"/>
  <c r="G24" i="4"/>
  <c r="C44" i="4" l="1"/>
  <c r="C47" i="4" s="1"/>
  <c r="F47" i="4" s="1"/>
  <c r="E14" i="1" l="1"/>
  <c r="F44" i="4"/>
  <c r="E44" i="4"/>
  <c r="C46" i="4"/>
  <c r="G46" i="4" s="1"/>
  <c r="G44" i="4"/>
  <c r="G47" i="4"/>
  <c r="E48" i="1"/>
  <c r="F48" i="1"/>
  <c r="I38" i="1"/>
  <c r="E47" i="4"/>
  <c r="E46" i="4" l="1"/>
  <c r="F46" i="4"/>
  <c r="I37" i="1"/>
  <c r="D16" i="1" s="1"/>
  <c r="B17" i="1"/>
  <c r="D17" i="1" s="1"/>
  <c r="D18" i="1"/>
  <c r="F47" i="1"/>
  <c r="E47" i="1"/>
  <c r="F52" i="1" l="1"/>
  <c r="F50" i="1"/>
  <c r="F51" i="1"/>
  <c r="E52" i="1"/>
  <c r="E50" i="1"/>
  <c r="E51" i="1"/>
  <c r="E37" i="1"/>
  <c r="H17" i="1"/>
  <c r="J17" i="1"/>
  <c r="F53" i="1" l="1"/>
  <c r="E53" i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<sst xmlns="http://schemas.openxmlformats.org/spreadsheetml/2006/main" count="476" uniqueCount="408">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</sst>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一般" xfId="0" builtinId="0"/>
    <cellStyle name="千分位" xfId="1" builtinId="3"/>
    <cellStyle name="超連結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1" width="14.42578125" style="3" bestFit="1" customWidth="1"/>
    <col min="12" max="16384" width="12.42578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396</v>
      </c>
      <c r="D4" s="322"/>
      <c r="E4" s="6"/>
      <c r="G4" s="5" t="s">
        <v>5</v>
      </c>
      <c r="I4" s="221">
        <v>2.36</v>
      </c>
      <c r="J4" s="222" t="s">
        <v>6</v>
      </c>
      <c r="K4" s="92"/>
    </row>
    <row r="5" spans="1:12" ht="15.75" customHeight="1">
      <c r="B5" s="5" t="s">
        <v>7</v>
      </c>
      <c r="C5" s="354">
        <v>44771</v>
      </c>
      <c r="D5" s="322"/>
      <c r="E5" s="79" t="str">
        <f ca="1">IF(C5+30&gt;=TODAY(),"Patience Premium","")</f>
        <v/>
      </c>
      <c r="G5" s="5" t="s">
        <v>8</v>
      </c>
      <c r="I5" s="321">
        <v>1826710016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4311.0356377600001</v>
      </c>
      <c r="J6" s="361"/>
      <c r="K6" s="91"/>
    </row>
    <row r="7" spans="1:12" ht="15.75" customHeight="1">
      <c r="B7" s="86" t="s">
        <v>10</v>
      </c>
      <c r="C7" s="218">
        <f>(Data!C42*Exchange_Rate)/I4</f>
        <v>3.4244903639142399E-2</v>
      </c>
      <c r="D7" s="218">
        <f>(Data!C43*Exchange_Rate)/I4</f>
        <v>1.3510906634551605E-2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406</v>
      </c>
      <c r="D10" s="122">
        <v>4.3019999999999996E-2</v>
      </c>
      <c r="E10" s="5"/>
      <c r="G10" s="85" t="s">
        <v>329</v>
      </c>
      <c r="H10" s="84"/>
      <c r="I10" s="165">
        <f>I4/(Data!C29*I12*Data!C4/Common_Shares)</f>
        <v>0.95924449223543495</v>
      </c>
      <c r="J10" s="223">
        <f>I4/(Data!C7*Data!C4/Common_Shares*Exchange_Rate)</f>
        <v>7.3750530547111151</v>
      </c>
    </row>
    <row r="11" spans="1:12" ht="15.75" customHeight="1" thickBot="1">
      <c r="B11" s="124" t="s">
        <v>227</v>
      </c>
      <c r="C11" s="331">
        <f ca="1">C12-D10</f>
        <v>1.6980000000000002E-2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2.36</v>
      </c>
      <c r="C16" s="347">
        <v>0.2</v>
      </c>
      <c r="D16" s="238">
        <f ca="1">I37/B16-(1+C16)</f>
        <v>-2.3932551512094724E-2</v>
      </c>
      <c r="E16" s="341" t="s">
        <v>21</v>
      </c>
      <c r="F16" s="362">
        <f>(Val_Models!G16)*Exchange_Rate</f>
        <v>1.7329200378129421</v>
      </c>
      <c r="G16" s="341" t="s">
        <v>22</v>
      </c>
      <c r="H16" s="239">
        <f>B16-$F$16</f>
        <v>0.62707996218705775</v>
      </c>
      <c r="I16" s="336">
        <v>3.4000000000000002E-2</v>
      </c>
      <c r="J16" s="166">
        <f>I16/B16</f>
        <v>1.4406779661016951E-2</v>
      </c>
    </row>
    <row r="17" spans="1:10" ht="15.75" customHeight="1">
      <c r="B17" s="116">
        <f ca="1">MIN((I37+I38)/2,I37/(1+C16), IF(J20=0,E14,I37/(1+C16)))</f>
        <v>2.1717830853040914</v>
      </c>
      <c r="C17" s="348"/>
      <c r="D17" s="149">
        <f ca="1">I37/B17-(1+C16)</f>
        <v>7.7990973045464429E-2</v>
      </c>
      <c r="E17" s="342"/>
      <c r="F17" s="363"/>
      <c r="G17" s="342"/>
      <c r="H17" s="236">
        <f ca="1">B17-$F$16</f>
        <v>0.43886304749114924</v>
      </c>
      <c r="I17" s="337"/>
      <c r="J17" s="149">
        <f ca="1">I16/B17</f>
        <v>1.5655338799749122E-2</v>
      </c>
    </row>
    <row r="18" spans="1:10" ht="15.75" customHeight="1">
      <c r="B18" s="129">
        <f>C37</f>
        <v>1.89</v>
      </c>
      <c r="C18" s="349"/>
      <c r="D18" s="237">
        <f ca="1">I37/B18-(1+C16)</f>
        <v>0.26852866583674961</v>
      </c>
      <c r="E18" s="343"/>
      <c r="F18" s="364"/>
      <c r="G18" s="343"/>
      <c r="H18" s="98">
        <f>B18-$F$16</f>
        <v>0.15707996218705778</v>
      </c>
      <c r="I18" s="338"/>
      <c r="J18" s="158">
        <f>I16/B18</f>
        <v>1.7989417989417993E-2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0.17181818181818181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0.17181818181818181</v>
      </c>
      <c r="J29" s="344"/>
    </row>
    <row r="30" spans="1:10" ht="15.75" customHeight="1">
      <c r="B30" s="18" t="s">
        <v>32</v>
      </c>
      <c r="C30" s="321">
        <v>60000</v>
      </c>
      <c r="D30" s="322"/>
      <c r="E30" s="321"/>
      <c r="F30" s="322"/>
      <c r="G30" s="321"/>
      <c r="H30" s="321"/>
      <c r="I30" s="350">
        <f>C30+E30+G30</f>
        <v>60000</v>
      </c>
      <c r="J30" s="350"/>
    </row>
    <row r="31" spans="1:10" ht="15.75" customHeight="1">
      <c r="B31" s="18" t="s">
        <v>33</v>
      </c>
      <c r="C31" s="323">
        <v>1.89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3452.4819302399997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113400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113400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1.89</v>
      </c>
      <c r="F34" s="329"/>
      <c r="G34" s="78"/>
      <c r="H34" s="78"/>
      <c r="I34" s="328">
        <f>IF(I33=0,"",I33/I30)</f>
        <v>1.89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3452.4819302399997</v>
      </c>
      <c r="F35" s="325"/>
      <c r="G35" s="230"/>
      <c r="H35" s="230"/>
      <c r="I35" s="324">
        <f>IF(I34="","",I34*$I$5/1000000)</f>
        <v>3452.4819302399997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1.89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2.7755191784314563</v>
      </c>
      <c r="J37" s="373"/>
    </row>
    <row r="38" spans="2:11" ht="15.75" customHeight="1">
      <c r="B38" s="87" t="s">
        <v>280</v>
      </c>
      <c r="C38" s="374">
        <f>E34</f>
        <v>1.89</v>
      </c>
      <c r="D38" s="375"/>
      <c r="E38" s="6"/>
      <c r="F38" s="6"/>
      <c r="G38" s="371" t="s">
        <v>279</v>
      </c>
      <c r="H38" s="371"/>
      <c r="I38" s="372">
        <f ca="1">Val_Models!C47</f>
        <v>1.5680469921767264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6" customHeight="1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2" style="3" customWidth="1"/>
    <col min="8" max="8" width="18.42578125" style="3" bestFit="1" customWidth="1"/>
    <col min="9" max="9" width="13.28515625" style="3" bestFit="1" customWidth="1"/>
    <col min="10" max="10" width="4.7109375" style="3" customWidth="1"/>
    <col min="11" max="11" width="38.85546875" style="3" customWidth="1"/>
    <col min="12" max="16384" width="12.42578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>
      <c r="C50" s="6"/>
      <c r="D50" s="6"/>
      <c r="E50" s="6"/>
      <c r="I50" s="6"/>
    </row>
    <row r="51" spans="2:10">
      <c r="B51" s="17" t="s">
        <v>110</v>
      </c>
      <c r="C51" s="17"/>
      <c r="D51" s="31"/>
    </row>
    <row r="52" spans="2:10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5.75" thickBot="1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5.75" thickTop="1">
      <c r="B56" s="37" t="s">
        <v>197</v>
      </c>
      <c r="C56" s="6"/>
      <c r="D56" s="350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>
      <c r="B63" s="32" t="s">
        <v>116</v>
      </c>
      <c r="C63" s="6"/>
      <c r="D63" s="350">
        <f>((Dashboard!I6*Data!C4)+D55+E53-C61-C62)</f>
        <v>46171.637760000303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defaultColWidth="12.42578125" defaultRowHeight="15" customHeight="1"/>
  <cols>
    <col min="1" max="1" width="2.42578125" style="3" customWidth="1"/>
    <col min="2" max="5" width="26.85546875" style="3" customWidth="1"/>
    <col min="6" max="9" width="22.7109375" style="3" customWidth="1"/>
    <col min="10" max="10" width="2.42578125" style="3" customWidth="1"/>
    <col min="11" max="11" width="87.42578125" style="3" customWidth="1"/>
    <col min="12" max="16384" width="12.42578125" style="3"/>
  </cols>
  <sheetData>
    <row r="1" spans="1:12" ht="15" customHeight="1">
      <c r="F1" s="6"/>
      <c r="G1" s="6"/>
      <c r="H1" s="6"/>
    </row>
    <row r="2" spans="1:12" ht="15.6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85546875" defaultRowHeight="12.75"/>
  <cols>
    <col min="1" max="1" width="5" customWidth="1"/>
    <col min="2" max="2" width="23.28515625" customWidth="1"/>
    <col min="3" max="7" width="13.28515625" customWidth="1"/>
    <col min="8" max="19" width="12.7109375" customWidth="1"/>
  </cols>
  <sheetData>
    <row r="18" spans="2:19" ht="15.7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5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5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5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5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5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>
      <c r="B46" s="297" t="s">
        <v>349</v>
      </c>
    </row>
    <row r="47" spans="2:13" ht="15.7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>
      <c r="B71" s="297" t="s">
        <v>359</v>
      </c>
    </row>
    <row r="72" spans="2:13" ht="15.7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>
      <c r="B78" s="297" t="s">
        <v>358</v>
      </c>
    </row>
    <row r="79" spans="2:13" ht="15.7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.7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9" width="68.42578125" style="3" bestFit="1" customWidth="1"/>
    <col min="10" max="16384" width="12.42578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6" customHeight="1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71"/>
      <c r="G40" s="280">
        <f>Asset_Model!D7</f>
        <v>1.8488378398424457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3" width="28.7109375" style="3" customWidth="1"/>
    <col min="4" max="4" width="10.7109375" style="3" customWidth="1"/>
    <col min="5" max="5" width="28.7109375" style="3" customWidth="1"/>
    <col min="6" max="6" width="5.7109375" style="3" customWidth="1"/>
    <col min="7" max="7" width="73.85546875" style="3" customWidth="1"/>
    <col min="8" max="16384" width="12.42578125" style="3"/>
  </cols>
  <sheetData>
    <row r="2" spans="1:7" ht="15.75">
      <c r="A2" s="4"/>
      <c r="B2" s="11" t="s">
        <v>126</v>
      </c>
      <c r="C2" s="59"/>
      <c r="D2" s="12"/>
      <c r="E2" s="6"/>
      <c r="G2" s="42" t="s">
        <v>117</v>
      </c>
    </row>
    <row r="3" spans="1:7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2023-11-29T07:28:45Z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