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 chen\PycharmProjects\Invest_Proc\financial_models\Opportunities\"/>
    </mc:Choice>
  </mc:AlternateContent>
  <xr:revisionPtr revIDLastSave="0" documentId="8_{3FDF325B-D45B-42CE-B428-03D0A6946EA2}" xr6:coauthVersionLast="47" xr6:coauthVersionMax="47" xr10:uidLastSave="{00000000-0000-0000-0000-000000000000}"/>
  <bookViews>
    <workbookView xWindow="3075" yWindow="1410" windowWidth="21600" windowHeight="11385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I16" i="1" l="1"/>
  <c r="C45" i="4"/>
  <c r="C29" i="4"/>
  <c r="G7" i="7"/>
  <c r="G6" i="7"/>
  <c r="G5" i="7"/>
  <c r="G4" i="7"/>
  <c r="G22" i="7"/>
  <c r="G8" i="7" l="1"/>
  <c r="I19" i="7"/>
  <c r="H19" i="7"/>
  <c r="G14" i="7"/>
  <c r="G10" i="7"/>
  <c r="C37" i="1"/>
  <c r="F35" i="2"/>
  <c r="G35" i="2"/>
  <c r="H35" i="2"/>
  <c r="I35" i="2"/>
  <c r="J35" i="2"/>
  <c r="K35" i="2"/>
  <c r="L35" i="2"/>
  <c r="M35" i="2"/>
  <c r="F11" i="2"/>
  <c r="E11" i="2"/>
  <c r="D11" i="2"/>
  <c r="C11" i="2"/>
  <c r="G11" i="7" l="1"/>
  <c r="G13" i="7"/>
  <c r="C38" i="3" l="1"/>
  <c r="C17" i="3"/>
  <c r="I16" i="7" l="1"/>
  <c r="F10" i="7" l="1"/>
  <c r="I44" i="3"/>
  <c r="I24" i="3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E53" i="2" l="1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0" i="7"/>
  <c r="D10" i="7"/>
  <c r="E10" i="7"/>
  <c r="C8" i="7"/>
  <c r="F8" i="7"/>
  <c r="E8" i="7"/>
  <c r="D8" i="7"/>
  <c r="C14" i="7"/>
  <c r="D14" i="7"/>
  <c r="E14" i="7"/>
  <c r="F14" i="7"/>
  <c r="I15" i="3"/>
  <c r="B18" i="1"/>
  <c r="J20" i="1"/>
  <c r="F42" i="1"/>
  <c r="I21" i="7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3" i="7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1" i="7"/>
  <c r="E13" i="7"/>
  <c r="D13" i="7"/>
  <c r="C13" i="7"/>
  <c r="E11" i="7"/>
  <c r="C12" i="7"/>
  <c r="C17" i="7" s="1"/>
  <c r="C15" i="7" s="1"/>
  <c r="D9" i="7"/>
  <c r="E12" i="7"/>
  <c r="E17" i="7" s="1"/>
  <c r="E15" i="7" s="1"/>
  <c r="E9" i="7"/>
  <c r="D11" i="7"/>
  <c r="D12" i="7"/>
  <c r="D17" i="7" s="1"/>
  <c r="B6" i="4"/>
  <c r="B9" i="4"/>
  <c r="J27" i="1"/>
  <c r="C31" i="4"/>
  <c r="C35" i="4"/>
  <c r="G27" i="4"/>
  <c r="D15" i="7" l="1"/>
  <c r="D16" i="7"/>
  <c r="E16" i="7"/>
  <c r="G9" i="7"/>
  <c r="G21" i="7" s="1"/>
  <c r="B16" i="1" l="1"/>
  <c r="H21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F9" i="7" l="1"/>
  <c r="C35" i="2"/>
  <c r="E45" i="3"/>
  <c r="D54" i="5" a="1"/>
  <c r="D54" i="5" s="1"/>
  <c r="D49" i="5" s="1"/>
  <c r="E49" i="5" s="1"/>
  <c r="E47" i="3"/>
  <c r="D47" i="3" s="1"/>
  <c r="C11" i="1"/>
  <c r="G16" i="2"/>
  <c r="G48" i="2"/>
  <c r="E46" i="3"/>
  <c r="D46" i="3" s="1"/>
  <c r="E25" i="3"/>
  <c r="E27" i="3"/>
  <c r="E26" i="3"/>
  <c r="I8" i="3"/>
  <c r="C28" i="3"/>
  <c r="D66" i="3" s="1"/>
  <c r="C61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1" i="7"/>
  <c r="I7" i="3"/>
  <c r="F13" i="7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2" i="5"/>
  <c r="E42" i="5" s="1"/>
  <c r="D30" i="5"/>
  <c r="E30" i="5" s="1"/>
  <c r="D5" i="5"/>
  <c r="E5" i="5" s="1"/>
  <c r="G10" i="4"/>
  <c r="F12" i="7"/>
  <c r="F17" i="7" s="1"/>
  <c r="D55" i="3"/>
  <c r="C30" i="4" s="1"/>
  <c r="D30" i="4" s="1"/>
  <c r="E62" i="3"/>
  <c r="C15" i="4" s="1"/>
  <c r="D15" i="4" s="1"/>
  <c r="F47" i="2"/>
  <c r="C13" i="2"/>
  <c r="F11" i="7"/>
  <c r="I10" i="7" s="1"/>
  <c r="I12" i="7" s="1"/>
  <c r="E24" i="3"/>
  <c r="E48" i="3"/>
  <c r="D48" i="3" s="1"/>
  <c r="E61" i="3"/>
  <c r="E34" i="1"/>
  <c r="C38" i="1" s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H3" i="7" s="1"/>
  <c r="E3" i="4" s="1"/>
  <c r="C3" i="4"/>
  <c r="C27" i="4" s="1"/>
  <c r="J16" i="1"/>
  <c r="C20" i="4"/>
  <c r="B3" i="7"/>
  <c r="F24" i="7" l="1"/>
  <c r="C7" i="4" s="1"/>
  <c r="G35" i="4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5" i="7"/>
  <c r="F16" i="7"/>
  <c r="C38" i="2"/>
  <c r="E55" i="2"/>
  <c r="I17" i="7"/>
  <c r="I15" i="7" s="1"/>
  <c r="I24" i="7" s="1"/>
  <c r="C17" i="4"/>
  <c r="D17" i="4" s="1"/>
  <c r="C32" i="4"/>
  <c r="G12" i="2"/>
  <c r="D46" i="4"/>
  <c r="G12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D3" i="4"/>
  <c r="D27" i="4" s="1"/>
  <c r="F20" i="7"/>
  <c r="F19" i="7" s="1"/>
  <c r="C18" i="4"/>
  <c r="D18" i="4" s="1"/>
  <c r="D53" i="3"/>
  <c r="D24" i="3"/>
  <c r="D52" i="3"/>
  <c r="F17" i="2"/>
  <c r="E17" i="2"/>
  <c r="G36" i="4" l="1"/>
  <c r="F27" i="3"/>
  <c r="F26" i="3"/>
  <c r="F24" i="3"/>
  <c r="F25" i="3"/>
  <c r="D28" i="3"/>
  <c r="E49" i="3"/>
  <c r="D49" i="3" s="1"/>
  <c r="G18" i="4"/>
  <c r="C3" i="7"/>
  <c r="F25" i="7"/>
  <c r="I23" i="7"/>
  <c r="C4" i="4"/>
  <c r="F26" i="7"/>
  <c r="C55" i="2"/>
  <c r="G17" i="7"/>
  <c r="D44" i="3"/>
  <c r="D45" i="3"/>
  <c r="G15" i="4"/>
  <c r="J27" i="3"/>
  <c r="D25" i="3"/>
  <c r="C6" i="4" l="1"/>
  <c r="D6" i="3"/>
  <c r="D7" i="3" s="1"/>
  <c r="G16" i="7"/>
  <c r="G15" i="7"/>
  <c r="G24" i="7" s="1"/>
  <c r="C8" i="4"/>
  <c r="G18" i="7"/>
  <c r="J47" i="3"/>
  <c r="J28" i="3" s="1"/>
  <c r="D31" i="4" l="1"/>
  <c r="D32" i="4" s="1"/>
  <c r="G20" i="7"/>
  <c r="G19" i="7" s="1"/>
  <c r="C9" i="4"/>
  <c r="C28" i="4"/>
  <c r="C33" i="4" s="1"/>
  <c r="C34" i="4" s="1"/>
  <c r="D18" i="5"/>
  <c r="E64" i="5" s="1"/>
  <c r="C37" i="4" s="1"/>
  <c r="F44" i="1"/>
  <c r="D4" i="4" l="1"/>
  <c r="D7" i="4"/>
  <c r="E18" i="5"/>
  <c r="F43" i="1"/>
  <c r="D64" i="5"/>
  <c r="E7" i="5" s="1"/>
  <c r="D7" i="5" s="1"/>
  <c r="D8" i="5" s="1"/>
  <c r="E8" i="5" s="1"/>
  <c r="F41" i="1" s="1"/>
  <c r="G40" i="4"/>
  <c r="D6" i="4" l="1"/>
  <c r="G16" i="4"/>
  <c r="F16" i="1" s="1"/>
  <c r="H16" i="1" s="1"/>
  <c r="D5" i="4"/>
  <c r="G26" i="7"/>
  <c r="F18" i="4"/>
  <c r="D8" i="4"/>
  <c r="D28" i="4" s="1"/>
  <c r="E6" i="3"/>
  <c r="E17" i="4" l="1"/>
  <c r="D33" i="4"/>
  <c r="D34" i="4" s="1"/>
  <c r="D9" i="4"/>
  <c r="H10" i="7"/>
  <c r="G45" i="4" l="1"/>
  <c r="F45" i="4"/>
  <c r="E45" i="4"/>
  <c r="H12" i="7"/>
  <c r="H17" i="7" s="1"/>
  <c r="I3" i="7" l="1"/>
  <c r="E2" i="7" s="1"/>
  <c r="H18" i="7"/>
  <c r="H16" i="7"/>
  <c r="H15" i="7"/>
  <c r="H24" i="7" s="1"/>
  <c r="B21" i="4" l="1"/>
  <c r="D10" i="4"/>
  <c r="F3" i="4"/>
  <c r="E31" i="4"/>
  <c r="I18" i="7"/>
  <c r="H20" i="7"/>
  <c r="D11" i="4" l="1"/>
  <c r="D35" i="4"/>
  <c r="D36" i="4" s="1"/>
  <c r="D37" i="4" s="1"/>
  <c r="F27" i="4"/>
  <c r="E7" i="4"/>
  <c r="F31" i="4"/>
  <c r="I20" i="7"/>
  <c r="D38" i="4" l="1"/>
  <c r="D39" i="4" s="1"/>
  <c r="D12" i="4"/>
  <c r="I26" i="7"/>
  <c r="F4" i="4"/>
  <c r="F8" i="4" s="1"/>
  <c r="F28" i="4" s="1"/>
  <c r="F32" i="4" s="1"/>
  <c r="F33" i="4" s="1"/>
  <c r="F34" i="4" s="1"/>
  <c r="H26" i="7"/>
  <c r="F5" i="4" l="1"/>
  <c r="F10" i="4"/>
  <c r="F9" i="4"/>
  <c r="F11" i="4" l="1"/>
  <c r="F12" i="4" s="1"/>
  <c r="F35" i="4"/>
  <c r="F36" i="4" s="1"/>
  <c r="F37" i="4" s="1"/>
  <c r="F38" i="4" l="1"/>
  <c r="F39" i="4" s="1"/>
  <c r="J18" i="1"/>
  <c r="H18" i="1"/>
  <c r="E27" i="4"/>
  <c r="E4" i="4"/>
  <c r="E10" i="4" l="1"/>
  <c r="E5" i="4"/>
  <c r="E8" i="4"/>
  <c r="G2" i="4"/>
  <c r="G26" i="4" s="1"/>
  <c r="E11" i="4" l="1"/>
  <c r="E35" i="4"/>
  <c r="E36" i="4" s="1"/>
  <c r="E9" i="4"/>
  <c r="E28" i="4"/>
  <c r="G9" i="4" l="1"/>
  <c r="G11" i="4"/>
  <c r="E37" i="4"/>
  <c r="E12" i="4"/>
  <c r="E38" i="4"/>
  <c r="E32" i="4"/>
  <c r="E33" i="4" s="1"/>
  <c r="E34" i="4" s="1"/>
  <c r="G38" i="4" s="1"/>
  <c r="E23" i="4"/>
  <c r="F23" i="4" s="1"/>
  <c r="G23" i="4" s="1"/>
  <c r="E22" i="4"/>
  <c r="F22" i="4" s="1"/>
  <c r="G22" i="4" s="1"/>
  <c r="E39" i="4" l="1"/>
  <c r="G34" i="4"/>
  <c r="G37" i="4" s="1"/>
  <c r="G39" i="4" s="1"/>
  <c r="G24" i="4"/>
  <c r="G41" i="4" l="1"/>
  <c r="C44" i="4" s="1"/>
  <c r="C46" i="4" s="1"/>
  <c r="C47" i="4" l="1"/>
  <c r="G47" i="4" s="1"/>
  <c r="E44" i="4"/>
  <c r="E14" i="1"/>
  <c r="G44" i="4"/>
  <c r="F44" i="4"/>
  <c r="G46" i="4"/>
  <c r="F46" i="4"/>
  <c r="I37" i="1"/>
  <c r="E46" i="4"/>
  <c r="I38" i="1" l="1"/>
  <c r="B17" i="1" s="1"/>
  <c r="E48" i="1"/>
  <c r="F47" i="4"/>
  <c r="E47" i="4"/>
  <c r="F48" i="1"/>
  <c r="D16" i="1"/>
  <c r="F47" i="1"/>
  <c r="E47" i="1"/>
  <c r="D18" i="1"/>
  <c r="F51" i="1" l="1"/>
  <c r="J17" i="1"/>
  <c r="E37" i="1"/>
  <c r="H17" i="1"/>
  <c r="E52" i="1"/>
  <c r="E50" i="1"/>
  <c r="D17" i="1"/>
  <c r="F50" i="1"/>
  <c r="F52" i="1"/>
  <c r="E51" i="1"/>
  <c r="E53" i="1" l="1"/>
  <c r="F53" i="1"/>
</calcChain>
</file>

<file path=xl/sharedStrings.xml><?xml version="1.0" encoding="utf-8"?>
<sst xmlns="http://schemas.openxmlformats.org/spreadsheetml/2006/main" count="479" uniqueCount="411">
  <si>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</si>
  <si>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</si>
  <si>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</si>
  <si>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</si>
  <si>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</si>
  <si>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</si>
  <si>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</si>
  <si>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</si>
  <si>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</si>
  <si>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</si>
  <si>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</si>
  <si>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</si>
  <si>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</si>
  <si>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</si>
  <si>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</si>
  <si>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</si>
  <si>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</si>
  <si>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</si>
  <si>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</si>
  <si>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</si>
  <si>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</si>
  <si>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</si>
  <si>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</si>
  <si>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</si>
  <si>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</si>
  <si>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</si>
  <si>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</si>
  <si>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</si>
  <si>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</si>
  <si>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</si>
  <si>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</si>
  <si>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</si>
  <si>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</si>
  <si>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</si>
  <si>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</si>
  <si>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</si>
  <si>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</si>
  <si>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</si>
  <si>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</si>
  <si>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</si>
  <si>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</si>
  <si>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</si>
  <si>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</si>
  <si>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</si>
  <si>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</si>
  <si>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</si>
  <si>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</si>
  <si>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</si>
  <si>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</si>
  <si>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</si>
  <si>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</si>
  <si>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</si>
  <si>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</si>
  <si>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</si>
  <si>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</si>
  <si>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</si>
  <si>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</si>
  <si>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</si>
  <si>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</si>
  <si>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</si>
  <si>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</si>
  <si>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</si>
  <si>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</si>
  <si>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</si>
  <si>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</si>
  <si>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</si>
  <si>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</si>
  <si>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</si>
  <si>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</si>
  <si>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</si>
  <si>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</si>
  <si>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</si>
  <si>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</si>
  <si>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</si>
  <si>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</si>
  <si>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</si>
  <si>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</si>
  <si>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</si>
  <si>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</si>
  <si>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</si>
  <si>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</si>
  <si>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</si>
  <si>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</si>
  <si>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</si>
  <si>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</si>
  <si>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</si>
  <si>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</si>
  <si>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</si>
  <si>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</si>
  <si>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</si>
  <si>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</si>
  <si>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</si>
  <si>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</si>
  <si>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</si>
  <si>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</si>
  <si>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</si>
  <si>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</si>
  <si>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</si>
  <si>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</si>
  <si>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</si>
  <si>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</si>
  <si>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</si>
  <si>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</si>
  <si>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</si>
  <si>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</si>
  <si>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</si>
  <si>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</si>
  <si>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</si>
  <si>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</si>
  <si>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</si>
  <si>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</si>
  <si>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</si>
  <si>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</si>
  <si>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</si>
  <si>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</si>
  <si>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</si>
  <si>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</si>
  <si>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</si>
  <si>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</si>
  <si>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</si>
  <si>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</si>
  <si>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</si>
  <si>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</si>
  <si>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</si>
  <si>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</si>
  <si>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</si>
  <si>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</si>
  <si>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</si>
  <si>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</si>
  <si>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</si>
  <si>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</si>
  <si>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</si>
  <si>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</si>
  <si>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</si>
  <si>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</si>
  <si>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</si>
  <si>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</si>
  <si>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</si>
  <si>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</si>
  <si>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</si>
  <si>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</si>
  <si>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</si>
  <si>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</si>
  <si>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</si>
  <si>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</si>
  <si>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</si>
  <si>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</si>
  <si>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</si>
  <si>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</si>
  <si>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</si>
  <si>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</si>
  <si>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</si>
  <si>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</si>
  <si>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</si>
  <si>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</si>
  <si>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</si>
  <si>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</si>
  <si>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</si>
  <si>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</si>
  <si>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</si>
  <si>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</si>
  <si>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</si>
  <si>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</si>
  <si>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</si>
  <si>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</si>
  <si>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</si>
  <si>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</si>
  <si>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</si>
  <si>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</si>
  <si>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</si>
  <si>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</si>
  <si>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</si>
  <si>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</si>
  <si>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</si>
  <si>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</si>
  <si>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</si>
  <si>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</si>
  <si>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</si>
  <si>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</si>
  <si>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</si>
  <si>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</si>
  <si>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</si>
  <si>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</si>
  <si>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</si>
  <si>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</si>
  <si>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</si>
  <si>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</si>
  <si>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</si>
  <si>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</si>
  <si>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</si>
  <si>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</si>
  <si>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</si>
  <si>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</si>
  <si>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</si>
  <si>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</si>
  <si>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</si>
  <si>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</si>
  <si>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</si>
  <si>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</si>
  <si>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</si>
  <si>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</si>
  <si>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</si>
  <si>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</si>
  <si>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</si>
  <si>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</si>
  <si>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</si>
  <si>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</si>
  <si>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</si>
  <si>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</si>
  <si>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</si>
  <si>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</si>
  <si>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</si>
  <si>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</si>
  <si>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</si>
  <si>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</si>
  <si>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</si>
  <si>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</si>
  <si>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</si>
  <si>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</si>
  <si>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</si>
  <si>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</si>
  <si>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</si>
  <si>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</si>
  <si>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</si>
  <si>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</si>
  <si>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</si>
  <si>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</si>
  <si>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</si>
  <si>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</si>
  <si>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</si>
  <si>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</si>
  <si>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</si>
  <si>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</si>
  <si>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</si>
  <si>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</si>
  <si>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</si>
  <si>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</si>
  <si>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</si>
  <si>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</si>
  <si>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</si>
  <si>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</si>
  <si>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</si>
  <si>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</si>
  <si>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</si>
  <si>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</si>
  <si>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</si>
  <si>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</si>
  <si>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</si>
  <si>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</si>
  <si>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</si>
  <si>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</si>
  <si>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</si>
  <si>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</si>
  <si>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</si>
  <si>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</si>
  <si>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</si>
  <si>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</si>
  <si>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</si>
  <si>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</si>
  <si>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</si>
  <si>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</si>
  <si>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</si>
  <si>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</si>
  <si>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</si>
  <si>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</si>
  <si>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</si>
  <si>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</si>
  <si>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</si>
  <si>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</si>
  <si>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</si>
  <si>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</si>
  <si>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</si>
  <si>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</si>
  <si>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</si>
  <si>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</si>
  <si>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</si>
  <si>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</si>
  <si>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</si>
  <si>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</si>
  <si>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</si>
  <si>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</si>
  <si>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</si>
  <si>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</si>
  <si>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</si>
  <si>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</si>
  <si>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</si>
  <si>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</si>
  <si>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</si>
  <si>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</si>
  <si>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</si>
  <si>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</si>
  <si>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</si>
  <si>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</si>
  <si>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</si>
  <si>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</si>
  <si>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</si>
  <si>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</si>
  <si>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</si>
  <si>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</si>
  <si>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</si>
  <si>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</si>
  <si>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</si>
  <si>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</si>
  <si>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</si>
  <si>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</si>
  <si>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</si>
  <si>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</si>
  <si>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</si>
  <si>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</si>
  <si>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</si>
  <si>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</si>
  <si>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</si>
  <si>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</si>
  <si>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</si>
  <si>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</si>
  <si>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</si>
  <si>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</si>
  <si>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</si>
  <si>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</si>
  <si>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</si>
  <si>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</si>
  <si>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</si>
  <si>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</si>
  <si>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</si>
  <si>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</si>
  <si>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</si>
  <si>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</si>
  <si>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</si>
  <si>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</si>
  <si>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</si>
  <si>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</si>
  <si>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</si>
  <si>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</si>
  <si>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WCInv</t>
  </si>
  <si>
    <t>R&amp;D</t>
  </si>
  <si>
    <t>FCInv / Sales</t>
  </si>
  <si>
    <t>Reinvestment =</t>
  </si>
  <si>
    <t>b = FCInv/NOPAT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</si>
  <si>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</si>
  <si>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</si>
  <si>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</si>
  <si>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</si>
  <si>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</si>
  <si>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</si>
  <si>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</si>
  <si>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</si>
  <si>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</si>
  <si>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</si>
  <si>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</si>
  <si>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</si>
  <si>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</si>
  <si>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</si>
  <si>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</si>
  <si>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</si>
  <si>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</si>
  <si>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</si>
  <si>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</si>
  <si>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</si>
  <si>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</si>
  <si>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</si>
  <si>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</si>
  <si>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</si>
  <si>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</si>
  <si>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</si>
  <si>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</si>
  <si>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</si>
  <si>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</si>
  <si>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</si>
  <si>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</si>
  <si>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</si>
  <si>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</si>
  <si>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</si>
  <si>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</si>
  <si>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</si>
  <si>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</si>
  <si>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</si>
  <si>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</si>
  <si>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</si>
  <si>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</si>
  <si>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</si>
  <si>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</si>
  <si>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</si>
  <si>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</si>
  <si>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</si>
  <si>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</si>
  <si>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</si>
  <si>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2. Sentiment Trap</t>
  </si>
  <si>
    <t>b). Rely on bottom-up research to uncover bargains in a pessimistic market.</t>
  </si>
  <si>
    <t>a). It's our job as a value investor to catch the falling knife</t>
  </si>
  <si>
    <t>6601.HK</t>
  </si>
  <si>
    <t>CNY</t>
  </si>
  <si>
    <t>家居清潔产品生产商</t>
  </si>
  <si>
    <t>CN</t>
  </si>
  <si>
    <t>Consumer Discretionary, 12.4y</t>
  </si>
  <si>
    <t>Current Industry average PB is 1.01, while 5yrs average is 1.38</t>
  </si>
  <si>
    <t>No</t>
  </si>
  <si>
    <t>家居护理</t>
  </si>
  <si>
    <t>个人护理</t>
  </si>
  <si>
    <t>宠物产品</t>
  </si>
  <si>
    <t xml:space="preserve">Asset Plays </t>
  </si>
  <si>
    <t>- D&amp;A</t>
  </si>
  <si>
    <t>FCInv</t>
  </si>
  <si>
    <t>FCInv = Δ PP&amp;E + D&amp;A</t>
  </si>
  <si>
    <t>Quarter</t>
  </si>
  <si>
    <t>1. 家居清潔業務竞争剧烈，产能过剩价格战频发
2. 家居清潔業務高端化难度很大，进口产品竞争力强
3. 不是港股通的一员，交易量小</t>
  </si>
  <si>
    <t>1. 宠物护理市场广阔，是可持续增长的业务
2. 公司很多现金，可经济不好时通过M&amp;A快速做大宠物业务</t>
  </si>
  <si>
    <t>1. 可依托母公司立白的支持
2. 通过IPO积累大量现金，Strong Balance Sheet with no debt
3. 家居清潔業務市占第一，有一定品牌力</t>
  </si>
  <si>
    <t>朝云集团</t>
  </si>
  <si>
    <t>1. 宠物护理市场竞争大，现在公司优势很小
2. 家族企业，管理层薪水很高
3. M&amp;A的效果可能不好</t>
  </si>
  <si>
    <t>1. Yes. 就业务業務有一定品牌及(生产/研发)规模优势基础，未来经济转暖市场还有发展空间。
2. Yes. 宠物护理基数发展快，毛利高。现在经济差给了它逆势并购的机会
3. Yes. 毛利率差的主因是经济差导致市场竞争加剧</t>
  </si>
  <si>
    <t>1. 家居清潔業務竞争剧烈
2. 宠物护理市场容量及基数都较小，不足以取代家居清潔業務
3. 主要业务毛利率低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</si>
</sst>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  <numFmt numFmtId="188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79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7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7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7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5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5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0" fontId="2" fillId="8" borderId="11" xfId="0" applyNumberFormat="1" applyFont="1" applyFill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7" fontId="1" fillId="0" borderId="9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4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7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3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3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5" fontId="1" fillId="0" borderId="9" xfId="0" applyNumberFormat="1" applyFont="1" applyBorder="1" applyAlignment="1">
      <alignment horizontal="center"/>
    </xf>
    <xf numFmtId="186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79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88" fontId="5" fillId="0" borderId="0" xfId="0" applyNumberFormat="1" applyFont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7" fillId="10" borderId="9" xfId="0" applyNumberFormat="1" applyFont="1" applyFill="1" applyBorder="1" applyAlignment="1">
      <alignment horizont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171" fontId="1" fillId="0" borderId="9" xfId="0" applyNumberFormat="1" applyFont="1" applyBorder="1" applyAlignment="1">
      <alignment horizontal="center"/>
    </xf>
    <xf numFmtId="6" fontId="3" fillId="0" borderId="12" xfId="0" applyNumberFormat="1" applyFont="1" applyBorder="1" applyAlignment="1">
      <alignment horizontal="center"/>
    </xf>
    <xf numFmtId="0" fontId="1" fillId="12" borderId="9" xfId="0" applyFont="1" applyFill="1" applyBorder="1"/>
    <xf numFmtId="171" fontId="1" fillId="0" borderId="11" xfId="0" applyNumberFormat="1" applyFont="1" applyBorder="1" applyAlignment="1">
      <alignment horizontal="center"/>
    </xf>
    <xf numFmtId="8" fontId="3" fillId="0" borderId="9" xfId="0" applyNumberFormat="1" applyFont="1" applyBorder="1" applyAlignment="1">
      <alignment horizontal="center"/>
    </xf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0" fontId="7" fillId="8" borderId="9" xfId="0" applyFont="1" applyFill="1" applyBorder="1"/>
    <xf numFmtId="164" fontId="2" fillId="9" borderId="9" xfId="0" applyNumberFormat="1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177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2" fillId="9" borderId="12" xfId="0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8" fontId="4" fillId="9" borderId="9" xfId="0" applyNumberFormat="1" applyFont="1" applyFill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0" fontId="5" fillId="0" borderId="9" xfId="0" applyFont="1" applyBorder="1"/>
    <xf numFmtId="168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187" fontId="1" fillId="14" borderId="9" xfId="0" applyNumberFormat="1" applyFont="1" applyFill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0" fontId="5" fillId="0" borderId="11" xfId="0" applyFont="1" applyBorder="1"/>
    <xf numFmtId="0" fontId="7" fillId="0" borderId="12" xfId="0" applyFont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一般" xfId="0" builtinId="0"/>
    <cellStyle name="千分位" xfId="1" builtinId="3"/>
    <cellStyle name="超連結" xfId="2" builtinId="8"/>
  </cellStyles>
  <dxfs count="27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CC"/>
      <color rgb="FF0000FF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38500</c:v>
                </c:pt>
                <c:pt idx="1" formatCode="#,##0">
                  <c:v>30500</c:v>
                </c:pt>
                <c:pt idx="2" formatCode="#,##0">
                  <c:v>58000</c:v>
                </c:pt>
                <c:pt idx="3" formatCode="#,##0">
                  <c:v>24700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220950</c:v>
                </c:pt>
                <c:pt idx="1" formatCode="#,##0">
                  <c:v>221311</c:v>
                </c:pt>
                <c:pt idx="2" formatCode="#,##0">
                  <c:v>58667</c:v>
                </c:pt>
                <c:pt idx="3" formatCode="#,##0">
                  <c:v>96133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185164</c:v>
                </c:pt>
                <c:pt idx="1" formatCode="#,##0">
                  <c:v>223781</c:v>
                </c:pt>
                <c:pt idx="2" formatCode="#,##0">
                  <c:v>92093</c:v>
                </c:pt>
                <c:pt idx="3" formatCode="#,##0">
                  <c:v>64730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A25" zoomScaleNormal="100" workbookViewId="0">
      <selection activeCell="C35" sqref="C35:D35"/>
    </sheetView>
  </sheetViews>
  <sheetFormatPr defaultColWidth="12.42578125" defaultRowHeight="15" customHeight="1"/>
  <cols>
    <col min="1" max="1" width="2.42578125" style="3" customWidth="1"/>
    <col min="2" max="2" width="28.28515625" style="3" customWidth="1"/>
    <col min="3" max="10" width="14.85546875" style="3" customWidth="1"/>
    <col min="11" max="11" width="14.42578125" style="3" bestFit="1" customWidth="1"/>
    <col min="12" max="16384" width="12.42578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6601.HK : 朝云集团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36" t="s">
        <v>389</v>
      </c>
      <c r="D3" s="337"/>
      <c r="E3" s="6"/>
      <c r="G3" s="7" t="s">
        <v>2</v>
      </c>
      <c r="I3" s="348" t="s">
        <v>3</v>
      </c>
      <c r="J3" s="348"/>
    </row>
    <row r="4" spans="1:12" ht="15.75" customHeight="1">
      <c r="B4" s="5" t="s">
        <v>4</v>
      </c>
      <c r="C4" s="338" t="s">
        <v>407</v>
      </c>
      <c r="D4" s="339"/>
      <c r="E4" s="6"/>
      <c r="G4" s="5" t="s">
        <v>5</v>
      </c>
      <c r="I4" s="221">
        <v>1.51</v>
      </c>
      <c r="J4" s="222" t="s">
        <v>6</v>
      </c>
      <c r="K4" s="92"/>
    </row>
    <row r="5" spans="1:12" ht="15.75" customHeight="1">
      <c r="B5" s="5" t="s">
        <v>7</v>
      </c>
      <c r="C5" s="340">
        <v>44931</v>
      </c>
      <c r="D5" s="339"/>
      <c r="E5" s="79" t="str">
        <f ca="1">IF(C5+30&gt;=TODAY(),"Patience Premium","")</f>
        <v/>
      </c>
      <c r="G5" s="5" t="s">
        <v>8</v>
      </c>
      <c r="I5" s="349">
        <v>1333330048</v>
      </c>
      <c r="J5" s="349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44926</v>
      </c>
      <c r="G6" s="85" t="s">
        <v>9</v>
      </c>
      <c r="H6" s="84"/>
      <c r="I6" s="350">
        <f>I4*I5/1000000</f>
        <v>2013.3283724800001</v>
      </c>
      <c r="J6" s="350"/>
      <c r="K6" s="91"/>
    </row>
    <row r="7" spans="1:12" ht="15.75" customHeight="1">
      <c r="B7" s="86" t="s">
        <v>10</v>
      </c>
      <c r="C7" s="218">
        <f>(Data!C42*Exchange_Rate)/I4</f>
        <v>5.2870241155142252E-2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28.090249527859797</v>
      </c>
      <c r="J9" s="166">
        <f>IF(I9="NNI","NNI",1/I9)</f>
        <v>3.5599541364280299E-2</v>
      </c>
    </row>
    <row r="10" spans="1:12" ht="15.75" customHeight="1">
      <c r="B10" s="3" t="s">
        <v>226</v>
      </c>
      <c r="C10" s="122" t="s">
        <v>392</v>
      </c>
      <c r="D10" s="122">
        <v>2.8999999999999998E-2</v>
      </c>
      <c r="E10" s="5"/>
      <c r="G10" s="85" t="s">
        <v>327</v>
      </c>
      <c r="H10" s="84"/>
      <c r="I10" s="165">
        <f>I4/(Data!C29*I12*Data!C4/Common_Shares)</f>
        <v>0.64483339135403406</v>
      </c>
      <c r="J10" s="223">
        <f>I4/(Data!C7*Data!C4/Common_Shares*Exchange_Rate)</f>
        <v>1.2607748000188357</v>
      </c>
    </row>
    <row r="11" spans="1:12" ht="15.75" customHeight="1" thickBot="1">
      <c r="B11" s="124" t="s">
        <v>227</v>
      </c>
      <c r="C11" s="361">
        <f ca="1">C12-D10</f>
        <v>5.1000000000000004E-2</v>
      </c>
      <c r="D11" s="362"/>
      <c r="E11" s="13"/>
      <c r="G11" s="5" t="s">
        <v>14</v>
      </c>
      <c r="H11" s="6"/>
      <c r="I11" s="348" t="s">
        <v>390</v>
      </c>
      <c r="J11" s="348"/>
    </row>
    <row r="12" spans="1:12" ht="15.75" customHeight="1" thickTop="1">
      <c r="B12" s="125" t="s">
        <v>124</v>
      </c>
      <c r="C12" s="359">
        <f ca="1">IF(C10="CN",8%,6%)*IF($C$5+30&gt;=TODAY(),1.2,1)</f>
        <v>0.08</v>
      </c>
      <c r="D12" s="360"/>
      <c r="G12" s="85" t="s">
        <v>15</v>
      </c>
      <c r="H12" s="84"/>
      <c r="I12" s="226">
        <v>1.1072696844736736</v>
      </c>
      <c r="J12" s="227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16" t="s">
        <v>16</v>
      </c>
      <c r="C14" s="134" t="s">
        <v>278</v>
      </c>
      <c r="D14" s="84"/>
      <c r="E14" s="167">
        <f ca="1">Val_Models!C44</f>
        <v>1.9801840821341492</v>
      </c>
      <c r="F14" s="98"/>
      <c r="G14" s="99"/>
      <c r="H14" s="134" t="s">
        <v>321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320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308</v>
      </c>
      <c r="J15" s="55" t="s">
        <v>18</v>
      </c>
    </row>
    <row r="16" spans="1:12" ht="15.75" customHeight="1">
      <c r="B16" s="82">
        <f>I4</f>
        <v>1.51</v>
      </c>
      <c r="C16" s="373">
        <v>0.2</v>
      </c>
      <c r="D16" s="238">
        <f ca="1">I37/B16-(1+C16)</f>
        <v>0.22292083844080013</v>
      </c>
      <c r="E16" s="354" t="s">
        <v>21</v>
      </c>
      <c r="F16" s="351">
        <f>(Val_Models!G16)*Exchange_Rate</f>
        <v>2.0774549077241349</v>
      </c>
      <c r="G16" s="354" t="s">
        <v>22</v>
      </c>
      <c r="H16" s="239">
        <f>B16-$F$16</f>
        <v>-0.56745490772413487</v>
      </c>
      <c r="I16" s="367">
        <f>0.0447+0.0251</f>
        <v>6.9800000000000001E-2</v>
      </c>
      <c r="J16" s="166">
        <f>I16/B16</f>
        <v>4.6225165562913909E-2</v>
      </c>
    </row>
    <row r="17" spans="1:10" ht="15.75" customHeight="1">
      <c r="B17" s="116">
        <f ca="1">MIN((I37+I38)/2,I37/(1+C16), IF(J20=0,E14,I37/(1+C16)))</f>
        <v>1.7905087217046733</v>
      </c>
      <c r="C17" s="374"/>
      <c r="D17" s="149">
        <f ca="1">I37/B17-(1+C16)</f>
        <v>0</v>
      </c>
      <c r="E17" s="355"/>
      <c r="F17" s="352"/>
      <c r="G17" s="355"/>
      <c r="H17" s="236">
        <f ca="1">B17-$F$16</f>
        <v>-0.28694618601946154</v>
      </c>
      <c r="I17" s="368"/>
      <c r="J17" s="149">
        <f ca="1">I16/B17</f>
        <v>3.8983334263541676E-2</v>
      </c>
    </row>
    <row r="18" spans="1:10" ht="15.75" customHeight="1">
      <c r="B18" s="129">
        <f>C37</f>
        <v>1.2</v>
      </c>
      <c r="C18" s="375"/>
      <c r="D18" s="237">
        <f ca="1">I37/B18-(1+C16)</f>
        <v>0.59050872170467339</v>
      </c>
      <c r="E18" s="356"/>
      <c r="F18" s="353"/>
      <c r="G18" s="356"/>
      <c r="H18" s="98">
        <f>B18-$F$16</f>
        <v>-0.87745490772413492</v>
      </c>
      <c r="I18" s="369"/>
      <c r="J18" s="158">
        <f>I16/B18</f>
        <v>5.8166666666666672E-2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399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0</v>
      </c>
    </row>
    <row r="21" spans="1:10" ht="15.75" customHeight="1">
      <c r="A21" s="6"/>
      <c r="B21" s="19" t="s">
        <v>24</v>
      </c>
      <c r="C21" s="343" t="s">
        <v>391</v>
      </c>
      <c r="D21" s="344"/>
      <c r="E21" s="345"/>
      <c r="F21" s="345"/>
      <c r="G21" s="345"/>
      <c r="H21" s="345"/>
      <c r="I21" s="345"/>
      <c r="J21" s="345"/>
    </row>
    <row r="22" spans="1:10" ht="52.5" customHeight="1">
      <c r="A22" s="6"/>
      <c r="B22" s="19" t="s">
        <v>25</v>
      </c>
      <c r="C22" s="358" t="s">
        <v>406</v>
      </c>
      <c r="D22" s="337"/>
      <c r="E22" s="337"/>
      <c r="F22" s="337"/>
      <c r="G22" s="358" t="s">
        <v>404</v>
      </c>
      <c r="H22" s="358"/>
      <c r="I22" s="337"/>
      <c r="J22" s="337"/>
    </row>
    <row r="23" spans="1:10" ht="52.5" customHeight="1">
      <c r="A23" s="6"/>
      <c r="B23" s="138" t="s">
        <v>26</v>
      </c>
      <c r="C23" s="346" t="s">
        <v>405</v>
      </c>
      <c r="D23" s="347"/>
      <c r="E23" s="347"/>
      <c r="F23" s="347"/>
      <c r="G23" s="346" t="s">
        <v>408</v>
      </c>
      <c r="H23" s="346"/>
      <c r="I23" s="347"/>
      <c r="J23" s="347"/>
    </row>
    <row r="24" spans="1:10" ht="52.5" customHeight="1">
      <c r="A24" s="6"/>
      <c r="B24" s="19" t="s">
        <v>291</v>
      </c>
      <c r="C24" s="321" t="s">
        <v>410</v>
      </c>
      <c r="D24" s="321"/>
      <c r="E24" s="321"/>
      <c r="F24" s="321"/>
      <c r="G24" s="321"/>
      <c r="H24" s="321"/>
      <c r="I24" s="321"/>
      <c r="J24" s="321"/>
    </row>
    <row r="25" spans="1:10" ht="52.5" customHeight="1">
      <c r="A25" s="6"/>
      <c r="B25" s="138" t="s">
        <v>290</v>
      </c>
      <c r="C25" s="322" t="s">
        <v>409</v>
      </c>
      <c r="D25" s="322"/>
      <c r="E25" s="322"/>
      <c r="F25" s="322"/>
      <c r="G25" s="322"/>
      <c r="H25" s="322"/>
      <c r="I25" s="322"/>
      <c r="J25" s="322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285</v>
      </c>
      <c r="I27" s="22"/>
      <c r="J27" s="54">
        <f>C16</f>
        <v>0.2</v>
      </c>
    </row>
    <row r="28" spans="1:10" ht="15.75" customHeight="1">
      <c r="B28" s="18" t="s">
        <v>29</v>
      </c>
      <c r="C28" s="341">
        <v>44932</v>
      </c>
      <c r="D28" s="342"/>
      <c r="E28" s="372" t="str">
        <f>IF(C28="","","Action_Planning")</f>
        <v>Action_Planning</v>
      </c>
      <c r="F28" s="372"/>
      <c r="G28" s="372"/>
      <c r="H28" s="372"/>
      <c r="I28" s="357" t="s">
        <v>30</v>
      </c>
      <c r="J28" s="357"/>
    </row>
    <row r="29" spans="1:10" ht="15.75" customHeight="1">
      <c r="B29" s="18" t="s">
        <v>31</v>
      </c>
      <c r="C29" s="366">
        <f>C33/D27</f>
        <v>0.22500000000000001</v>
      </c>
      <c r="D29" s="365"/>
      <c r="E29" s="364">
        <f>E33/D27</f>
        <v>9.0909090909090912E-2</v>
      </c>
      <c r="F29" s="365"/>
      <c r="G29" s="371">
        <f>G33/D27</f>
        <v>0</v>
      </c>
      <c r="H29" s="371"/>
      <c r="I29" s="370">
        <f>C29+E29+G29</f>
        <v>0.31590909090909092</v>
      </c>
      <c r="J29" s="370"/>
    </row>
    <row r="30" spans="1:10" ht="15.75" customHeight="1">
      <c r="B30" s="18" t="s">
        <v>32</v>
      </c>
      <c r="C30" s="349">
        <v>90000</v>
      </c>
      <c r="D30" s="339"/>
      <c r="E30" s="349">
        <v>50000</v>
      </c>
      <c r="F30" s="339"/>
      <c r="G30" s="349"/>
      <c r="H30" s="349"/>
      <c r="I30" s="376">
        <f>C30+E30+G30</f>
        <v>140000</v>
      </c>
      <c r="J30" s="376"/>
    </row>
    <row r="31" spans="1:10" ht="15.75" customHeight="1">
      <c r="B31" s="18" t="s">
        <v>33</v>
      </c>
      <c r="C31" s="363">
        <v>1.65</v>
      </c>
      <c r="D31" s="339"/>
      <c r="E31" s="363">
        <v>1.2</v>
      </c>
      <c r="F31" s="339"/>
      <c r="G31" s="363"/>
      <c r="H31" s="363"/>
      <c r="I31" s="330"/>
      <c r="J31" s="330"/>
    </row>
    <row r="32" spans="1:10" ht="15.75" customHeight="1">
      <c r="B32" s="18" t="s">
        <v>34</v>
      </c>
      <c r="C32" s="328">
        <f>C31*$I$5/1000000</f>
        <v>2199.9945791999999</v>
      </c>
      <c r="D32" s="365"/>
      <c r="E32" s="328">
        <f>E31*$I$5/1000000</f>
        <v>1599.9960575999999</v>
      </c>
      <c r="F32" s="365"/>
      <c r="G32" s="328">
        <f>G31*$I$5/1000000</f>
        <v>0</v>
      </c>
      <c r="H32" s="328"/>
      <c r="I32" s="330"/>
      <c r="J32" s="330"/>
    </row>
    <row r="33" spans="2:11" ht="15.75" customHeight="1">
      <c r="B33" s="2" t="s">
        <v>35</v>
      </c>
      <c r="C33" s="329">
        <f>C30*C31</f>
        <v>148500</v>
      </c>
      <c r="D33" s="378"/>
      <c r="E33" s="329">
        <f>E30*E31</f>
        <v>60000</v>
      </c>
      <c r="F33" s="378"/>
      <c r="G33" s="329">
        <f>G30*G31</f>
        <v>0</v>
      </c>
      <c r="H33" s="329"/>
      <c r="I33" s="329">
        <f>C33+E33+G33</f>
        <v>208500</v>
      </c>
      <c r="J33" s="329"/>
    </row>
    <row r="34" spans="2:11" ht="15.75" customHeight="1">
      <c r="B34" s="1" t="s">
        <v>36</v>
      </c>
      <c r="C34" s="330"/>
      <c r="D34" s="333"/>
      <c r="E34" s="332">
        <f>IF(C33=0,"-",(C33+E33)/(C30+E30))</f>
        <v>1.4892857142857143</v>
      </c>
      <c r="F34" s="365"/>
      <c r="G34" s="78"/>
      <c r="H34" s="78"/>
      <c r="I34" s="332">
        <f>IF(I33=0,"",I33/I30)</f>
        <v>1.4892857142857143</v>
      </c>
      <c r="J34" s="332"/>
    </row>
    <row r="35" spans="2:11" ht="15.75" customHeight="1">
      <c r="B35" s="1" t="s">
        <v>37</v>
      </c>
      <c r="C35" s="334"/>
      <c r="D35" s="335"/>
      <c r="E35" s="331">
        <f>IF(E34="-","-",E34*$I$5/1000000)</f>
        <v>1985.7093929142857</v>
      </c>
      <c r="F35" s="377"/>
      <c r="G35" s="230"/>
      <c r="H35" s="230"/>
      <c r="I35" s="331">
        <f>IF(I34="","",I34*$I$5/1000000)</f>
        <v>1985.7093929142857</v>
      </c>
      <c r="J35" s="331"/>
    </row>
    <row r="36" spans="2:11" ht="15.75" customHeight="1"/>
    <row r="37" spans="2:11" ht="15.75" customHeight="1">
      <c r="B37" s="87" t="s">
        <v>255</v>
      </c>
      <c r="C37" s="326">
        <f>E31</f>
        <v>1.2</v>
      </c>
      <c r="D37" s="327"/>
      <c r="E37" s="79" t="str">
        <f ca="1">IF(C37&gt;B17,"Caution! &gt; Breakeven price!","")</f>
        <v/>
      </c>
      <c r="F37" s="6"/>
      <c r="G37" s="323" t="s">
        <v>314</v>
      </c>
      <c r="H37" s="323"/>
      <c r="I37" s="324">
        <f ca="1">Val_Models!C46</f>
        <v>2.148610466045608</v>
      </c>
      <c r="J37" s="325"/>
    </row>
    <row r="38" spans="2:11" ht="15.75" customHeight="1">
      <c r="B38" s="87" t="s">
        <v>280</v>
      </c>
      <c r="C38" s="326">
        <f>E34</f>
        <v>1.4892857142857143</v>
      </c>
      <c r="D38" s="327"/>
      <c r="E38" s="6"/>
      <c r="F38" s="6"/>
      <c r="G38" s="323" t="s">
        <v>279</v>
      </c>
      <c r="H38" s="323"/>
      <c r="I38" s="324">
        <f ca="1">Val_Models!C47</f>
        <v>1.5841472657073195</v>
      </c>
      <c r="J38" s="325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265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267</v>
      </c>
      <c r="C41" s="6"/>
      <c r="D41" s="6"/>
      <c r="E41" s="6"/>
      <c r="F41" s="54">
        <f>Qualitative_Analysis!E8</f>
        <v>0.64</v>
      </c>
      <c r="G41" s="77"/>
      <c r="H41" s="77"/>
      <c r="I41" s="77"/>
      <c r="J41" s="77"/>
    </row>
    <row r="42" spans="2:11" ht="15.75" customHeight="1">
      <c r="B42" s="3" t="s">
        <v>266</v>
      </c>
      <c r="C42" s="6"/>
      <c r="D42" s="6"/>
      <c r="E42" s="6"/>
      <c r="F42" s="54">
        <f>80%-(5%*IF(LEFT(D20,2)="St",3,IF(LEFT(D20,2)="Sl",2,IF(LEFT(D20,2)="Cy",6,IF(LEFT(D20,2)="Tu",7,IF(LEFT(D20,2)="Fa",8,0))))))</f>
        <v>0.8</v>
      </c>
      <c r="G42" s="77"/>
      <c r="H42" s="77"/>
      <c r="I42" s="77"/>
      <c r="J42" s="77"/>
    </row>
    <row r="43" spans="2:11" ht="15.75" customHeight="1">
      <c r="B43" s="3" t="s">
        <v>272</v>
      </c>
      <c r="C43" s="6"/>
      <c r="D43" s="6"/>
      <c r="E43" s="6"/>
      <c r="F43" s="171">
        <f>Qualitative_Analysis!E64</f>
        <v>0.44088435374149659</v>
      </c>
      <c r="G43" s="77"/>
      <c r="H43" s="77"/>
      <c r="I43" s="77"/>
      <c r="J43" s="77"/>
    </row>
    <row r="44" spans="2:11" ht="15.75" customHeight="1">
      <c r="B44" s="3" t="s">
        <v>332</v>
      </c>
      <c r="C44" s="6"/>
      <c r="D44" s="6"/>
      <c r="E44" s="6"/>
      <c r="F44" s="171">
        <f>AVERAGE(Asset_Model!J28/4,1-Asset_Model!I56)</f>
        <v>0.99730947545908855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281</v>
      </c>
      <c r="F46" s="38" t="s">
        <v>282</v>
      </c>
      <c r="G46" s="6"/>
      <c r="H46" s="6"/>
      <c r="I46" s="6"/>
      <c r="J46" s="6"/>
    </row>
    <row r="47" spans="2:11" ht="15.75" customHeight="1">
      <c r="B47" s="3" t="s">
        <v>268</v>
      </c>
      <c r="C47" s="6"/>
      <c r="D47" s="6"/>
      <c r="E47" s="171">
        <f ca="1">I37/C31-1</f>
        <v>0.30218816123976255</v>
      </c>
      <c r="F47" s="171">
        <f ca="1">I37/C38-1</f>
        <v>0.44271206353182313</v>
      </c>
      <c r="G47" s="6"/>
      <c r="H47" s="6"/>
      <c r="I47" s="6"/>
      <c r="J47" s="233"/>
    </row>
    <row r="48" spans="2:11" ht="15.75" customHeight="1">
      <c r="B48" s="3" t="s">
        <v>269</v>
      </c>
      <c r="C48" s="6"/>
      <c r="D48" s="6"/>
      <c r="E48" s="171">
        <f ca="1">Val_Models!C47/C31-1</f>
        <v>-3.9910748056170009E-2</v>
      </c>
      <c r="F48" s="171">
        <f ca="1">Val_Models!C47/C38-1</f>
        <v>6.3696005750718099E-2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271</v>
      </c>
      <c r="C50" s="6"/>
      <c r="D50" s="6"/>
      <c r="E50" s="54">
        <f ca="1">IF(E47&lt;=0,0,AVERAGE(F41:F44,0.5*(1+E47+E48-C16)))</f>
        <v>0.68186650715847619</v>
      </c>
      <c r="F50" s="171">
        <f ca="1">IF(F47&lt;=0,0,AVERAGE(F41:F44,0.5*(1+F47+F48-C16)))</f>
        <v>0.70627957276837117</v>
      </c>
      <c r="G50" s="77"/>
      <c r="H50" s="6"/>
      <c r="I50" s="6"/>
      <c r="J50" s="6"/>
    </row>
    <row r="51" spans="2:10" ht="15.75" customHeight="1">
      <c r="B51" s="3" t="s">
        <v>270</v>
      </c>
      <c r="C51" s="6"/>
      <c r="D51" s="66"/>
      <c r="E51" s="234">
        <f ca="1">IF(E48&gt;=0,100,E47/ABS(E48))</f>
        <v>7.5715985281575229</v>
      </c>
      <c r="F51" s="234">
        <f ca="1">IF(F48&gt;=0,100,F47/ABS(F48))</f>
        <v>100</v>
      </c>
      <c r="G51" s="77"/>
      <c r="H51" s="6"/>
      <c r="I51" s="6"/>
      <c r="J51" s="6"/>
    </row>
    <row r="52" spans="2:10" ht="15.75" customHeight="1">
      <c r="B52" s="3" t="s">
        <v>283</v>
      </c>
      <c r="C52" s="6"/>
      <c r="D52" s="6"/>
      <c r="E52" s="232">
        <f ca="1">MAX(C16*2.5/E47,1)+IF(E47&lt;C16,100,0)+IF(J20=1,2/(1+E47+E48-C16),0)</f>
        <v>1.6545982408731403</v>
      </c>
      <c r="F52" s="232">
        <f ca="1">MAX(C16*2.5/F47,1)+IF(F47&lt;C16,100,0)+IF(D18&lt;0,100,0)+IF(J20=1,2/(1+F47+F48-C16),0)</f>
        <v>1.1294022485205193</v>
      </c>
      <c r="G52" s="170"/>
      <c r="H52" s="235"/>
      <c r="I52" s="235"/>
      <c r="J52" s="6"/>
    </row>
    <row r="53" spans="2:10" ht="15.75" customHeight="1">
      <c r="B53" s="3" t="s">
        <v>284</v>
      </c>
      <c r="C53" s="6"/>
      <c r="D53" s="6"/>
      <c r="E53" s="217">
        <f ca="1">MIN(MAX(E50-ABS((1-E50)/E51),0)/E52,H53)</f>
        <v>0.38671008065634377</v>
      </c>
      <c r="F53" s="217">
        <f ca="1">MIN(MAX(F50-ABS((1-F50)/F51),0)/F52,H53)</f>
        <v>0.4</v>
      </c>
      <c r="G53" s="170" t="s">
        <v>273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275</v>
      </c>
    </row>
    <row r="56" spans="2:10" ht="15.75" customHeight="1">
      <c r="B56" s="137" t="s">
        <v>276</v>
      </c>
    </row>
    <row r="57" spans="2:10" ht="15.75" customHeight="1">
      <c r="B57" s="3" t="s">
        <v>287</v>
      </c>
    </row>
    <row r="58" spans="2:10" ht="15.75" customHeight="1">
      <c r="B58" s="3" t="s">
        <v>286</v>
      </c>
    </row>
    <row r="59" spans="2:10" ht="15.75" customHeight="1"/>
    <row r="60" spans="2:10" ht="15.75" customHeight="1">
      <c r="B60" s="137" t="s">
        <v>277</v>
      </c>
    </row>
    <row r="61" spans="2:10" ht="15.75" customHeight="1">
      <c r="B61" s="3" t="s">
        <v>288</v>
      </c>
    </row>
    <row r="62" spans="2:10" ht="15.75" customHeight="1">
      <c r="B62" s="3" t="s">
        <v>289</v>
      </c>
    </row>
    <row r="63" spans="2:10" ht="15.75" customHeight="1"/>
    <row r="64" spans="2:10" ht="15.75" customHeight="1">
      <c r="B64" s="137" t="s">
        <v>386</v>
      </c>
    </row>
    <row r="65" spans="2:2" ht="15.75" customHeight="1">
      <c r="B65" s="3" t="s">
        <v>388</v>
      </c>
    </row>
    <row r="66" spans="2:2" ht="15.75" customHeight="1">
      <c r="B66" s="3" t="s">
        <v>387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E30:F30"/>
    <mergeCell ref="C31:D31"/>
    <mergeCell ref="E35:F35"/>
    <mergeCell ref="C33:D33"/>
    <mergeCell ref="E33:F33"/>
    <mergeCell ref="E34:F34"/>
    <mergeCell ref="C32:D32"/>
    <mergeCell ref="E32:F3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</mergeCells>
  <phoneticPr fontId="31" type="noConversion"/>
  <conditionalFormatting sqref="B16">
    <cfRule type="cellIs" dxfId="26" priority="12" operator="lessThan">
      <formula>$B$18</formula>
    </cfRule>
  </conditionalFormatting>
  <conditionalFormatting sqref="B18">
    <cfRule type="cellIs" dxfId="25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4" priority="25" operator="lessThan">
      <formula>0</formula>
    </cfRule>
  </conditionalFormatting>
  <conditionalFormatting sqref="E14">
    <cfRule type="cellIs" dxfId="23" priority="17" operator="greaterThan">
      <formula>$B$16</formula>
    </cfRule>
  </conditionalFormatting>
  <conditionalFormatting sqref="E51:F51">
    <cfRule type="cellIs" dxfId="22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1" priority="13">
      <formula>LEN(TRIM(E28))=0</formula>
    </cfRule>
  </conditionalFormatting>
  <conditionalFormatting sqref="F16">
    <cfRule type="cellIs" dxfId="20" priority="20" operator="greaterThan">
      <formula>$B$16</formula>
    </cfRule>
  </conditionalFormatting>
  <conditionalFormatting sqref="G16">
    <cfRule type="cellIs" dxfId="19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B34" sqref="B34"/>
    </sheetView>
  </sheetViews>
  <sheetFormatPr defaultColWidth="12.42578125" defaultRowHeight="15" customHeight="1"/>
  <cols>
    <col min="1" max="1" width="1.42578125" style="3" customWidth="1"/>
    <col min="2" max="2" width="26.42578125" style="3" customWidth="1"/>
    <col min="3" max="13" width="24.7109375" style="3" customWidth="1"/>
    <col min="14" max="16384" width="12.42578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64730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593.25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>
      <c r="A7" s="9"/>
      <c r="B7" s="159" t="s">
        <v>41</v>
      </c>
      <c r="C7" s="160">
        <v>1442194</v>
      </c>
      <c r="D7" s="160">
        <v>1769157</v>
      </c>
      <c r="E7" s="160">
        <v>1702154</v>
      </c>
      <c r="F7" s="160">
        <v>1383402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-0.18481287980659711</v>
      </c>
      <c r="D8" s="149">
        <f t="shared" si="1"/>
        <v>3.9363653347464389E-2</v>
      </c>
      <c r="E8" s="149">
        <f t="shared" si="1"/>
        <v>0.2304116952266948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v>842386</v>
      </c>
      <c r="D9" s="148">
        <v>981731</v>
      </c>
      <c r="E9" s="148">
        <v>959572</v>
      </c>
      <c r="F9" s="148">
        <v>783542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0.41589966398417966</v>
      </c>
      <c r="D10" s="149">
        <f t="shared" si="2"/>
        <v>0.44508542769239812</v>
      </c>
      <c r="E10" s="149">
        <f t="shared" si="2"/>
        <v>0.43626017387380928</v>
      </c>
      <c r="F10" s="149">
        <f t="shared" si="2"/>
        <v>0.43361221105651143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f>435254+163763</f>
        <v>599017</v>
      </c>
      <c r="D11" s="148">
        <f>526389+179001</f>
        <v>705390</v>
      </c>
      <c r="E11" s="148">
        <f>372030+84580</f>
        <v>456610</v>
      </c>
      <c r="F11" s="148">
        <f>334228+62415</f>
        <v>396643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0.41535119408345894</v>
      </c>
      <c r="D12" s="149">
        <f t="shared" si="3"/>
        <v>0.39871532034748752</v>
      </c>
      <c r="E12" s="149">
        <f t="shared" si="3"/>
        <v>0.2682542237658872</v>
      </c>
      <c r="F12" s="149">
        <f t="shared" si="3"/>
        <v>0.28671564736786559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5.4846990072070743E-4</v>
      </c>
      <c r="D13" s="149">
        <f t="shared" si="4"/>
        <v>4.6370107344910601E-2</v>
      </c>
      <c r="E13" s="149">
        <f t="shared" si="4"/>
        <v>0.16800595010792208</v>
      </c>
      <c r="F13" s="149">
        <f t="shared" si="4"/>
        <v>0.14689656368864581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791</v>
      </c>
      <c r="D14" s="51">
        <f t="shared" si="5"/>
        <v>82036</v>
      </c>
      <c r="E14" s="51">
        <f t="shared" si="5"/>
        <v>285972</v>
      </c>
      <c r="F14" s="51">
        <f t="shared" si="5"/>
        <v>203217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-0.99035789165732113</v>
      </c>
      <c r="D15" s="149">
        <f t="shared" ref="D15:M15" si="6">IF(E14="","",IF(ABS(D14+E14)=ABS(D14)+ABS(E14),IF(D14&lt;0,-1,1)*(D14-E14)/E14,"Turn"))</f>
        <v>-0.71313275425566136</v>
      </c>
      <c r="E15" s="149">
        <f t="shared" si="6"/>
        <v>0.40722478926467764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IF(C14="","",C14*(1-Projections!$F$18))</f>
        <v>593.25</v>
      </c>
      <c r="D16" s="51">
        <f>IF(D14="","",D14*(1-Projections!$F$18))</f>
        <v>61527</v>
      </c>
      <c r="E16" s="51">
        <f>IF(E14="","",E14*(1-Projections!$F$18))</f>
        <v>214479</v>
      </c>
      <c r="F16" s="51">
        <f>IF(F14="","",F14*(1-Projections!$F$18))</f>
        <v>152412.75</v>
      </c>
      <c r="G16" s="51" t="str">
        <f>IF(G14="","",G14*(1-Projections!$F$18))</f>
        <v/>
      </c>
      <c r="H16" s="51" t="str">
        <f>IF(H14="","",H14*(1-Projections!$F$18))</f>
        <v/>
      </c>
      <c r="I16" s="51" t="str">
        <f>IF(I14="","",I14*(1-Projections!$F$18))</f>
        <v/>
      </c>
      <c r="J16" s="51" t="str">
        <f>IF(J14="","",J14*(1-Projections!$F$18))</f>
        <v/>
      </c>
      <c r="K16" s="51" t="str">
        <f>IF(K14="","",K14*(1-Projections!$F$18))</f>
        <v/>
      </c>
      <c r="L16" s="51" t="str">
        <f>IF(L14="","",L14*(1-Projections!$F$18))</f>
        <v/>
      </c>
      <c r="M16" s="51" t="str">
        <f>IF(M14="","",M14*(1-Projections!$F$18))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4.1135242554053063E-4</v>
      </c>
      <c r="D17" s="149">
        <f t="shared" si="7"/>
        <v>3.4777580508682952E-2</v>
      </c>
      <c r="E17" s="149">
        <f t="shared" si="7"/>
        <v>0.12600446258094156</v>
      </c>
      <c r="F17" s="149">
        <f t="shared" si="7"/>
        <v>0.11017242276648437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863</v>
      </c>
      <c r="D18" s="148">
        <v>1613</v>
      </c>
      <c r="E18" s="148">
        <v>2645</v>
      </c>
      <c r="F18" s="148">
        <v>299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64730</v>
      </c>
      <c r="D19" s="148">
        <v>92093</v>
      </c>
      <c r="E19" s="148">
        <v>223781</v>
      </c>
      <c r="F19" s="148">
        <v>185164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-0.29712355987968686</v>
      </c>
      <c r="D20" s="149">
        <f t="shared" ref="D20:M20" si="8">IF(E19="","",IF(ABS(D19+E19)=ABS(D19)+ABS(E19),IF(D19&lt;0,-1,1)*(D19-E19)/E19,"Turn"))</f>
        <v>-0.58846818988207217</v>
      </c>
      <c r="E20" s="149">
        <f t="shared" si="8"/>
        <v>0.20855565876736298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367</v>
      </c>
      <c r="C21" s="150">
        <v>3572928</v>
      </c>
      <c r="D21" s="148">
        <v>3422650</v>
      </c>
      <c r="E21" s="148">
        <v>1608425</v>
      </c>
      <c r="F21" s="148">
        <v>1225878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3155075</v>
      </c>
      <c r="D22" s="148">
        <v>3103683</v>
      </c>
      <c r="E22" s="148">
        <v>1398268</v>
      </c>
      <c r="F22" s="148">
        <v>1034632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734476</v>
      </c>
      <c r="D23" s="148">
        <v>677999</v>
      </c>
      <c r="E23" s="148">
        <v>1352795</v>
      </c>
      <c r="F23" s="148">
        <v>1205068</v>
      </c>
      <c r="G23" s="148"/>
      <c r="H23" s="148"/>
      <c r="I23" s="148"/>
      <c r="J23" s="148"/>
      <c r="K23" s="148"/>
      <c r="L23" s="148"/>
      <c r="M23" s="148"/>
      <c r="N23" s="6"/>
    </row>
    <row r="24" spans="1:14" ht="15.6" customHeight="1">
      <c r="A24" s="9"/>
      <c r="B24" s="155" t="s">
        <v>54</v>
      </c>
      <c r="C24" s="150">
        <v>6202</v>
      </c>
      <c r="D24" s="148">
        <v>5517</v>
      </c>
      <c r="E24" s="148">
        <v>301783</v>
      </c>
      <c r="F24" s="148">
        <v>3225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6202</v>
      </c>
      <c r="D25" s="152">
        <v>5517</v>
      </c>
      <c r="E25" s="152">
        <v>1783</v>
      </c>
      <c r="F25" s="152">
        <v>3225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10412</v>
      </c>
      <c r="D26" s="148">
        <v>9392</v>
      </c>
      <c r="E26" s="148">
        <v>5096</v>
      </c>
      <c r="F26" s="148">
        <v>6880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10412</v>
      </c>
      <c r="D27" s="152">
        <v>9392</v>
      </c>
      <c r="E27" s="152">
        <v>5096</v>
      </c>
      <c r="F27" s="152">
        <v>6880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16614</v>
      </c>
      <c r="D28" s="51">
        <f t="shared" si="9"/>
        <v>14909</v>
      </c>
      <c r="E28" s="51">
        <f t="shared" si="9"/>
        <v>306879</v>
      </c>
      <c r="F28" s="51">
        <f t="shared" si="9"/>
        <v>10105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2819770</v>
      </c>
      <c r="D29" s="148">
        <v>2735259</v>
      </c>
      <c r="E29" s="148">
        <v>250534</v>
      </c>
      <c r="F29" s="148">
        <v>13930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2812473</v>
      </c>
      <c r="D30" s="152">
        <v>2733761</v>
      </c>
      <c r="E30" s="152">
        <v>247681</v>
      </c>
      <c r="F30" s="152">
        <v>13234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342</v>
      </c>
      <c r="C31" s="150">
        <v>187570</v>
      </c>
      <c r="D31" s="148">
        <v>197933</v>
      </c>
      <c r="E31" s="148">
        <v>172844</v>
      </c>
      <c r="F31" s="148">
        <v>159191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1335766</v>
      </c>
      <c r="D32" s="148">
        <v>2558156</v>
      </c>
      <c r="E32" s="148">
        <v>884766</v>
      </c>
      <c r="F32" s="148">
        <v>511035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402</v>
      </c>
      <c r="C33" s="161">
        <v>24700</v>
      </c>
      <c r="D33" s="161">
        <v>58000</v>
      </c>
      <c r="E33" s="161">
        <v>30500</v>
      </c>
      <c r="F33" s="161">
        <v>38500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361</v>
      </c>
      <c r="C34" s="161">
        <v>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10050.449999999999</v>
      </c>
      <c r="E35" s="154">
        <f>IF(F7="","",IF(E8&lt;0,0,(E7-F7)*Asset_Model!$D$68))</f>
        <v>47812.799999999996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24700</v>
      </c>
      <c r="D36" s="51">
        <f t="shared" si="11"/>
        <v>68050.45</v>
      </c>
      <c r="E36" s="51">
        <f t="shared" si="11"/>
        <v>78312.799999999988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335</v>
      </c>
      <c r="C37" s="149">
        <f>IF(C36="","",C33/C7)</f>
        <v>1.7126683372694657E-2</v>
      </c>
      <c r="D37" s="149">
        <f t="shared" ref="D37:M37" si="12">IF(D36="","",D33/D7)</f>
        <v>3.2783975644897545E-2</v>
      </c>
      <c r="E37" s="149">
        <f t="shared" si="12"/>
        <v>1.7918472711634787E-2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337</v>
      </c>
      <c r="C38" s="158">
        <f t="shared" ref="C38:M38" si="13">IF(C36="","",C33/C16)</f>
        <v>41.635061104087654</v>
      </c>
      <c r="D38" s="158">
        <f t="shared" si="13"/>
        <v>0.94267557332553187</v>
      </c>
      <c r="E38" s="158">
        <f t="shared" si="13"/>
        <v>0.14220506436527586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96133</v>
      </c>
      <c r="D40" s="163">
        <v>58667</v>
      </c>
      <c r="E40" s="163">
        <v>221311</v>
      </c>
      <c r="F40" s="163">
        <v>220950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7.209992765422174E-2</v>
      </c>
      <c r="D42" s="162">
        <f t="shared" si="14"/>
        <v>4.4000358416883142E-2</v>
      </c>
      <c r="E42" s="162">
        <f t="shared" si="14"/>
        <v>0.16598365898373574</v>
      </c>
      <c r="F42" s="162">
        <f t="shared" si="14"/>
        <v>0.16571290831660609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351</v>
      </c>
      <c r="C45" s="166">
        <f>IF(C30="","",(C21-C30)/C21)</f>
        <v>0.21283804207641463</v>
      </c>
      <c r="D45" s="166">
        <f>IF(D30="","",(D21-D30)/D21)</f>
        <v>0.20127357456941258</v>
      </c>
      <c r="E45" s="166">
        <f t="shared" ref="E45:M45" si="16">IF(E30="","",(E21-E30)/E21)</f>
        <v>0.846010227396366</v>
      </c>
      <c r="F45" s="166">
        <f t="shared" si="16"/>
        <v>0.98920447222317387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363</v>
      </c>
      <c r="C46" s="149">
        <f t="shared" ref="C46:M46" si="17">IF(C30="","",C28/C30)</f>
        <v>5.9072567096644128E-3</v>
      </c>
      <c r="D46" s="149">
        <f t="shared" si="17"/>
        <v>5.4536588970286719E-3</v>
      </c>
      <c r="E46" s="149">
        <f t="shared" si="17"/>
        <v>1.2390090479285856</v>
      </c>
      <c r="F46" s="149">
        <f t="shared" si="17"/>
        <v>0.76356354843584706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4.7610449018899721E-2</v>
      </c>
      <c r="D47" s="165">
        <f t="shared" si="18"/>
        <v>5.5024481856596683</v>
      </c>
      <c r="E47" s="165">
        <f t="shared" si="18"/>
        <v>0.93187217111630316</v>
      </c>
      <c r="F47" s="165">
        <f t="shared" si="18"/>
        <v>20.110539336961899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1.0910240202275601</v>
      </c>
      <c r="D48" s="149">
        <f>IF(D14="","",IF(D18&lt;=0,"-",D18/D14))</f>
        <v>1.9662099566044176E-2</v>
      </c>
      <c r="E48" s="149">
        <f t="shared" ref="E48:M48" si="19">IF(E14="","",IF(E18&lt;=0,"-",E18/E14))</f>
        <v>9.2491572601513441E-3</v>
      </c>
      <c r="F48" s="149">
        <f t="shared" si="19"/>
        <v>1.4713335990591339E-3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4.2956815471165841</v>
      </c>
      <c r="D49" s="167">
        <f t="shared" si="20"/>
        <v>4.5777102916081001</v>
      </c>
      <c r="E49" s="167">
        <f t="shared" si="20"/>
        <v>1.0336141100462377</v>
      </c>
      <c r="F49" s="167">
        <f t="shared" si="20"/>
        <v>0.85856731736300362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292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293</v>
      </c>
      <c r="C51" s="166">
        <f t="shared" ref="C51:M51" si="21">C13</f>
        <v>5.4846990072070743E-4</v>
      </c>
      <c r="D51" s="166">
        <f t="shared" si="21"/>
        <v>4.6370107344910601E-2</v>
      </c>
      <c r="E51" s="166">
        <f t="shared" si="21"/>
        <v>0.16800595010792208</v>
      </c>
      <c r="F51" s="166">
        <f t="shared" si="21"/>
        <v>0.14689656368864581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294</v>
      </c>
      <c r="C52" s="149">
        <f>C7/C21</f>
        <v>0.40364485374460385</v>
      </c>
      <c r="D52" s="149">
        <f>IF(D7="","",D7/D21)</f>
        <v>0.51689684893284449</v>
      </c>
      <c r="E52" s="149">
        <f t="shared" ref="E52:M52" si="22">IF(E7="","",E7/E21)</f>
        <v>1.0582737771422355</v>
      </c>
      <c r="F52" s="149">
        <f t="shared" si="22"/>
        <v>1.128498920773519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369</v>
      </c>
      <c r="C53" s="168">
        <f>C21/C29</f>
        <v>1.2670990896420631</v>
      </c>
      <c r="D53" s="168">
        <f>IF(D29="","",D21/D29)</f>
        <v>1.2513074630226972</v>
      </c>
      <c r="E53" s="168">
        <f t="shared" ref="E53:M53" si="23">IF(E29="","",E21/E29)</f>
        <v>6.4199869079645877</v>
      </c>
      <c r="F53" s="168">
        <f t="shared" si="23"/>
        <v>88.002727925340992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368</v>
      </c>
      <c r="C54" s="149">
        <f>C51*C52*C53</f>
        <v>2.8051933313709979E-4</v>
      </c>
      <c r="D54" s="149">
        <f>IF(D51="","",D51*D52*D53)</f>
        <v>2.9992040973085183E-2</v>
      </c>
      <c r="E54" s="149">
        <f t="shared" ref="E54:M54" si="24">IF(E51="","",E51*E52*E53)</f>
        <v>1.1414498630924346</v>
      </c>
      <c r="F54" s="149">
        <f t="shared" si="24"/>
        <v>14.588442211055275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295</v>
      </c>
      <c r="C55" s="158">
        <f>C38*C54</f>
        <v>1.1679439576041071E-2</v>
      </c>
      <c r="D55" s="158">
        <f>IF(D38="","",D38*D54)</f>
        <v>2.8272764419505918E-2</v>
      </c>
      <c r="E55" s="158">
        <f t="shared" ref="E55:M55" si="25">IF(E38="","",E38*E54)</f>
        <v>0.16231995125079499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334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395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8" priority="2">
      <formula>$C$58="No"</formula>
    </cfRule>
  </conditionalFormatting>
  <conditionalFormatting sqref="C7:M38 D45:M49 D51:M55">
    <cfRule type="containsBlanks" dxfId="17" priority="5">
      <formula>LEN(TRIM(C7))=0</formula>
    </cfRule>
  </conditionalFormatting>
  <conditionalFormatting sqref="C40:M43">
    <cfRule type="containsBlanks" dxfId="16" priority="7">
      <formula>LEN(TRIM(C40))=0</formula>
    </cfRule>
  </conditionalFormatting>
  <conditionalFormatting sqref="D17:M18">
    <cfRule type="containsBlanks" dxfId="15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topLeftCell="A7" zoomScaleNormal="100" workbookViewId="0">
      <selection activeCell="E10" sqref="E10"/>
    </sheetView>
  </sheetViews>
  <sheetFormatPr defaultColWidth="12.42578125" defaultRowHeight="15" customHeight="1"/>
  <cols>
    <col min="1" max="1" width="2.42578125" style="3" customWidth="1"/>
    <col min="2" max="2" width="27" style="3" customWidth="1"/>
    <col min="3" max="5" width="17.42578125" style="3" customWidth="1"/>
    <col min="6" max="6" width="7.42578125" style="3" customWidth="1"/>
    <col min="7" max="7" width="2" style="3" customWidth="1"/>
    <col min="8" max="8" width="18.42578125" style="3" bestFit="1" customWidth="1"/>
    <col min="9" max="9" width="13.28515625" style="3" bestFit="1" customWidth="1"/>
    <col min="10" max="10" width="4.7109375" style="3" customWidth="1"/>
    <col min="11" max="11" width="38.85546875" style="3" customWidth="1"/>
    <col min="12" max="16384" width="12.4257812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2969594</v>
      </c>
      <c r="E3" s="191" t="str">
        <f>IF((C49-I49)=D3,"", "Error!")</f>
        <v/>
      </c>
      <c r="F3" s="6"/>
      <c r="G3" s="6"/>
      <c r="H3" s="112" t="s">
        <v>216</v>
      </c>
      <c r="I3" s="163">
        <v>2962991</v>
      </c>
      <c r="K3" s="43"/>
    </row>
    <row r="4" spans="1:11" ht="15" customHeight="1">
      <c r="B4" s="5" t="s">
        <v>193</v>
      </c>
      <c r="C4" s="6"/>
      <c r="D4" s="186">
        <f>D3-I3</f>
        <v>6603</v>
      </c>
      <c r="E4" s="90"/>
      <c r="F4" s="6"/>
      <c r="G4" s="6"/>
      <c r="H4" s="38" t="s">
        <v>71</v>
      </c>
      <c r="I4" s="139">
        <f>(I3*Dashboard!I12*Data!C4)/Dashboard!I5</f>
        <v>2.4606286452402326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316</v>
      </c>
      <c r="C6" s="6"/>
      <c r="D6" s="193">
        <f>E49-I49-E53</f>
        <v>2261528.8000000003</v>
      </c>
      <c r="E6" s="149">
        <f>1-D6/D3</f>
        <v>0.23843838585341959</v>
      </c>
      <c r="F6" s="6"/>
      <c r="G6" s="6"/>
      <c r="H6" s="3" t="s">
        <v>256</v>
      </c>
      <c r="I6" s="184">
        <f>C28/I28</f>
        <v>6.1836649553955665</v>
      </c>
      <c r="J6" s="6"/>
      <c r="K6" s="43"/>
    </row>
    <row r="7" spans="1:11" ht="15" customHeight="1" thickTop="1">
      <c r="B7" s="32" t="s">
        <v>317</v>
      </c>
      <c r="C7" s="6"/>
      <c r="D7" s="187">
        <f>MAX((D6*Exchange_Rate*Data!C4)/Common_Shares, 0)</f>
        <v>1.878096338232472</v>
      </c>
      <c r="E7" s="18" t="str">
        <f>Dashboard!J4</f>
        <v>HKD</v>
      </c>
      <c r="H7" s="3" t="s">
        <v>257</v>
      </c>
      <c r="I7" s="184">
        <f>C25/I28</f>
        <v>0.89074192209159853</v>
      </c>
      <c r="J7" s="6"/>
      <c r="K7" s="77"/>
    </row>
    <row r="8" spans="1:11" ht="15" customHeight="1">
      <c r="C8" s="6"/>
      <c r="D8" s="6"/>
      <c r="E8" s="6"/>
      <c r="H8" s="3" t="s">
        <v>258</v>
      </c>
      <c r="I8" s="184">
        <f>C24/I28</f>
        <v>4.9931954190589023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403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769326</v>
      </c>
      <c r="D11" s="180">
        <v>1</v>
      </c>
      <c r="E11" s="51">
        <f t="shared" ref="E11:E21" si="0">C11*D11</f>
        <v>769326</v>
      </c>
      <c r="F11" s="6"/>
      <c r="G11" s="6"/>
      <c r="H11" s="5" t="s">
        <v>79</v>
      </c>
      <c r="I11" s="179">
        <v>0</v>
      </c>
      <c r="J11" s="6"/>
      <c r="K11" s="43"/>
    </row>
    <row r="12" spans="1:11">
      <c r="B12" s="3" t="s">
        <v>80</v>
      </c>
      <c r="C12" s="179">
        <v>1696239</v>
      </c>
      <c r="D12" s="180">
        <v>0.95</v>
      </c>
      <c r="E12" s="51">
        <f t="shared" si="0"/>
        <v>1611427.0499999998</v>
      </c>
      <c r="F12" s="6"/>
      <c r="G12" s="6"/>
      <c r="H12" s="5" t="s">
        <v>81</v>
      </c>
      <c r="I12" s="179">
        <v>7102</v>
      </c>
      <c r="J12" s="6"/>
      <c r="K12" s="43"/>
    </row>
    <row r="13" spans="1:11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>
      <c r="B14" s="5" t="s">
        <v>84</v>
      </c>
      <c r="C14" s="179">
        <v>0</v>
      </c>
      <c r="D14" s="180">
        <v>0.85</v>
      </c>
      <c r="E14" s="51">
        <f t="shared" si="0"/>
        <v>0</v>
      </c>
      <c r="F14" s="6"/>
      <c r="G14" s="6"/>
      <c r="H14" s="6" t="s">
        <v>340</v>
      </c>
      <c r="I14" s="179">
        <v>0</v>
      </c>
      <c r="J14" s="6"/>
      <c r="K14" s="47"/>
    </row>
    <row r="15" spans="1:11">
      <c r="B15" s="5" t="s">
        <v>86</v>
      </c>
      <c r="C15" s="179">
        <v>251216</v>
      </c>
      <c r="D15" s="180">
        <v>0.6</v>
      </c>
      <c r="E15" s="51">
        <f t="shared" si="0"/>
        <v>150729.60000000001</v>
      </c>
      <c r="F15" s="6"/>
      <c r="G15" s="6"/>
      <c r="H15" s="5" t="s">
        <v>87</v>
      </c>
      <c r="I15" s="130">
        <f>I28-SUM(I11:I14)</f>
        <v>486683</v>
      </c>
      <c r="J15" s="6"/>
    </row>
    <row r="16" spans="1:11">
      <c r="B16" s="3" t="s">
        <v>85</v>
      </c>
      <c r="C16" s="179">
        <v>0</v>
      </c>
      <c r="D16" s="180">
        <v>0.6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>
      <c r="B17" s="5" t="s">
        <v>339</v>
      </c>
      <c r="C17" s="179">
        <f>70620+117999</f>
        <v>188619</v>
      </c>
      <c r="D17" s="180">
        <v>0.4</v>
      </c>
      <c r="E17" s="51">
        <f t="shared" si="0"/>
        <v>75447.600000000006</v>
      </c>
      <c r="F17" s="6"/>
      <c r="G17" s="6"/>
      <c r="H17" s="5"/>
      <c r="I17" s="94"/>
      <c r="J17" s="6"/>
    </row>
    <row r="18" spans="2:10">
      <c r="B18" s="5" t="s">
        <v>88</v>
      </c>
      <c r="C18" s="179">
        <v>148001</v>
      </c>
      <c r="D18" s="180">
        <v>0.2</v>
      </c>
      <c r="E18" s="51">
        <f t="shared" si="0"/>
        <v>29600.2</v>
      </c>
      <c r="F18" s="6"/>
      <c r="G18" s="6"/>
      <c r="H18" s="6"/>
      <c r="I18" s="6"/>
    </row>
    <row r="19" spans="2:10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>
      <c r="B21" s="5" t="s">
        <v>91</v>
      </c>
      <c r="C21" s="179">
        <v>0</v>
      </c>
      <c r="D21" s="180">
        <v>0.95</v>
      </c>
      <c r="E21" s="51">
        <f t="shared" si="0"/>
        <v>0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380</v>
      </c>
      <c r="G23" s="6"/>
      <c r="H23" s="6"/>
      <c r="I23" s="6"/>
    </row>
    <row r="24" spans="2:10" ht="15" customHeight="1">
      <c r="B24" s="41" t="s">
        <v>370</v>
      </c>
      <c r="C24" s="182">
        <f>SUM(C11:C14)</f>
        <v>2465565</v>
      </c>
      <c r="D24" s="183">
        <f>IF(E24=0,0,E24/C24)</f>
        <v>0.96560141387471021</v>
      </c>
      <c r="E24" s="51">
        <f>SUM(E11:E14)</f>
        <v>2380753.0499999998</v>
      </c>
      <c r="F24" s="233">
        <f>E24/$E$28</f>
        <v>0.90298712461295472</v>
      </c>
      <c r="G24" s="6"/>
      <c r="H24" s="3" t="s">
        <v>378</v>
      </c>
      <c r="I24" s="312">
        <f>I11+I12+I13</f>
        <v>7102</v>
      </c>
    </row>
    <row r="25" spans="2:10" ht="15" customHeight="1">
      <c r="B25" s="41" t="s">
        <v>374</v>
      </c>
      <c r="C25" s="182">
        <f>SUM(C15:C17)</f>
        <v>439835</v>
      </c>
      <c r="D25" s="183">
        <f>IF(E25=0,0,E25/C25)</f>
        <v>0.51423192788204675</v>
      </c>
      <c r="E25" s="51">
        <f>SUM(E15:E17)</f>
        <v>226177.2</v>
      </c>
      <c r="F25" s="233">
        <f t="shared" ref="F25:F27" si="2">E25/$E$28</f>
        <v>8.5785923693769583E-2</v>
      </c>
      <c r="G25" s="6"/>
      <c r="H25" s="41" t="s">
        <v>381</v>
      </c>
      <c r="I25" s="184">
        <f>E28/I28</f>
        <v>5.3394300150875385</v>
      </c>
    </row>
    <row r="26" spans="2:10" ht="15" customHeight="1">
      <c r="B26" s="41" t="s">
        <v>372</v>
      </c>
      <c r="C26" s="182">
        <f>C18+C19+C20</f>
        <v>148001</v>
      </c>
      <c r="D26" s="183">
        <f t="shared" ref="D26:D27" si="3">IF(E26=0,0,E26/C26)</f>
        <v>0.2</v>
      </c>
      <c r="E26" s="51">
        <f>E18+E19+E20</f>
        <v>29600.2</v>
      </c>
      <c r="F26" s="233">
        <f t="shared" si="2"/>
        <v>1.1226951693275531E-2</v>
      </c>
      <c r="G26" s="6"/>
      <c r="H26" s="41" t="s">
        <v>259</v>
      </c>
      <c r="I26" s="184">
        <f>E24/($I$28-I15)</f>
        <v>335.22290199943677</v>
      </c>
      <c r="J26" s="13" t="str">
        <f>IF(I26&lt;1,"Liquidity Problem!","")</f>
        <v/>
      </c>
    </row>
    <row r="27" spans="2:10" ht="15" customHeight="1">
      <c r="B27" s="41" t="s">
        <v>373</v>
      </c>
      <c r="C27" s="305">
        <f>C21+C22</f>
        <v>0</v>
      </c>
      <c r="D27" s="183">
        <f t="shared" si="3"/>
        <v>0</v>
      </c>
      <c r="E27" s="51">
        <f>E21+E22</f>
        <v>0</v>
      </c>
      <c r="F27" s="233">
        <f t="shared" si="2"/>
        <v>0</v>
      </c>
      <c r="G27" s="6"/>
      <c r="H27" s="41" t="s">
        <v>263</v>
      </c>
      <c r="I27" s="184">
        <f>(E25+E24)/$I$28</f>
        <v>5.2794844922385247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3053401</v>
      </c>
      <c r="D28" s="166">
        <f t="shared" ref="D28" si="4">E28/C28</f>
        <v>0.86347336953122111</v>
      </c>
      <c r="E28" s="212">
        <f>SUM(E24:E27)</f>
        <v>2636530.4500000002</v>
      </c>
      <c r="F28" s="6"/>
      <c r="G28" s="6"/>
      <c r="H28" s="306" t="s">
        <v>53</v>
      </c>
      <c r="I28" s="190">
        <v>493785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0</v>
      </c>
      <c r="J30" s="6"/>
    </row>
    <row r="31" spans="2:10" ht="15" customHeight="1">
      <c r="B31" s="5" t="s">
        <v>96</v>
      </c>
      <c r="C31" s="179">
        <v>146031</v>
      </c>
      <c r="D31" s="180">
        <v>0.2</v>
      </c>
      <c r="E31" s="51">
        <f t="shared" ref="E31:E42" si="5">C31*D31</f>
        <v>29206.2</v>
      </c>
      <c r="F31" s="6"/>
      <c r="G31" s="6"/>
      <c r="H31" s="5" t="s">
        <v>97</v>
      </c>
      <c r="I31" s="179">
        <v>8842</v>
      </c>
      <c r="J31" s="6"/>
    </row>
    <row r="32" spans="2:10" ht="15" customHeight="1">
      <c r="B32" s="5" t="s">
        <v>98</v>
      </c>
      <c r="C32" s="179">
        <v>0</v>
      </c>
      <c r="D32" s="180">
        <v>0.6</v>
      </c>
      <c r="E32" s="51">
        <f t="shared" si="5"/>
        <v>0</v>
      </c>
      <c r="F32" s="6"/>
      <c r="G32" s="6"/>
      <c r="H32" s="5" t="s">
        <v>100</v>
      </c>
      <c r="I32" s="179">
        <v>0</v>
      </c>
      <c r="J32" s="6"/>
    </row>
    <row r="33" spans="2:10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341</v>
      </c>
      <c r="I33" s="179">
        <v>0</v>
      </c>
      <c r="J33" s="6"/>
    </row>
    <row r="34" spans="2:10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8229</v>
      </c>
      <c r="J34" s="6"/>
    </row>
    <row r="35" spans="2:10">
      <c r="B35" s="5" t="s">
        <v>103</v>
      </c>
      <c r="C35" s="179">
        <v>1500</v>
      </c>
      <c r="D35" s="180">
        <v>0.3</v>
      </c>
      <c r="E35" s="51">
        <f t="shared" si="5"/>
        <v>450</v>
      </c>
      <c r="F35" s="181" t="s">
        <v>204</v>
      </c>
      <c r="G35" s="58">
        <f>IF(F35="Y",0,1)</f>
        <v>1</v>
      </c>
      <c r="H35" s="6"/>
      <c r="I35" s="6"/>
      <c r="J35" s="6"/>
    </row>
    <row r="36" spans="2:10">
      <c r="B36" s="5" t="s">
        <v>104</v>
      </c>
      <c r="C36" s="179">
        <v>0</v>
      </c>
      <c r="D36" s="180">
        <v>0.7</v>
      </c>
      <c r="E36" s="51">
        <f t="shared" si="5"/>
        <v>0</v>
      </c>
      <c r="F36" s="181" t="s">
        <v>203</v>
      </c>
      <c r="G36" s="58">
        <f>IF(F36="Y",0,1)</f>
        <v>0</v>
      </c>
      <c r="H36" s="6"/>
      <c r="I36" s="6"/>
    </row>
    <row r="37" spans="2:10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160840+23123+171</f>
        <v>184134</v>
      </c>
      <c r="D38" s="180">
        <v>0.2</v>
      </c>
      <c r="E38" s="51">
        <f t="shared" si="5"/>
        <v>36826.800000000003</v>
      </c>
      <c r="F38" s="6"/>
      <c r="G38" s="6"/>
      <c r="H38" s="6"/>
      <c r="I38" s="6"/>
    </row>
    <row r="39" spans="2:10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11486</v>
      </c>
      <c r="D40" s="180">
        <v>0</v>
      </c>
      <c r="E40" s="51">
        <f t="shared" si="5"/>
        <v>0</v>
      </c>
      <c r="F40" s="6"/>
      <c r="G40" s="6"/>
      <c r="H40" s="6"/>
      <c r="I40" s="6"/>
    </row>
    <row r="41" spans="2:10" ht="15" customHeight="1">
      <c r="B41" s="5" t="s">
        <v>106</v>
      </c>
      <c r="C41" s="179">
        <v>79973</v>
      </c>
      <c r="D41" s="180">
        <v>0.95</v>
      </c>
      <c r="E41" s="51">
        <f t="shared" si="5"/>
        <v>75974.349999999991</v>
      </c>
      <c r="F41" s="6"/>
      <c r="G41" s="6"/>
      <c r="H41" s="6"/>
      <c r="I41" s="6"/>
    </row>
    <row r="42" spans="2:10" ht="15" customHeight="1">
      <c r="B42" s="5" t="s">
        <v>107</v>
      </c>
      <c r="C42" s="179">
        <v>3925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371</v>
      </c>
      <c r="C44" s="182">
        <f>SUM(C30:C31)</f>
        <v>146031</v>
      </c>
      <c r="D44" s="183">
        <f>IF(E44=0,0,E44/C44)</f>
        <v>0.2</v>
      </c>
      <c r="E44" s="51">
        <f>SUM(E30:E31)</f>
        <v>29206.2</v>
      </c>
      <c r="F44" s="233"/>
      <c r="G44" s="6"/>
      <c r="H44" s="3" t="s">
        <v>379</v>
      </c>
      <c r="I44" s="312">
        <f>I30+I31+I32</f>
        <v>8842</v>
      </c>
    </row>
    <row r="45" spans="2:10" ht="15" customHeight="1">
      <c r="B45" s="41" t="s">
        <v>375</v>
      </c>
      <c r="C45" s="182">
        <f>SUM(C32:C35)</f>
        <v>1500</v>
      </c>
      <c r="D45" s="183">
        <f>IF(E45=0,0,E45/C45)</f>
        <v>0.3</v>
      </c>
      <c r="E45" s="51">
        <f>SUM(E32:E35)</f>
        <v>450</v>
      </c>
      <c r="F45" s="233"/>
      <c r="G45" s="6"/>
    </row>
    <row r="46" spans="2:10" ht="15" customHeight="1">
      <c r="B46" s="41" t="s">
        <v>376</v>
      </c>
      <c r="C46" s="182">
        <f>C36+C37+C38+C39</f>
        <v>184134</v>
      </c>
      <c r="D46" s="183">
        <f t="shared" ref="D46:D47" si="6">IF(E46=0,0,E46/C46)</f>
        <v>0.2</v>
      </c>
      <c r="E46" s="51">
        <f>E36+E37+E38+E39</f>
        <v>36826.800000000003</v>
      </c>
      <c r="F46" s="6"/>
      <c r="G46" s="6"/>
      <c r="H46" s="41" t="s">
        <v>260</v>
      </c>
      <c r="I46" s="184">
        <f>(E44+E24)/D55</f>
        <v>151.15148331660814</v>
      </c>
      <c r="J46" s="13" t="str">
        <f>IF(I46&lt;1,"Liquidity Problem!","")</f>
        <v/>
      </c>
    </row>
    <row r="47" spans="2:10" ht="15" customHeight="1">
      <c r="B47" s="41" t="s">
        <v>377</v>
      </c>
      <c r="C47" s="182">
        <f>C40+C41+C42</f>
        <v>95384</v>
      </c>
      <c r="D47" s="183">
        <f t="shared" si="6"/>
        <v>0.79651042103497438</v>
      </c>
      <c r="E47" s="51">
        <f>E40+E41+E42</f>
        <v>75974.349999999991</v>
      </c>
      <c r="F47" s="6"/>
      <c r="G47" s="6"/>
      <c r="H47" s="41" t="s">
        <v>264</v>
      </c>
      <c r="I47" s="184">
        <f>(E44+E45+E24+E25)/$I$49</f>
        <v>5.1611147759838394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427049</v>
      </c>
      <c r="D48" s="310">
        <f>E48/C48</f>
        <v>0.33358549018965034</v>
      </c>
      <c r="E48" s="304">
        <f>SUM(E30:E42)</f>
        <v>142457.34999999998</v>
      </c>
      <c r="F48" s="6"/>
      <c r="G48" s="6"/>
      <c r="H48" s="308" t="s">
        <v>109</v>
      </c>
      <c r="I48" s="311">
        <v>17071</v>
      </c>
      <c r="J48" s="13"/>
    </row>
    <row r="49" spans="2:10" ht="15" customHeight="1" thickTop="1">
      <c r="B49" s="5" t="s">
        <v>367</v>
      </c>
      <c r="C49" s="182">
        <f>SUM(C44:C47)+C28</f>
        <v>3480450</v>
      </c>
      <c r="D49" s="149">
        <f>E49/C49</f>
        <v>0.79845646396299341</v>
      </c>
      <c r="E49" s="51">
        <f>E28+E48</f>
        <v>2778987.8000000003</v>
      </c>
      <c r="F49" s="6"/>
      <c r="G49" s="6"/>
      <c r="H49" s="5" t="s">
        <v>261</v>
      </c>
      <c r="I49" s="130">
        <f>I28+I48</f>
        <v>510856</v>
      </c>
      <c r="J49" s="6"/>
    </row>
    <row r="50" spans="2:10" ht="15" customHeight="1">
      <c r="C50" s="6"/>
      <c r="D50" s="6"/>
      <c r="E50" s="6"/>
      <c r="I50" s="6"/>
    </row>
    <row r="51" spans="2:10">
      <c r="B51" s="17" t="s">
        <v>110</v>
      </c>
      <c r="C51" s="17"/>
      <c r="D51" s="31"/>
    </row>
    <row r="52" spans="2:10">
      <c r="B52" s="105" t="s">
        <v>182</v>
      </c>
      <c r="C52" s="6"/>
      <c r="D52" s="282" t="str">
        <f>IF(E53=D4,"BV of the MI","P/B Approach")</f>
        <v>BV of the MI</v>
      </c>
      <c r="E52" s="6"/>
      <c r="F52" s="6"/>
      <c r="G52" s="6"/>
      <c r="H52" s="6"/>
      <c r="I52" s="6"/>
    </row>
    <row r="53" spans="2:10">
      <c r="B53" s="5" t="s">
        <v>181</v>
      </c>
      <c r="C53" s="51">
        <f>D4</f>
        <v>6603</v>
      </c>
      <c r="D53" s="54">
        <f>IF(E53=0, 0,E53/C53)</f>
        <v>1</v>
      </c>
      <c r="E53" s="51">
        <f>MAX(C53,C53*Dashboard!I10)</f>
        <v>6603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5.75" thickBot="1">
      <c r="B55" s="44" t="s">
        <v>221</v>
      </c>
      <c r="C55" s="5"/>
      <c r="D55" s="379">
        <f>D56+D57+D58</f>
        <v>15944</v>
      </c>
      <c r="E55" s="380"/>
      <c r="F55" s="5"/>
      <c r="G55" s="5"/>
      <c r="H55" s="6"/>
      <c r="I55" s="6"/>
    </row>
    <row r="56" spans="2:10" ht="15.75" thickTop="1">
      <c r="B56" s="37" t="s">
        <v>197</v>
      </c>
      <c r="C56" s="6"/>
      <c r="D56" s="376">
        <f>SUM(I11:I13)+SUM(I30:I32)</f>
        <v>15944</v>
      </c>
      <c r="E56" s="381"/>
      <c r="F56" s="5"/>
      <c r="G56" s="5"/>
      <c r="H56" s="6" t="s">
        <v>262</v>
      </c>
      <c r="I56" s="149">
        <f>D56/I3</f>
        <v>5.3810490818230637E-3</v>
      </c>
    </row>
    <row r="57" spans="2:10">
      <c r="B57" s="37" t="s">
        <v>112</v>
      </c>
      <c r="C57" s="6"/>
      <c r="D57" s="386">
        <v>0</v>
      </c>
      <c r="E57" s="339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6">
        <v>0</v>
      </c>
      <c r="E58" s="339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>
      <c r="B60" s="44" t="s">
        <v>115</v>
      </c>
      <c r="C60" s="5"/>
      <c r="D60" s="283" t="s">
        <v>338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398747</v>
      </c>
      <c r="D61" s="149">
        <f>IF(E61=0,0,E61/C61)</f>
        <v>0.45238158531600242</v>
      </c>
      <c r="E61" s="130">
        <f>E14+E15+(E19*G19)+(E20*G20)+E31+E32+(E33*G33)+(E35*G35)+(E36*G36)+(E37*G37)</f>
        <v>180385.80000000002</v>
      </c>
      <c r="F61" s="6"/>
      <c r="G61" s="6"/>
      <c r="H61" s="6"/>
      <c r="I61" s="6"/>
    </row>
    <row r="62" spans="2:10">
      <c r="B62" s="32" t="s">
        <v>78</v>
      </c>
      <c r="C62" s="192">
        <f>C11+C12+C30</f>
        <v>2465565</v>
      </c>
      <c r="D62" s="54">
        <f>IF(E62=0,0,E62/C62)</f>
        <v>0.96560141387471021</v>
      </c>
      <c r="E62" s="182">
        <f>E11+E12+E30</f>
        <v>2380753.0499999998</v>
      </c>
      <c r="F62" s="6"/>
      <c r="G62" s="6"/>
      <c r="H62" s="6"/>
      <c r="I62" s="6"/>
    </row>
    <row r="63" spans="2:10">
      <c r="B63" s="32" t="s">
        <v>116</v>
      </c>
      <c r="C63" s="6"/>
      <c r="D63" s="376">
        <f>((Dashboard!I6*Data!C4)+D55+E53-C61-C62)</f>
        <v>-828436.62751999986</v>
      </c>
      <c r="E63" s="376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4">
        <f>((C28-C11-C12-C14-C15-C16*G16-C19*G19-C20*G20)-I28)/Data!C7</f>
        <v>-0.10897632357366624</v>
      </c>
      <c r="E66" s="385"/>
      <c r="F66" s="6"/>
      <c r="G66" s="6"/>
      <c r="H66" s="6"/>
      <c r="I66" s="6"/>
    </row>
    <row r="67" spans="2:9" ht="15" customHeight="1">
      <c r="B67" s="3" t="s">
        <v>222</v>
      </c>
      <c r="C67" s="6"/>
      <c r="D67" s="382">
        <v>8.5599999999999996E-2</v>
      </c>
      <c r="E67" s="383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82">
        <v>0.15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9"/>
  <sheetViews>
    <sheetView showGridLines="0" zoomScaleNormal="100" zoomScalePageLayoutView="80" workbookViewId="0">
      <selection activeCell="G24" sqref="G24"/>
    </sheetView>
  </sheetViews>
  <sheetFormatPr defaultColWidth="12.42578125" defaultRowHeight="15" customHeight="1"/>
  <cols>
    <col min="1" max="1" width="2.42578125" style="3" customWidth="1"/>
    <col min="2" max="5" width="26.85546875" style="3" customWidth="1"/>
    <col min="6" max="9" width="22.7109375" style="3" customWidth="1"/>
    <col min="10" max="10" width="2.42578125" style="3" customWidth="1"/>
    <col min="11" max="11" width="87.42578125" style="3" customWidth="1"/>
    <col min="12" max="16384" width="12.42578125" style="3"/>
  </cols>
  <sheetData>
    <row r="1" spans="1:12" ht="15" customHeight="1">
      <c r="F1" s="6"/>
      <c r="G1" s="6"/>
      <c r="H1" s="6"/>
    </row>
    <row r="2" spans="1:12" ht="15.6" customHeight="1">
      <c r="A2" s="4"/>
      <c r="B2" s="56" t="s">
        <v>208</v>
      </c>
      <c r="C2" s="56"/>
      <c r="D2" s="56"/>
      <c r="E2" s="315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1000CNY)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 t="str">
        <f>IF(H9="","",EOMONTH(EDATE(G3,12),0))</f>
        <v/>
      </c>
      <c r="I3" s="194" t="str">
        <f>IF(I16="","",EOMONTH(EDATE(H3,12),0))</f>
        <v/>
      </c>
      <c r="K3" s="42" t="s">
        <v>117</v>
      </c>
    </row>
    <row r="4" spans="1:12" ht="15.75" customHeight="1">
      <c r="B4" s="118" t="s">
        <v>396</v>
      </c>
      <c r="C4" s="205"/>
      <c r="D4" s="205"/>
      <c r="E4" s="205">
        <v>1608309</v>
      </c>
      <c r="F4" s="205">
        <v>1296901</v>
      </c>
      <c r="G4" s="205">
        <f>F4*1.05</f>
        <v>1361746.05</v>
      </c>
      <c r="H4" s="206"/>
      <c r="I4" s="206"/>
      <c r="J4" s="6"/>
      <c r="K4" s="43"/>
      <c r="L4" s="36"/>
    </row>
    <row r="5" spans="1:12" ht="15.75" customHeight="1">
      <c r="B5" s="118" t="s">
        <v>397</v>
      </c>
      <c r="C5" s="196"/>
      <c r="D5" s="196"/>
      <c r="E5" s="196">
        <v>100817</v>
      </c>
      <c r="F5" s="196">
        <v>64283</v>
      </c>
      <c r="G5" s="196">
        <f>F5*1.05</f>
        <v>67497.150000000009</v>
      </c>
      <c r="H5" s="197"/>
      <c r="I5" s="197"/>
      <c r="J5" s="6"/>
      <c r="K5" s="43"/>
      <c r="L5" s="36"/>
    </row>
    <row r="6" spans="1:12" ht="15.75" customHeight="1">
      <c r="B6" s="118" t="s">
        <v>398</v>
      </c>
      <c r="C6" s="196"/>
      <c r="D6" s="196"/>
      <c r="E6" s="196">
        <v>52662</v>
      </c>
      <c r="F6" s="196">
        <v>76943</v>
      </c>
      <c r="G6" s="196">
        <f>F6*1.3</f>
        <v>100025.90000000001</v>
      </c>
      <c r="H6" s="197"/>
      <c r="I6" s="197"/>
      <c r="J6" s="6"/>
      <c r="K6" s="43"/>
      <c r="L6" s="36"/>
    </row>
    <row r="7" spans="1:12" ht="15.75" customHeight="1">
      <c r="B7" s="118" t="s">
        <v>343</v>
      </c>
      <c r="C7" s="196"/>
      <c r="D7" s="196"/>
      <c r="E7" s="196">
        <v>7369</v>
      </c>
      <c r="F7" s="196">
        <v>4067</v>
      </c>
      <c r="G7" s="196">
        <f>F7*1.2</f>
        <v>4880.3999999999996</v>
      </c>
      <c r="H7" s="197"/>
      <c r="I7" s="197"/>
      <c r="J7" s="6"/>
      <c r="K7" s="43"/>
      <c r="L7" s="36"/>
    </row>
    <row r="8" spans="1:12" ht="15.75" customHeight="1">
      <c r="B8" s="5" t="s">
        <v>118</v>
      </c>
      <c r="C8" s="198">
        <f>Data!F7</f>
        <v>1383402</v>
      </c>
      <c r="D8" s="198">
        <f>Data!E7</f>
        <v>1702154</v>
      </c>
      <c r="E8" s="198">
        <f>Data!D7</f>
        <v>1769157</v>
      </c>
      <c r="F8" s="198">
        <f>Data!C7</f>
        <v>1442194</v>
      </c>
      <c r="G8" s="200">
        <f>SUM(G4:G7)</f>
        <v>1534149.4999999998</v>
      </c>
      <c r="H8" s="200"/>
      <c r="I8" s="201"/>
      <c r="J8" s="6"/>
      <c r="K8" s="43"/>
      <c r="L8" s="36"/>
    </row>
    <row r="9" spans="1:12" ht="15.75" customHeight="1">
      <c r="B9" s="14" t="s">
        <v>345</v>
      </c>
      <c r="C9" s="285"/>
      <c r="D9" s="171">
        <f>D8/C8-1</f>
        <v>0.2304116952266948</v>
      </c>
      <c r="E9" s="171">
        <f>E8/D8-1</f>
        <v>3.9363653347464389E-2</v>
      </c>
      <c r="F9" s="171">
        <f>Data!C8</f>
        <v>-0.18481287980659711</v>
      </c>
      <c r="G9" s="149">
        <f>G8/F8-1</f>
        <v>6.3760839387766E-2</v>
      </c>
      <c r="H9" s="180"/>
      <c r="I9" s="180"/>
      <c r="J9" s="6"/>
      <c r="K9" s="43"/>
      <c r="L9" s="36"/>
    </row>
    <row r="10" spans="1:12" ht="15.75" customHeight="1">
      <c r="B10" s="8" t="s">
        <v>119</v>
      </c>
      <c r="C10" s="202">
        <f>Data!F9</f>
        <v>783542</v>
      </c>
      <c r="D10" s="202">
        <f>Data!E9</f>
        <v>959572</v>
      </c>
      <c r="E10" s="202">
        <f>Data!D9</f>
        <v>981731</v>
      </c>
      <c r="F10" s="202">
        <f>Data!C9</f>
        <v>842386</v>
      </c>
      <c r="G10" s="203">
        <f>664980/0.74</f>
        <v>898621.62162162166</v>
      </c>
      <c r="H10" s="204" t="str">
        <f>IF(H8="","",H8*(1-H11))</f>
        <v/>
      </c>
      <c r="I10" s="204" t="str">
        <f>IF(I8="","",I8*(1-I11))</f>
        <v/>
      </c>
      <c r="J10" s="6"/>
      <c r="K10" s="77"/>
      <c r="L10" s="1"/>
    </row>
    <row r="11" spans="1:12" ht="15.75" customHeight="1">
      <c r="B11" s="14" t="s">
        <v>44</v>
      </c>
      <c r="C11" s="96">
        <f t="shared" ref="C11:E11" si="0">(C8-C10)/C8</f>
        <v>0.43361221105651143</v>
      </c>
      <c r="D11" s="96">
        <f t="shared" si="0"/>
        <v>0.43626017387380928</v>
      </c>
      <c r="E11" s="96">
        <f t="shared" si="0"/>
        <v>0.44508542769239812</v>
      </c>
      <c r="F11" s="96">
        <f>(F8-F10)/F8</f>
        <v>0.41589966398417966</v>
      </c>
      <c r="G11" s="208">
        <f>1-G10/G8</f>
        <v>0.41425420298241999</v>
      </c>
      <c r="H11" s="208"/>
      <c r="I11" s="208"/>
      <c r="J11" s="6"/>
      <c r="K11" s="43"/>
    </row>
    <row r="12" spans="1:12" ht="15.75" customHeight="1">
      <c r="B12" s="5" t="s">
        <v>344</v>
      </c>
      <c r="C12" s="51">
        <f>C8-C10</f>
        <v>599860</v>
      </c>
      <c r="D12" s="51">
        <f t="shared" ref="D12:E12" si="1">D8-D10</f>
        <v>742582</v>
      </c>
      <c r="E12" s="51">
        <f t="shared" si="1"/>
        <v>787426</v>
      </c>
      <c r="F12" s="51">
        <f>F8-F10</f>
        <v>599808</v>
      </c>
      <c r="G12" s="51">
        <f>G8-G10</f>
        <v>635527.87837837811</v>
      </c>
      <c r="H12" s="51" t="str">
        <f>IF(H9="","",H8-H10)</f>
        <v/>
      </c>
      <c r="I12" s="51" t="str">
        <f>IF(I9="","",I8-I10)</f>
        <v/>
      </c>
      <c r="J12" s="6"/>
      <c r="K12" s="43"/>
    </row>
    <row r="13" spans="1:12" ht="15.75" customHeight="1">
      <c r="B13" s="14" t="s">
        <v>46</v>
      </c>
      <c r="C13" s="54">
        <f>C14/C8</f>
        <v>0.28671564736786559</v>
      </c>
      <c r="D13" s="54">
        <f t="shared" ref="D13:E13" si="2">D14/D8</f>
        <v>0.2682542237658872</v>
      </c>
      <c r="E13" s="54">
        <f t="shared" si="2"/>
        <v>0.39871532034748752</v>
      </c>
      <c r="F13" s="54">
        <f>F14/F8</f>
        <v>0.41535119408345894</v>
      </c>
      <c r="G13" s="207">
        <f>G14/G8</f>
        <v>0.43837401770622564</v>
      </c>
      <c r="H13" s="180"/>
      <c r="I13" s="180"/>
      <c r="J13" s="6"/>
      <c r="K13" s="43"/>
    </row>
    <row r="14" spans="1:12" ht="15.75" customHeight="1">
      <c r="B14" s="8" t="s">
        <v>120</v>
      </c>
      <c r="C14" s="198">
        <f>Data!F11</f>
        <v>396643</v>
      </c>
      <c r="D14" s="198">
        <f>Data!E11</f>
        <v>456610</v>
      </c>
      <c r="E14" s="198">
        <f>Data!D11</f>
        <v>705390</v>
      </c>
      <c r="F14" s="198">
        <f>Data!C11</f>
        <v>599017</v>
      </c>
      <c r="G14" s="161">
        <f>(264799+84581)/0.5195</f>
        <v>672531.28007699712</v>
      </c>
      <c r="H14" s="161"/>
      <c r="I14" s="161"/>
      <c r="J14" s="6"/>
      <c r="K14" s="43"/>
    </row>
    <row r="15" spans="1:12" ht="15.75" customHeight="1">
      <c r="B15" s="14" t="s">
        <v>47</v>
      </c>
      <c r="C15" s="166">
        <f t="shared" ref="C15:E15" si="3">C17/C8</f>
        <v>0.14689656368864581</v>
      </c>
      <c r="D15" s="166">
        <f t="shared" si="3"/>
        <v>0.16800595010792208</v>
      </c>
      <c r="E15" s="166">
        <f t="shared" si="3"/>
        <v>4.6370107344910601E-2</v>
      </c>
      <c r="F15" s="166">
        <f>F17/F8</f>
        <v>5.4846990072070743E-4</v>
      </c>
      <c r="G15" s="166">
        <f>G17/G8</f>
        <v>-2.4119814723805613E-2</v>
      </c>
      <c r="H15" s="166" t="str">
        <f>IF(H9="","",H17/H8)</f>
        <v/>
      </c>
      <c r="I15" s="166" t="str">
        <f>IF(I9="","",I17/I8)</f>
        <v/>
      </c>
      <c r="J15" s="6"/>
      <c r="K15" s="43"/>
      <c r="L15" s="36"/>
    </row>
    <row r="16" spans="1:12" ht="15.75" customHeight="1">
      <c r="B16" s="14" t="s">
        <v>121</v>
      </c>
      <c r="C16" s="285"/>
      <c r="D16" s="171">
        <f t="shared" ref="D16:E16" si="4">D17/C17-1</f>
        <v>0.40722478926467764</v>
      </c>
      <c r="E16" s="171">
        <f t="shared" si="4"/>
        <v>-0.71313275425566136</v>
      </c>
      <c r="F16" s="171">
        <f>F17/E17-1</f>
        <v>-0.99035789165732113</v>
      </c>
      <c r="G16" s="149" t="str">
        <f>IF(ABS(F17+G17)=ABS(F17)+ABS(G17),IF(G17&lt;0,-1,1)*(G17-F17)/F17,"Turn")</f>
        <v>Turn</v>
      </c>
      <c r="H16" s="149" t="str">
        <f>IF(H9="","",IF(ABS(G17+H17)=ABS(G17)+ABS(H17),IF(H17&lt;0,-1,1)*(H17-G17)/G17,"Turn"))</f>
        <v/>
      </c>
      <c r="I16" s="149" t="str">
        <f>IF(I9="","",IF(ABS(H17+I17)=ABS(H17)+ABS(I17),IF(I17&lt;0,-1,1)*(I17-H17)/H17,"Turn"))</f>
        <v/>
      </c>
      <c r="J16" s="6"/>
      <c r="K16" s="45"/>
      <c r="L16" s="46"/>
    </row>
    <row r="17" spans="2:12" ht="15.75" customHeight="1">
      <c r="B17" s="5" t="s">
        <v>207</v>
      </c>
      <c r="C17" s="154">
        <f t="shared" ref="C17:D17" si="5">C12-C14</f>
        <v>203217</v>
      </c>
      <c r="D17" s="154">
        <f t="shared" si="5"/>
        <v>285972</v>
      </c>
      <c r="E17" s="154">
        <f>E12-E14</f>
        <v>82036</v>
      </c>
      <c r="F17" s="154">
        <f>F12-F14</f>
        <v>791</v>
      </c>
      <c r="G17" s="154">
        <f>G12-G14</f>
        <v>-37003.401698619011</v>
      </c>
      <c r="H17" s="154" t="str">
        <f>IF(H9="","",H12-H14)</f>
        <v/>
      </c>
      <c r="I17" s="154" t="str">
        <f>IF(I9="","",I12-I14)</f>
        <v/>
      </c>
      <c r="J17" s="6"/>
      <c r="K17" s="47"/>
      <c r="L17" s="35"/>
    </row>
    <row r="18" spans="2:12" ht="15.75" customHeight="1">
      <c r="B18" s="209" t="s">
        <v>122</v>
      </c>
      <c r="C18" s="284"/>
      <c r="D18" s="284"/>
      <c r="E18" s="284"/>
      <c r="F18" s="211">
        <v>0.25</v>
      </c>
      <c r="G18" s="166">
        <f>IF(G17="","",F18)</f>
        <v>0.25</v>
      </c>
      <c r="H18" s="166" t="str">
        <f>IF(H17="","",G18)</f>
        <v/>
      </c>
      <c r="I18" s="166" t="str">
        <f>IF(I17="","",H18)</f>
        <v/>
      </c>
      <c r="K18" s="43"/>
    </row>
    <row r="19" spans="2:12" ht="15.75" customHeight="1">
      <c r="B19" s="14" t="s">
        <v>253</v>
      </c>
      <c r="C19" s="285"/>
      <c r="D19" s="285"/>
      <c r="E19" s="285"/>
      <c r="F19" s="171">
        <f>F20/F8</f>
        <v>4.1135242554053063E-4</v>
      </c>
      <c r="G19" s="149">
        <f>G20/G8</f>
        <v>-2.4119814723805613E-2</v>
      </c>
      <c r="H19" s="149" t="str">
        <f>IF(H8="","",H20/H8)</f>
        <v/>
      </c>
      <c r="I19" s="149" t="str">
        <f>IF(I8="","",I20/I8)</f>
        <v/>
      </c>
    </row>
    <row r="20" spans="2:12" ht="15.75" customHeight="1">
      <c r="B20" s="85" t="s">
        <v>69</v>
      </c>
      <c r="C20" s="286"/>
      <c r="D20" s="286"/>
      <c r="E20" s="286"/>
      <c r="F20" s="51">
        <f>IF(F17&lt;=0,F17,F17*(1-F18))</f>
        <v>593.25</v>
      </c>
      <c r="G20" s="210">
        <f>IF(G17="","",IF(G17&lt;=0,G17,G17*(1-G18)))</f>
        <v>-37003.401698619011</v>
      </c>
      <c r="H20" s="210" t="str">
        <f>IF(H17="","",IF(H17&lt;=0,H17,H17*(1-H18)))</f>
        <v/>
      </c>
      <c r="I20" s="210" t="str">
        <f>IF(I17="","",IF(I17&lt;=0,I17,I17*(1-I18)))</f>
        <v/>
      </c>
    </row>
    <row r="21" spans="2:12" ht="15.75" customHeight="1">
      <c r="B21" s="14" t="s">
        <v>333</v>
      </c>
      <c r="C21" s="287"/>
      <c r="D21" s="287"/>
      <c r="E21" s="287"/>
      <c r="F21" s="212">
        <f>Data!C35</f>
        <v>0</v>
      </c>
      <c r="G21" s="213">
        <f>IF(G9&lt;=0,0,(G8-F8)*Asset_Model!$D$67)</f>
        <v>7871.3907999999792</v>
      </c>
      <c r="H21" s="213" t="str">
        <f>IF(H8="","",IF(H9&lt;=0,0,(H8-G8)*Asset_Model!$D$67))</f>
        <v/>
      </c>
      <c r="I21" s="213" t="str">
        <f>IF(I8="","",IF(I9&lt;=0,0,(I8-H8)*Asset_Model!$D$67))</f>
        <v/>
      </c>
    </row>
    <row r="22" spans="2:12" ht="15.75" customHeight="1">
      <c r="B22" s="318" t="s">
        <v>400</v>
      </c>
      <c r="C22" s="319"/>
      <c r="D22" s="319">
        <v>14919</v>
      </c>
      <c r="E22" s="319">
        <v>30551</v>
      </c>
      <c r="F22" s="319">
        <v>32102</v>
      </c>
      <c r="G22" s="320">
        <f>F22</f>
        <v>32102</v>
      </c>
      <c r="H22" s="320"/>
      <c r="I22" s="320"/>
    </row>
    <row r="23" spans="2:12" ht="15.75" customHeight="1">
      <c r="B23" s="14" t="s">
        <v>401</v>
      </c>
      <c r="C23" s="288"/>
      <c r="D23" s="288"/>
      <c r="E23" s="288"/>
      <c r="F23" s="95">
        <f>Data!C33</f>
        <v>24700</v>
      </c>
      <c r="G23" s="161">
        <v>37925</v>
      </c>
      <c r="H23" s="161"/>
      <c r="I23" s="161" t="str">
        <f>IF(I15="","",IF(ABS(H24+I24)=ABS(H24)+ABS(I24),IF(I24&lt;0,-1,1)*(I24-H24)/H24,"Turn"))</f>
        <v/>
      </c>
    </row>
    <row r="24" spans="2:12" ht="15.75" customHeight="1">
      <c r="B24" s="85" t="s">
        <v>336</v>
      </c>
      <c r="C24" s="289"/>
      <c r="D24" s="289"/>
      <c r="E24" s="289"/>
      <c r="F24" s="214">
        <f>F21-F22+F23</f>
        <v>-7402</v>
      </c>
      <c r="G24" s="214">
        <f>IF(G15="","",G21-G22+G23)</f>
        <v>13694.390799999979</v>
      </c>
      <c r="H24" s="214" t="str">
        <f>IF(H15="","",H21-H22+H23)</f>
        <v/>
      </c>
      <c r="I24" s="214" t="str">
        <f>IF(I15="","",I21-I22+I23)</f>
        <v/>
      </c>
    </row>
    <row r="25" spans="2:12" ht="15.75" customHeight="1">
      <c r="B25" s="14" t="s">
        <v>331</v>
      </c>
      <c r="C25" s="285"/>
      <c r="D25" s="285"/>
      <c r="E25" s="285"/>
      <c r="F25" s="171">
        <f>AVERAGE(Data!C54:E54)</f>
        <v>0.39057414113288563</v>
      </c>
      <c r="G25" s="387"/>
      <c r="H25" s="388"/>
      <c r="I25" s="389"/>
    </row>
    <row r="26" spans="2:12" ht="15.75" customHeight="1">
      <c r="B26" s="84" t="s">
        <v>123</v>
      </c>
      <c r="C26" s="289"/>
      <c r="D26" s="289"/>
      <c r="E26" s="289"/>
      <c r="F26" s="214">
        <f>F20-F24</f>
        <v>7995.25</v>
      </c>
      <c r="G26" s="214">
        <f>G20-G24</f>
        <v>-50697.79249861899</v>
      </c>
      <c r="H26" s="214" t="str">
        <f>IF(H20="","",H20-H24)</f>
        <v/>
      </c>
      <c r="I26" s="214" t="str">
        <f>IF(I20="","",I20-I24)</f>
        <v/>
      </c>
    </row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</sheetData>
  <mergeCells count="1">
    <mergeCell ref="G25:I25"/>
  </mergeCells>
  <phoneticPr fontId="31" type="noConversion"/>
  <conditionalFormatting sqref="C22:G22">
    <cfRule type="containsBlanks" priority="2">
      <formula>LEN(TRIM(C22))=0</formula>
    </cfRule>
  </conditionalFormatting>
  <conditionalFormatting sqref="C22:I22">
    <cfRule type="containsBlanks" dxfId="14" priority="1">
      <formula>LEN(TRIM(C22))=0</formula>
    </cfRule>
  </conditionalFormatting>
  <conditionalFormatting sqref="G18:G20">
    <cfRule type="containsBlanks" dxfId="13" priority="24">
      <formula>LEN(TRIM(G18))=0</formula>
    </cfRule>
  </conditionalFormatting>
  <conditionalFormatting sqref="G25">
    <cfRule type="containsBlanks" dxfId="12" priority="13">
      <formula>LEN(TRIM(G25))=0</formula>
    </cfRule>
  </conditionalFormatting>
  <conditionalFormatting sqref="H9">
    <cfRule type="containsBlanks" dxfId="11" priority="5">
      <formula>LEN(TRIM(H9))=0</formula>
    </cfRule>
  </conditionalFormatting>
  <conditionalFormatting sqref="H9:H13">
    <cfRule type="containsBlanks" priority="6">
      <formula>LEN(TRIM(H9))=0</formula>
    </cfRule>
  </conditionalFormatting>
  <conditionalFormatting sqref="H10:H21">
    <cfRule type="containsBlanks" dxfId="10" priority="32">
      <formula>LEN(TRIM(H10))=0</formula>
    </cfRule>
  </conditionalFormatting>
  <conditionalFormatting sqref="H15:H17">
    <cfRule type="containsBlanks" priority="33">
      <formula>LEN(TRIM(H15))=0</formula>
    </cfRule>
  </conditionalFormatting>
  <conditionalFormatting sqref="H20:I20">
    <cfRule type="containsBlanks" dxfId="9" priority="26">
      <formula>LEN(TRIM(H20))=0</formula>
    </cfRule>
  </conditionalFormatting>
  <conditionalFormatting sqref="H21:I24">
    <cfRule type="containsBlanks" dxfId="8" priority="3">
      <formula>LEN(TRIM(H21))=0</formula>
    </cfRule>
    <cfRule type="containsBlanks" priority="4">
      <formula>LEN(TRIM(H21))=0</formula>
    </cfRule>
  </conditionalFormatting>
  <conditionalFormatting sqref="H26:I26">
    <cfRule type="containsBlanks" dxfId="7" priority="14">
      <formula>LEN(TRIM(H26))=0</formula>
    </cfRule>
    <cfRule type="containsBlanks" priority="15">
      <formula>LEN(TRIM(H26))=0</formula>
    </cfRule>
  </conditionalFormatting>
  <conditionalFormatting sqref="I9:I17">
    <cfRule type="containsBlanks" priority="29">
      <formula>LEN(TRIM(I9))=0</formula>
    </cfRule>
  </conditionalFormatting>
  <conditionalFormatting sqref="I9:I21">
    <cfRule type="containsBlanks" dxfId="6" priority="28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topLeftCell="A13" zoomScale="88" workbookViewId="0">
      <selection activeCell="P98" sqref="P98"/>
    </sheetView>
  </sheetViews>
  <sheetFormatPr defaultColWidth="8.85546875" defaultRowHeight="12.75"/>
  <cols>
    <col min="1" max="1" width="5" customWidth="1"/>
    <col min="2" max="2" width="23.28515625" customWidth="1"/>
    <col min="3" max="7" width="13.28515625" customWidth="1"/>
    <col min="8" max="19" width="12.7109375" customWidth="1"/>
  </cols>
  <sheetData>
    <row r="18" spans="2:19" ht="15.7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5">
      <c r="B19" s="3" t="s">
        <v>382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5">
      <c r="B20" s="3" t="s">
        <v>383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5">
      <c r="B21" s="3" t="s">
        <v>384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5">
      <c r="B22" s="3" t="s">
        <v>385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5">
      <c r="B23" s="3" t="s">
        <v>343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>
      <c r="B46" s="297" t="s">
        <v>346</v>
      </c>
    </row>
    <row r="47" spans="2:13" ht="15.7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>
      <c r="B71" s="297" t="s">
        <v>356</v>
      </c>
    </row>
    <row r="72" spans="2:13" ht="15.7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347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348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349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350</v>
      </c>
      <c r="J76" s="296"/>
      <c r="K76" s="296"/>
      <c r="L76" s="296"/>
      <c r="M76" s="296"/>
    </row>
    <row r="78" spans="2:13">
      <c r="B78" s="297" t="s">
        <v>355</v>
      </c>
    </row>
    <row r="79" spans="2:13" ht="15.7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353</v>
      </c>
      <c r="J80" s="295"/>
      <c r="K80" s="295"/>
      <c r="L80" s="295"/>
      <c r="M80" s="295"/>
    </row>
    <row r="81" spans="2:13">
      <c r="B81" s="292" t="s">
        <v>354</v>
      </c>
      <c r="J81" s="295"/>
      <c r="K81" s="295"/>
      <c r="L81" s="295"/>
      <c r="M81" s="295"/>
    </row>
    <row r="82" spans="2:13">
      <c r="B82" s="292" t="s">
        <v>352</v>
      </c>
      <c r="J82" s="296"/>
      <c r="K82" s="296"/>
      <c r="L82" s="296"/>
      <c r="M82" s="296"/>
    </row>
    <row r="103" spans="2:13" ht="15.7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357</v>
      </c>
      <c r="J104" s="298">
        <f>Data!F19</f>
        <v>185164</v>
      </c>
      <c r="K104" s="298">
        <f>Data!E19</f>
        <v>223781</v>
      </c>
      <c r="L104" s="298">
        <f>Data!D19</f>
        <v>92093</v>
      </c>
      <c r="M104" s="298">
        <f>Data!C19</f>
        <v>64730</v>
      </c>
    </row>
    <row r="105" spans="2:13">
      <c r="B105" t="s">
        <v>358</v>
      </c>
      <c r="J105" s="298">
        <f>Data!F33</f>
        <v>38500</v>
      </c>
      <c r="K105" s="298">
        <f>Data!E33</f>
        <v>30500</v>
      </c>
      <c r="L105" s="298">
        <f>Data!D33</f>
        <v>58000</v>
      </c>
      <c r="M105" s="298">
        <f>Data!C33</f>
        <v>24700</v>
      </c>
    </row>
    <row r="106" spans="2:13">
      <c r="B106" t="s">
        <v>359</v>
      </c>
      <c r="J106" s="298">
        <f>Data!F40</f>
        <v>220950</v>
      </c>
      <c r="K106" s="298">
        <f>Data!E40</f>
        <v>221311</v>
      </c>
      <c r="L106" s="298">
        <f>Data!D40</f>
        <v>58667</v>
      </c>
      <c r="M106" s="298">
        <f>Data!C40</f>
        <v>96133</v>
      </c>
    </row>
    <row r="107" spans="2:13">
      <c r="B107" t="s">
        <v>360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>
      <c r="B108" t="s">
        <v>362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0</v>
      </c>
    </row>
    <row r="111" spans="2:13">
      <c r="B111" t="s">
        <v>364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365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366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honeticPr fontId="3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D15" sqref="D15"/>
    </sheetView>
  </sheetViews>
  <sheetFormatPr defaultColWidth="12.42578125" defaultRowHeight="15" customHeight="1"/>
  <cols>
    <col min="1" max="1" width="2.42578125" style="3" customWidth="1"/>
    <col min="2" max="2" width="26.85546875" style="3" customWidth="1"/>
    <col min="3" max="7" width="22.7109375" style="3" customWidth="1"/>
    <col min="8" max="8" width="2.42578125" style="3" customWidth="1"/>
    <col min="9" max="9" width="68.42578125" style="3" bestFit="1" customWidth="1"/>
    <col min="10" max="16384" width="12.4257812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326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1000CNY)</v>
      </c>
      <c r="C3" s="194">
        <f>Projections!F3</f>
        <v>44926</v>
      </c>
      <c r="D3" s="194">
        <f>Projections!G3</f>
        <v>45291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69</v>
      </c>
      <c r="C4" s="242">
        <f>IF(B4="NOPAT",Projections!F20,Projections!F8)</f>
        <v>593.25</v>
      </c>
      <c r="D4" s="243">
        <f>IF(B4="NOPAT",Projections!G20,Projections!G8)</f>
        <v>-37003.401698619011</v>
      </c>
      <c r="E4" s="243" t="str">
        <f>IF(OR(Projections!H8="",E3=""),"",IF(B4="NOPAT",Projections!H20,Projections!H8))</f>
        <v/>
      </c>
      <c r="F4" s="243" t="str">
        <f>IF(Projections!I8="","",IF(B4="NOPAT",Projections!I20,Projections!I8))</f>
        <v/>
      </c>
      <c r="G4" s="244"/>
      <c r="H4" s="6"/>
      <c r="I4" s="47"/>
      <c r="J4" s="35"/>
    </row>
    <row r="5" spans="1:10" ht="15.75" customHeight="1">
      <c r="B5" s="14" t="str">
        <f>B4&amp;" Growth rate"</f>
        <v>NOPAT Growth rate</v>
      </c>
      <c r="C5" s="102"/>
      <c r="D5" s="241">
        <f>D4/C4-1</f>
        <v>-63.374044161178276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Reinvestment/NOPAT</v>
      </c>
      <c r="C6" s="171">
        <f>C7/C4</f>
        <v>-12.477033291192583</v>
      </c>
      <c r="D6" s="171">
        <f>IFD7/D4</f>
        <v>0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Projections!F24</f>
        <v>-7402</v>
      </c>
      <c r="D7" s="313">
        <f>Projections!G24</f>
        <v>13694.390799999979</v>
      </c>
      <c r="E7" s="247" t="str">
        <f>Projections!H24</f>
        <v/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IF(C4="","",Projections!F20-C7)</f>
        <v>7995.25</v>
      </c>
      <c r="D8" s="210">
        <f>Projections!G20-D7</f>
        <v>-50697.79249861899</v>
      </c>
      <c r="E8" s="210" t="str">
        <f>IF(E4="","",Projections!H20-E7)</f>
        <v/>
      </c>
      <c r="F8" s="210" t="str">
        <f>IF(F4="","",Projections!I20-F7)</f>
        <v/>
      </c>
      <c r="G8" s="316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5.9964522752584066E-3</v>
      </c>
      <c r="D9" s="248">
        <f>D8/(Common_Shares/Data!$C$4)</f>
        <v>-3.802343806371563E-2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INDEX(D9:F9,Projections!E2)</f>
        <v>-3.802343806371563E-2</v>
      </c>
      <c r="H9" s="49"/>
      <c r="I9" s="35"/>
      <c r="J9" s="35"/>
    </row>
    <row r="10" spans="1:10" ht="15.75" customHeight="1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0.08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1.08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1000CNY)</v>
      </c>
      <c r="E14" s="42" t="s">
        <v>191</v>
      </c>
    </row>
    <row r="15" spans="1:10" ht="15.75" customHeight="1">
      <c r="B15" s="37" t="s">
        <v>201</v>
      </c>
      <c r="C15" s="51">
        <f>Asset_Model!E62</f>
        <v>2380753.0499999998</v>
      </c>
      <c r="D15" s="106">
        <f>C15/(Dashboard!I5/Data!C4)</f>
        <v>1.785569187142477</v>
      </c>
      <c r="E15" s="52" t="s">
        <v>199</v>
      </c>
      <c r="G15" s="199">
        <f>C15+C16+C17+C18</f>
        <v>2538591.8499999996</v>
      </c>
    </row>
    <row r="16" spans="1:10" ht="15.75" customHeight="1">
      <c r="B16" s="37" t="s">
        <v>205</v>
      </c>
      <c r="C16" s="51">
        <f>Asset_Model!E61</f>
        <v>180385.80000000002</v>
      </c>
      <c r="D16" s="106">
        <f>C16/(Dashboard!I5/Data!C4)</f>
        <v>0.1352896833537798</v>
      </c>
      <c r="E16" s="52" t="s">
        <v>274</v>
      </c>
      <c r="G16" s="264">
        <f>(G15+MIN(D4,0))*Data!C$4/Dashboard!I5</f>
        <v>1.876195959172879</v>
      </c>
    </row>
    <row r="17" spans="1:9" ht="15.75" customHeight="1">
      <c r="B17" s="37" t="s">
        <v>192</v>
      </c>
      <c r="C17" s="51">
        <f>-Asset_Model!D55</f>
        <v>-15944</v>
      </c>
      <c r="D17" s="106">
        <f>C17/(Dashboard!I5/Data!C4)</f>
        <v>-1.1958029464584602E-2</v>
      </c>
      <c r="E17" s="355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-6603</v>
      </c>
      <c r="D18" s="106">
        <f>C18/(Dashboard!I5/Data!C4)</f>
        <v>-4.952262202374067E-3</v>
      </c>
      <c r="E18" s="355"/>
      <c r="F18" s="89">
        <f>D15+(MIN(D4,0)*Data!C$4/Dashboard!I5)</f>
        <v>1.757816567486058</v>
      </c>
      <c r="G18" s="88">
        <f>SUM(D16:D18)</f>
        <v>0.11837939168682114</v>
      </c>
    </row>
    <row r="19" spans="1:9" ht="15.75" customHeight="1">
      <c r="F19" s="6"/>
      <c r="G19" s="6"/>
    </row>
    <row r="20" spans="1:9" ht="15.75" customHeight="1">
      <c r="B20" s="20" t="s">
        <v>325</v>
      </c>
      <c r="C20" s="100" t="str">
        <f>B3</f>
        <v>(Numbers in 1000CNY)</v>
      </c>
      <c r="E20" s="390" t="s">
        <v>195</v>
      </c>
      <c r="F20" s="390"/>
      <c r="G20" s="60"/>
    </row>
    <row r="21" spans="1:9" ht="15.75" customHeight="1">
      <c r="B21" s="81" t="str">
        <f>"TV after Year "&amp;Projections!E2</f>
        <v>TV after Year 1</v>
      </c>
      <c r="C21" s="265" t="s">
        <v>189</v>
      </c>
      <c r="D21" s="38" t="s">
        <v>322</v>
      </c>
      <c r="E21" s="266" t="s">
        <v>194</v>
      </c>
      <c r="F21" s="108" t="str">
        <f>"Equity Value ("&amp;Dashboard!I11&amp;")"</f>
        <v>Equity Value (CNY)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5</v>
      </c>
      <c r="D22" s="268"/>
      <c r="E22" s="239">
        <f>IF(D22="",IF(G9&lt;0,G9,G9*C22/G11),D22)</f>
        <v>-3.802343806371563E-2</v>
      </c>
      <c r="F22" s="239">
        <f>SUM(D12:F12)+E22+$G$16</f>
        <v>1.8381725211091633</v>
      </c>
      <c r="G22" s="271">
        <f>F22*Exchange_Rate</f>
        <v>2.0353527074567204</v>
      </c>
      <c r="I22" s="43"/>
    </row>
    <row r="23" spans="1:9" ht="15.75" customHeight="1">
      <c r="B23" s="132" t="s">
        <v>249</v>
      </c>
      <c r="C23" s="269">
        <v>8</v>
      </c>
      <c r="D23" s="270"/>
      <c r="E23" s="98">
        <f>IF(D23="",IF(G9&lt;0,G9,G9*C23/G11),D23)</f>
        <v>-3.802343806371563E-2</v>
      </c>
      <c r="F23" s="98">
        <f>SUM(D12:F12)+E23+$G$16</f>
        <v>1.8381725211091633</v>
      </c>
      <c r="G23" s="272">
        <f>F23*Exchange_Rate</f>
        <v>2.0353527074567204</v>
      </c>
      <c r="I23" s="43"/>
    </row>
    <row r="24" spans="1:9" ht="15.6" customHeight="1">
      <c r="C24" s="6"/>
      <c r="D24" s="6"/>
      <c r="E24" s="391" t="s">
        <v>330</v>
      </c>
      <c r="F24" s="392"/>
      <c r="G24" s="143">
        <f>MIN(G22,G23)+ABS(G22-G23)*Qualitative_Analysis!$E$64</f>
        <v>2.0353527074567204</v>
      </c>
    </row>
    <row r="25" spans="1:9" ht="15.75" customHeight="1"/>
    <row r="26" spans="1:9" ht="15.75" customHeight="1">
      <c r="A26" s="4"/>
      <c r="B26" s="56" t="s">
        <v>296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>
      <c r="B27" s="21" t="str">
        <f>B3</f>
        <v>(Numbers in 1000CNY)</v>
      </c>
      <c r="C27" s="194">
        <f>C3</f>
        <v>44926</v>
      </c>
      <c r="D27" s="194">
        <f>D3</f>
        <v>45291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318</v>
      </c>
    </row>
    <row r="28" spans="1:9" ht="15.75" customHeight="1">
      <c r="B28" s="5" t="s">
        <v>123</v>
      </c>
      <c r="C28" s="51">
        <f>C8</f>
        <v>7995.25</v>
      </c>
      <c r="D28" s="51">
        <f>D8</f>
        <v>-50697.79249861899</v>
      </c>
      <c r="E28" s="51" t="str">
        <f>E8</f>
        <v/>
      </c>
      <c r="F28" s="51" t="str">
        <f>F8</f>
        <v/>
      </c>
      <c r="G28" s="161"/>
      <c r="I28" s="43" t="s">
        <v>315</v>
      </c>
    </row>
    <row r="29" spans="1:9" ht="15.75" customHeight="1">
      <c r="B29" s="141" t="s">
        <v>297</v>
      </c>
      <c r="C29" s="180">
        <f>5.31095%+1.8%</f>
        <v>7.1109500000000006E-2</v>
      </c>
      <c r="D29" s="207">
        <v>0.06</v>
      </c>
      <c r="E29" s="180"/>
      <c r="F29" s="207"/>
      <c r="G29" s="207"/>
      <c r="I29" s="43"/>
    </row>
    <row r="30" spans="1:9" ht="15.75" customHeight="1">
      <c r="B30" s="141" t="s">
        <v>306</v>
      </c>
      <c r="C30" s="95">
        <f>MAX(Asset_Model!D55,0)</f>
        <v>15944</v>
      </c>
      <c r="D30" s="150">
        <f>C30</f>
        <v>15944</v>
      </c>
      <c r="E30" s="161"/>
      <c r="F30" s="161"/>
      <c r="G30" s="161"/>
      <c r="I30" s="43" t="s">
        <v>307</v>
      </c>
    </row>
    <row r="31" spans="1:9" ht="15.75" customHeight="1">
      <c r="B31" s="141" t="s">
        <v>311</v>
      </c>
      <c r="C31" s="171">
        <f>Projections!F18</f>
        <v>0.25</v>
      </c>
      <c r="D31" s="171">
        <f>Projections!G18</f>
        <v>0.25</v>
      </c>
      <c r="E31" s="171" t="str">
        <f>Projections!H18</f>
        <v/>
      </c>
      <c r="F31" s="171" t="str">
        <f>Projections!I18</f>
        <v/>
      </c>
      <c r="G31" s="171"/>
      <c r="I31" s="43"/>
    </row>
    <row r="32" spans="1:9" ht="15.75" customHeight="1" thickBot="1">
      <c r="B32" s="142" t="s">
        <v>310</v>
      </c>
      <c r="C32" s="276">
        <f>C30*(C29*(1-Projections!F18))</f>
        <v>850.32740100000012</v>
      </c>
      <c r="D32" s="276">
        <f>(D30*D29)*(1-D31)</f>
        <v>717.48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298</v>
      </c>
      <c r="C33" s="51">
        <f>C28-C32</f>
        <v>7144.9225989999995</v>
      </c>
      <c r="D33" s="210">
        <f>D28-D32</f>
        <v>-51415.272498618993</v>
      </c>
      <c r="E33" s="210" t="str">
        <f>IF(E28="","",E28-E32)</f>
        <v/>
      </c>
      <c r="F33" s="210" t="str">
        <f>IF(F28="","",F28-F32)</f>
        <v/>
      </c>
      <c r="G33" s="317"/>
      <c r="I33" s="43" t="s">
        <v>302</v>
      </c>
    </row>
    <row r="34" spans="1:9" ht="15.75" customHeight="1">
      <c r="B34" s="120" t="s">
        <v>299</v>
      </c>
      <c r="C34" s="139">
        <f>C33/(Common_Shares/Data!$C$4)</f>
        <v>5.3587051530994967E-3</v>
      </c>
      <c r="D34" s="245">
        <f>D33/(Common_Shares/Data!$C$4)</f>
        <v>-3.8561549389621939E-2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-3.8561549389621939E-2</v>
      </c>
      <c r="H34" s="6"/>
      <c r="I34" s="43"/>
    </row>
    <row r="35" spans="1:9" ht="15.75" customHeight="1">
      <c r="B35" s="141" t="s">
        <v>304</v>
      </c>
      <c r="C35" s="273">
        <f>Dashboard!C31</f>
        <v>1.65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0.08</v>
      </c>
      <c r="I35" s="43"/>
    </row>
    <row r="36" spans="1:9" ht="15.75" customHeight="1" thickBot="1">
      <c r="B36" s="142" t="s">
        <v>303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0.13200000000000001</v>
      </c>
      <c r="H36" s="6"/>
      <c r="I36" s="43"/>
    </row>
    <row r="37" spans="1:9" ht="15.75" customHeight="1" thickTop="1">
      <c r="B37" s="5" t="s">
        <v>300</v>
      </c>
      <c r="C37" s="274">
        <f>Qualitative_Analysis!E64^2</f>
        <v>0.19437901337405711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-0.17056154938962195</v>
      </c>
      <c r="I37" s="43" t="s">
        <v>301</v>
      </c>
    </row>
    <row r="38" spans="1:9" ht="15.75" customHeight="1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IF(F34="",IF(E34="",1,D38),E38)*(1+G35)*(1+G35-C37)</f>
        <v>0.95647066555601856</v>
      </c>
      <c r="I38" s="43"/>
    </row>
    <row r="39" spans="1:9" ht="15.75" customHeight="1">
      <c r="B39" s="85" t="s">
        <v>309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-0.17832386871004619</v>
      </c>
      <c r="I39" s="43"/>
    </row>
    <row r="40" spans="1:9" ht="15.75" customHeight="1">
      <c r="B40" s="20" t="s">
        <v>328</v>
      </c>
      <c r="C40" s="6"/>
      <c r="D40" s="6"/>
      <c r="E40" s="393" t="s">
        <v>319</v>
      </c>
      <c r="F40" s="323"/>
      <c r="G40" s="280">
        <f>Asset_Model!D7</f>
        <v>1.878096338232472</v>
      </c>
    </row>
    <row r="41" spans="1:9" ht="15.75" customHeight="1">
      <c r="C41" s="6"/>
      <c r="D41" s="6"/>
      <c r="E41" s="391" t="s">
        <v>305</v>
      </c>
      <c r="F41" s="391"/>
      <c r="G41" s="281">
        <f ca="1">MAX((G40+SUM(D39:G39))*Exchange_Rate,0)</f>
        <v>1.8821065260051335</v>
      </c>
    </row>
    <row r="42" spans="1:9" ht="15.75" customHeight="1"/>
    <row r="43" spans="1:9" ht="15.75" customHeight="1">
      <c r="A43" s="4"/>
      <c r="B43" s="254" t="s">
        <v>329</v>
      </c>
      <c r="C43" s="6"/>
      <c r="D43" s="6"/>
      <c r="E43" s="22" t="s">
        <v>189</v>
      </c>
      <c r="F43" s="22" t="s">
        <v>323</v>
      </c>
      <c r="G43" s="22" t="s">
        <v>324</v>
      </c>
      <c r="H43" s="84"/>
      <c r="I43" s="104"/>
    </row>
    <row r="44" spans="1:9" ht="15.75" customHeight="1">
      <c r="B44" s="76" t="s">
        <v>278</v>
      </c>
      <c r="C44" s="261">
        <f ca="1">MIN(G24,G41)+ABS(G24-G41)*Qualitative_Analysis!$E$8</f>
        <v>1.9801840821341492</v>
      </c>
      <c r="D44" s="262" t="str">
        <f>Dashboard!J4</f>
        <v>HKD</v>
      </c>
      <c r="E44" s="263">
        <f ca="1">(C44-G16)/C9</f>
        <v>17.341607701995603</v>
      </c>
      <c r="F44" s="263">
        <f ca="1">C44/(Data!C29*Exchange_Rate*Data!C4/Common_Shares)</f>
        <v>0.8456217332369792</v>
      </c>
      <c r="G44" s="263">
        <f ca="1">C44/(Data!C7*Data!C4*Exchange_Rate/Common_Shares)</f>
        <v>1.6533550928166647</v>
      </c>
      <c r="I44" s="43"/>
    </row>
    <row r="45" spans="1:9" ht="15.75" customHeight="1">
      <c r="B45" s="6" t="s">
        <v>312</v>
      </c>
      <c r="C45" s="255">
        <f>Asset_Model!I3*Exchange_Rate*Data!C4/Common_Shares*0.96</f>
        <v>2.3622034994306231</v>
      </c>
      <c r="D45" s="256" t="str">
        <f>D44</f>
        <v>HKD</v>
      </c>
      <c r="E45" s="223">
        <f>(C45-G16)/C9</f>
        <v>81.049180073195956</v>
      </c>
      <c r="F45" s="223">
        <f>C45/(Asset_Model!I3*Exchange_Rate*Data!C4/Common_Shares)</f>
        <v>0.96</v>
      </c>
      <c r="G45" s="223">
        <f>C45/(Data!C7*Data!C4*Exchange_Rate/Common_Shares)</f>
        <v>1.9723222811910184</v>
      </c>
      <c r="I45" s="43" t="s">
        <v>394</v>
      </c>
    </row>
    <row r="46" spans="1:9" ht="15.75" customHeight="1">
      <c r="B46" s="257" t="s">
        <v>313</v>
      </c>
      <c r="C46" s="258">
        <f ca="1">MIN(C45,C44)+ABS(C45-C44)*Qualitative_Analysis!E64</f>
        <v>2.148610466045608</v>
      </c>
      <c r="D46" s="256" t="str">
        <f>D45</f>
        <v>HKD</v>
      </c>
      <c r="E46" s="223">
        <f ca="1">(C46-G16)/C9</f>
        <v>45.42927957531186</v>
      </c>
      <c r="F46" s="223">
        <f ca="1">C46/(Asset_Model!I3*Exchange_Rate*Data!C4/Common_Shares)</f>
        <v>0.87319574621786866</v>
      </c>
      <c r="G46" s="223">
        <f ca="1">C46/(Data!C7*Data!C4*Exchange_Rate/Common_Shares)</f>
        <v>1.7939827355278337</v>
      </c>
    </row>
    <row r="47" spans="1:9" ht="15.75" customHeight="1">
      <c r="B47" s="84" t="s">
        <v>279</v>
      </c>
      <c r="C47" s="259">
        <f ca="1">MAX(G41,C44)/(1+Dashboard!I14)</f>
        <v>1.5841472657073195</v>
      </c>
      <c r="D47" s="260" t="str">
        <f>D45</f>
        <v>HKD</v>
      </c>
      <c r="E47" s="224">
        <f ca="1">(C47-G16)/C9</f>
        <v>-48.703580060257245</v>
      </c>
      <c r="F47" s="224">
        <f ca="1">C47/(Asset_Model!I3*Exchange_Rate*Data!C4/Common_Shares)</f>
        <v>0.64379778264048382</v>
      </c>
      <c r="G47" s="224">
        <f ca="1">C47/(Data!C7*Data!C4*Exchange_Rate/Common_Shares)</f>
        <v>1.3226840742533319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8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2">
      <formula>LEN(TRIM(E28))=0</formula>
    </cfRule>
  </conditionalFormatting>
  <conditionalFormatting sqref="G28:G32">
    <cfRule type="containsBlanks" dxfId="0" priority="9">
      <formula>LEN(TRIM(G28))=0</formula>
    </cfRule>
  </conditionalFormatting>
  <dataValidations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G3" sqref="G3"/>
    </sheetView>
  </sheetViews>
  <sheetFormatPr defaultColWidth="12.42578125" defaultRowHeight="15" customHeight="1"/>
  <cols>
    <col min="1" max="1" width="2.42578125" style="3" customWidth="1"/>
    <col min="2" max="2" width="62.42578125" style="3" customWidth="1"/>
    <col min="3" max="3" width="28.7109375" style="3" customWidth="1"/>
    <col min="4" max="4" width="10.7109375" style="3" customWidth="1"/>
    <col min="5" max="5" width="28.7109375" style="3" customWidth="1"/>
    <col min="6" max="6" width="5.7109375" style="3" customWidth="1"/>
    <col min="7" max="7" width="73.85546875" style="3" customWidth="1"/>
    <col min="8" max="16384" width="12.42578125" style="3"/>
  </cols>
  <sheetData>
    <row r="2" spans="1:7" ht="15.75">
      <c r="A2" s="4"/>
      <c r="B2" s="11" t="s">
        <v>126</v>
      </c>
      <c r="C2" s="59"/>
      <c r="D2" s="12"/>
      <c r="E2" s="6"/>
      <c r="G2" s="42" t="s">
        <v>117</v>
      </c>
    </row>
    <row r="3" spans="1:7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/>
    </row>
    <row r="4" spans="1:7">
      <c r="B4" s="6" t="s">
        <v>233</v>
      </c>
      <c r="C4" s="60"/>
      <c r="D4" s="58">
        <f t="shared" ref="D4" si="0">IF(E4="Strongly disagree",0,IF(E4="disagree",1,IF(E4="unclear",2,IF(E4="agree",3,4))))</f>
        <v>4</v>
      </c>
      <c r="E4" s="175" t="s">
        <v>137</v>
      </c>
      <c r="G4" s="45"/>
    </row>
    <row r="5" spans="1:7">
      <c r="B5" s="6" t="s">
        <v>228</v>
      </c>
      <c r="C5" s="60"/>
      <c r="D5" s="58">
        <f>AVERAGE(D12:D16)</f>
        <v>1.6</v>
      </c>
      <c r="E5" s="170" t="str">
        <f>IF(D5&gt;=3.5,"Strongly agree",IF(D5&gt;=2.5,"agree",IF(D5&gt;=1.5,"unclear",IF(D5&gt;=0.5,"disagree","Strongly disagree"))))</f>
        <v>unclear</v>
      </c>
      <c r="G5" s="45"/>
    </row>
    <row r="6" spans="1:7">
      <c r="B6" s="6" t="s">
        <v>229</v>
      </c>
      <c r="C6" s="60"/>
      <c r="D6" s="58">
        <f>AVERAGE(D24:D28)</f>
        <v>2.2000000000000002</v>
      </c>
      <c r="E6" s="170" t="str">
        <f>IF(D6&gt;=3.5,"Strongly agree",IF(D6&gt;=2.5,"agree",IF(D6&gt;=1.5,"unclear",IF(D6&gt;=0.5,"disagree","Strongly disagree"))))</f>
        <v>unclear</v>
      </c>
      <c r="G6" s="45"/>
    </row>
    <row r="7" spans="1:7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>
      <c r="B8" s="61" t="s">
        <v>129</v>
      </c>
      <c r="C8" s="60"/>
      <c r="D8" s="58">
        <f>AVERAGE(D3:D7)</f>
        <v>2.56</v>
      </c>
      <c r="E8" s="215">
        <f>D8/4</f>
        <v>0.64</v>
      </c>
      <c r="G8" s="45"/>
    </row>
    <row r="9" spans="1:7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1</v>
      </c>
      <c r="E12" s="175" t="s">
        <v>135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2</v>
      </c>
      <c r="E13" s="175" t="s">
        <v>127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1</v>
      </c>
      <c r="E14" s="175" t="s">
        <v>135</v>
      </c>
      <c r="F14" s="6"/>
      <c r="G14" s="119"/>
    </row>
    <row r="15" spans="1:7" ht="15" customHeight="1">
      <c r="B15" s="32" t="s">
        <v>134</v>
      </c>
      <c r="D15" s="63">
        <f>IF(E15="Strongly disagree",0,IF(E15="disagree",1,IF(E15="unclear",2,IF(E15="agree",3,4))))</f>
        <v>1</v>
      </c>
      <c r="E15" s="175" t="s">
        <v>135</v>
      </c>
      <c r="F15" s="6"/>
      <c r="G15" s="119"/>
    </row>
    <row r="16" spans="1:7" ht="15" customHeight="1">
      <c r="B16" s="32" t="s">
        <v>136</v>
      </c>
      <c r="D16" s="63">
        <f>IF(E16="Strongly disagree",0,IF(E16="disagree",1,IF(E16="unclear",2,IF(E16="agree",3,4))))</f>
        <v>3</v>
      </c>
      <c r="E16" s="175" t="s">
        <v>128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1</v>
      </c>
      <c r="E19" s="175" t="s">
        <v>135</v>
      </c>
      <c r="F19" s="6"/>
      <c r="G19" s="119"/>
    </row>
    <row r="20" spans="2:7" ht="15" customHeight="1">
      <c r="B20" s="32" t="s">
        <v>140</v>
      </c>
      <c r="D20" s="63">
        <f t="shared" si="1"/>
        <v>1</v>
      </c>
      <c r="E20" s="175" t="s">
        <v>135</v>
      </c>
      <c r="F20" s="6"/>
      <c r="G20" s="119"/>
    </row>
    <row r="21" spans="2:7" ht="15" customHeight="1">
      <c r="B21" s="32" t="s">
        <v>141</v>
      </c>
      <c r="D21" s="63">
        <f t="shared" si="1"/>
        <v>0</v>
      </c>
      <c r="E21" s="175" t="s">
        <v>150</v>
      </c>
      <c r="F21" s="6"/>
      <c r="G21" s="119"/>
    </row>
    <row r="22" spans="2:7" ht="15" customHeight="1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3</v>
      </c>
      <c r="E24" s="175" t="s">
        <v>128</v>
      </c>
      <c r="F24" s="6"/>
      <c r="G24" s="119"/>
    </row>
    <row r="25" spans="2:7" ht="15" customHeight="1">
      <c r="B25" s="32" t="s">
        <v>145</v>
      </c>
      <c r="D25" s="63">
        <f t="shared" si="2"/>
        <v>2</v>
      </c>
      <c r="E25" s="175" t="s">
        <v>127</v>
      </c>
      <c r="F25" s="6"/>
      <c r="G25" s="119"/>
    </row>
    <row r="26" spans="2:7" ht="15" customHeight="1">
      <c r="B26" s="32" t="s">
        <v>234</v>
      </c>
      <c r="D26" s="63">
        <f t="shared" si="2"/>
        <v>2</v>
      </c>
      <c r="E26" s="175" t="s">
        <v>127</v>
      </c>
      <c r="F26" s="6"/>
      <c r="G26" s="119"/>
    </row>
    <row r="27" spans="2:7" ht="15" customHeight="1">
      <c r="B27" s="32" t="s">
        <v>235</v>
      </c>
      <c r="D27" s="63">
        <f t="shared" si="2"/>
        <v>2</v>
      </c>
      <c r="E27" s="175" t="s">
        <v>127</v>
      </c>
      <c r="F27" s="6"/>
      <c r="G27" s="119"/>
    </row>
    <row r="28" spans="2:7" ht="15" customHeight="1">
      <c r="B28" s="32" t="s">
        <v>146</v>
      </c>
      <c r="D28" s="63">
        <f t="shared" si="2"/>
        <v>2</v>
      </c>
      <c r="E28" s="175" t="s">
        <v>127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0.5</v>
      </c>
      <c r="E30" s="18" t="str">
        <f>IF(D30&gt;80%,"Very High",IF(D30&lt;=20%,"Very Low",IF(D30&lt;=40%,"Low",IF(D30&lt;=60%,"Medium","High"))))</f>
        <v>Medium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1</v>
      </c>
      <c r="E31" s="175" t="s">
        <v>135</v>
      </c>
      <c r="F31" s="6"/>
      <c r="G31" s="119"/>
    </row>
    <row r="32" spans="2:7" ht="15" customHeight="1">
      <c r="B32" s="32" t="s">
        <v>236</v>
      </c>
      <c r="D32" s="63">
        <f t="shared" si="3"/>
        <v>4</v>
      </c>
      <c r="E32" s="175" t="s">
        <v>137</v>
      </c>
      <c r="F32" s="6"/>
      <c r="G32" s="119"/>
    </row>
    <row r="33" spans="2:7" ht="15" customHeight="1">
      <c r="B33" s="32" t="s">
        <v>237</v>
      </c>
      <c r="D33" s="63">
        <f t="shared" si="3"/>
        <v>1</v>
      </c>
      <c r="E33" s="175" t="s">
        <v>135</v>
      </c>
      <c r="F33" s="6"/>
      <c r="G33" s="119"/>
    </row>
    <row r="34" spans="2:7" ht="15" customHeight="1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>
      <c r="B35" s="32" t="s">
        <v>254</v>
      </c>
      <c r="D35" s="63">
        <f t="shared" si="3"/>
        <v>2</v>
      </c>
      <c r="E35" s="175" t="s">
        <v>127</v>
      </c>
      <c r="G35" s="119"/>
    </row>
    <row r="36" spans="2:7" ht="15" customHeight="1">
      <c r="B36" s="1" t="s">
        <v>151</v>
      </c>
      <c r="D36" s="64">
        <f>SUM(D37:D41)/(5*4)</f>
        <v>0.35</v>
      </c>
      <c r="E36" s="18" t="str">
        <f>IF(D36&gt;80%,"Very High",IF(D36&lt;=20%,"Very Low",IF(D36&lt;=40%,"Low",IF(D36&lt;=60%,"Medium","High"))))</f>
        <v>Low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2</v>
      </c>
      <c r="E37" s="175" t="s">
        <v>127</v>
      </c>
      <c r="F37" s="6"/>
      <c r="G37" s="119"/>
    </row>
    <row r="38" spans="2:7" ht="15" customHeight="1">
      <c r="B38" s="32" t="s">
        <v>239</v>
      </c>
      <c r="D38" s="63">
        <f t="shared" si="4"/>
        <v>2</v>
      </c>
      <c r="E38" s="175" t="s">
        <v>127</v>
      </c>
      <c r="F38" s="6"/>
      <c r="G38" s="119"/>
    </row>
    <row r="39" spans="2:7" ht="15" customHeight="1">
      <c r="B39" s="32" t="s">
        <v>240</v>
      </c>
      <c r="D39" s="63">
        <f t="shared" si="4"/>
        <v>1</v>
      </c>
      <c r="E39" s="175" t="s">
        <v>135</v>
      </c>
      <c r="F39" s="6"/>
      <c r="G39" s="119"/>
    </row>
    <row r="40" spans="2:7" ht="15" customHeight="1">
      <c r="B40" s="32" t="s">
        <v>241</v>
      </c>
      <c r="D40" s="63">
        <f t="shared" si="4"/>
        <v>2</v>
      </c>
      <c r="E40" s="175" t="s">
        <v>127</v>
      </c>
      <c r="F40" s="6"/>
      <c r="G40" s="119"/>
    </row>
    <row r="41" spans="2:7" ht="15" customHeight="1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>
      <c r="B42" s="1" t="s">
        <v>153</v>
      </c>
      <c r="D42" s="64">
        <f>SUM(D43:D48)/(6*4)</f>
        <v>0.5</v>
      </c>
      <c r="E42" s="18" t="str">
        <f>IF(D42&gt;80%,"Very High",IF(D42&lt;=20%,"Very Low",IF(D42&lt;=40%,"Low",IF(D42&lt;=60%,"Medium","High"))))</f>
        <v>Medium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0</v>
      </c>
      <c r="E43" s="175" t="s">
        <v>150</v>
      </c>
      <c r="F43" s="6"/>
      <c r="G43" s="119"/>
    </row>
    <row r="44" spans="2:7" ht="15" customHeight="1">
      <c r="B44" s="32" t="s">
        <v>155</v>
      </c>
      <c r="D44" s="63">
        <f t="shared" si="5"/>
        <v>4</v>
      </c>
      <c r="E44" s="175" t="s">
        <v>137</v>
      </c>
      <c r="F44" s="6"/>
      <c r="G44" s="119"/>
    </row>
    <row r="45" spans="2:7" ht="15" customHeight="1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0</v>
      </c>
      <c r="E47" s="175" t="s">
        <v>150</v>
      </c>
      <c r="F47" s="6"/>
      <c r="G47" s="119"/>
    </row>
    <row r="48" spans="2:7" ht="15" customHeight="1">
      <c r="B48" s="32" t="s">
        <v>184</v>
      </c>
      <c r="D48" s="63">
        <f t="shared" si="5"/>
        <v>4</v>
      </c>
      <c r="E48" s="175" t="s">
        <v>137</v>
      </c>
      <c r="F48" s="6"/>
      <c r="G48" s="119"/>
    </row>
    <row r="49" spans="2:8" ht="15" customHeight="1">
      <c r="B49" s="1" t="s">
        <v>159</v>
      </c>
      <c r="D49" s="64">
        <f>SUM(D50:D54)/(5*4)</f>
        <v>0.41564625850340137</v>
      </c>
      <c r="E49" s="18" t="str">
        <f>IF(D49&gt;80%,"Very High",IF(D49&lt;=20%,"Very Low",IF(D49&lt;=40%,"Low",IF(D49&lt;=60%,"Medium","High"))))</f>
        <v>Medium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4</v>
      </c>
      <c r="E53" s="175" t="s">
        <v>137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2.3129251700680271</v>
      </c>
      <c r="E54" s="175" t="s">
        <v>393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0.91666666666666663</v>
      </c>
      <c r="E55" s="18" t="str">
        <f>IF(D55&gt;80%,"Very High",IF(D55&lt;=20%,"Very Low",IF(D55&lt;=40%,"Low",IF(D55&lt;=60%,"Medium","High"))))</f>
        <v>Very High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3</v>
      </c>
      <c r="E56" s="175" t="s">
        <v>128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4</v>
      </c>
      <c r="E57" s="175" t="s">
        <v>137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4</v>
      </c>
      <c r="E58" s="175" t="s">
        <v>137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3</v>
      </c>
      <c r="E61" s="175" t="s">
        <v>128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0.46353741496598633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1.7635374149659864</v>
      </c>
      <c r="E64" s="217">
        <f>AVERAGE(AVERAGE(D12:D16)/4,AVERAGE(D18:D22)/4,AVERAGE(D24:D28)/4,D62)</f>
        <v>0.44088435374149659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具名範圍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2023-11-29T07:28:50Z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