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"/>
    </mc:Choice>
  </mc:AlternateContent>
  <xr:revisionPtr revIDLastSave="0" documentId="13_ncr:1_{1A2E589D-C481-4CAC-A3D1-E91C4696D012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7" l="1"/>
  <c r="G11" i="7"/>
  <c r="G9" i="7"/>
  <c r="G23" i="7" l="1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11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12" i="7" l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10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5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I25" i="7" s="1"/>
  <c r="C17" i="4"/>
  <c r="D17" i="4" s="1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J27" i="3"/>
  <c r="D25" i="3"/>
  <c r="C6" i="4" l="1"/>
  <c r="D6" i="3"/>
  <c r="D7" i="3" s="1"/>
  <c r="G17" i="7"/>
  <c r="G16" i="7"/>
  <c r="G25" i="7" s="1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7" i="7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H25" i="7" s="1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<sst xmlns="http://schemas.openxmlformats.org/spreadsheetml/2006/main" count="480" uniqueCount="408">
  <si>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</si>
  <si>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</si>
  <si>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</si>
  <si>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</si>
  <si>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</si>
  <si>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</si>
  <si>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</si>
  <si>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</si>
  <si>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</si>
  <si>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</si>
  <si>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</si>
  <si>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</si>
  <si>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</si>
  <si>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</si>
  <si>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</si>
  <si>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</si>
  <si>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</si>
  <si>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</si>
  <si>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</si>
  <si>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</si>
  <si>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</si>
  <si>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</si>
  <si>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</si>
  <si>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</si>
  <si>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</si>
  <si>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</si>
  <si>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</si>
  <si>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</si>
  <si>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</si>
  <si>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</si>
  <si>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</si>
  <si>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</si>
  <si>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</si>
  <si>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</si>
  <si>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</si>
  <si>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</si>
  <si>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</si>
  <si>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</si>
  <si>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</si>
  <si>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</si>
  <si>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</si>
  <si>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</si>
  <si>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</si>
  <si>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</si>
  <si>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</si>
  <si>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</si>
  <si>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</si>
  <si>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</si>
  <si>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</si>
  <si>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</si>
  <si>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</si>
  <si>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</si>
  <si>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</si>
  <si>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</si>
  <si>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</si>
  <si>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</si>
  <si>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</si>
  <si>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</si>
  <si>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</si>
  <si>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</si>
  <si>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</si>
  <si>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</si>
  <si>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</si>
  <si>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</si>
  <si>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</si>
  <si>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</si>
  <si>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</si>
  <si>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</si>
  <si>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</si>
  <si>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</si>
  <si>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</si>
  <si>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</si>
  <si>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</si>
  <si>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</si>
  <si>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</si>
  <si>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</si>
  <si>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</si>
  <si>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</si>
  <si>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</si>
  <si>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</si>
  <si>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</si>
  <si>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</si>
  <si>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</si>
  <si>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</si>
  <si>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</si>
  <si>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</si>
  <si>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</si>
  <si>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</si>
  <si>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</si>
  <si>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</si>
  <si>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</si>
  <si>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</si>
  <si>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</si>
  <si>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</si>
  <si>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</si>
  <si>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</si>
  <si>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</si>
  <si>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</si>
  <si>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</si>
  <si>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</si>
  <si>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</si>
  <si>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</si>
  <si>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</si>
  <si>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</si>
  <si>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</si>
  <si>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</si>
  <si>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</si>
  <si>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</si>
  <si>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</si>
  <si>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</si>
  <si>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</si>
  <si>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</si>
  <si>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</si>
  <si>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</si>
  <si>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</si>
  <si>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</si>
  <si>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</si>
  <si>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</si>
  <si>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</si>
  <si>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</si>
  <si>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</si>
  <si>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</si>
  <si>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</si>
  <si>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</si>
  <si>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</si>
  <si>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</si>
  <si>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</si>
  <si>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</si>
  <si>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</si>
  <si>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</si>
  <si>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</si>
  <si>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</si>
  <si>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</si>
  <si>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</si>
  <si>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</si>
  <si>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</si>
  <si>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</si>
  <si>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</si>
  <si>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</si>
  <si>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</si>
  <si>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</si>
  <si>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</si>
  <si>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</si>
  <si>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</si>
  <si>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</si>
  <si>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</si>
  <si>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</si>
  <si>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</si>
  <si>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</si>
  <si>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</si>
  <si>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</si>
  <si>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</si>
  <si>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</si>
  <si>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</si>
  <si>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</si>
  <si>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</si>
  <si>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</si>
  <si>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</si>
  <si>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</si>
  <si>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</si>
  <si>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</si>
  <si>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</si>
  <si>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</si>
  <si>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</si>
  <si>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</si>
  <si>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</si>
  <si>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</si>
  <si>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</si>
  <si>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</si>
  <si>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</si>
  <si>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</si>
  <si>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</si>
  <si>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</si>
  <si>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</si>
  <si>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</si>
  <si>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</si>
  <si>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</si>
  <si>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</si>
  <si>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</si>
  <si>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</si>
  <si>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</si>
  <si>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</si>
  <si>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</si>
  <si>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</si>
  <si>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</si>
  <si>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</si>
  <si>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</si>
  <si>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</si>
  <si>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</si>
  <si>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</si>
  <si>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</si>
  <si>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</si>
  <si>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</si>
  <si>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</si>
  <si>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</si>
  <si>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</si>
  <si>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</si>
  <si>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</si>
  <si>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</si>
  <si>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</si>
  <si>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</si>
  <si>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</si>
  <si>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</si>
  <si>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</si>
  <si>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</si>
  <si>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</si>
  <si>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</si>
  <si>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</si>
  <si>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</si>
  <si>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</si>
  <si>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</si>
  <si>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</si>
  <si>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</si>
  <si>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</si>
  <si>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</si>
  <si>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</si>
  <si>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</si>
  <si>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</si>
  <si>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</si>
  <si>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</si>
  <si>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</si>
  <si>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</si>
  <si>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</si>
  <si>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</si>
  <si>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</si>
  <si>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</si>
  <si>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</si>
  <si>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</si>
  <si>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</si>
  <si>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</si>
  <si>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</si>
  <si>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</si>
  <si>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</si>
  <si>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</si>
  <si>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</si>
  <si>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</si>
  <si>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</si>
  <si>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</si>
  <si>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</si>
  <si>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</si>
  <si>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</si>
  <si>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</si>
  <si>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</si>
  <si>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</si>
  <si>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</si>
  <si>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</si>
  <si>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</si>
  <si>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</si>
  <si>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</si>
  <si>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</si>
  <si>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</si>
  <si>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</si>
  <si>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</si>
  <si>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</si>
  <si>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</si>
  <si>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</si>
  <si>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</si>
  <si>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</si>
  <si>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</si>
  <si>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</si>
  <si>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</si>
  <si>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</si>
  <si>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</si>
  <si>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</si>
  <si>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</si>
  <si>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</si>
  <si>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</si>
  <si>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</si>
  <si>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</si>
  <si>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</si>
  <si>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</si>
  <si>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</si>
  <si>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</si>
  <si>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</si>
  <si>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</si>
  <si>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</si>
  <si>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</si>
  <si>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</si>
  <si>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</si>
  <si>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</si>
  <si>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</si>
  <si>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</si>
  <si>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</si>
  <si>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</si>
  <si>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</si>
  <si>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</si>
  <si>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</si>
  <si>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</si>
  <si>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</si>
  <si>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</si>
  <si>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</si>
  <si>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</si>
  <si>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</si>
  <si>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</si>
  <si>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</si>
  <si>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</si>
  <si>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</si>
  <si>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</si>
  <si>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</si>
  <si>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</si>
  <si>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</si>
  <si>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</si>
  <si>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</si>
  <si>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</si>
  <si>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</si>
  <si>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</si>
  <si>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</si>
  <si>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</si>
  <si>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</si>
  <si>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</si>
  <si>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</si>
  <si>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</si>
  <si>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</si>
  <si>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</si>
  <si>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</si>
  <si>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</si>
  <si>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</si>
  <si>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</si>
  <si>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</si>
  <si>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</si>
  <si>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</si>
  <si>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</si>
  <si>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</si>
  <si>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</si>
  <si>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</si>
  <si>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</si>
  <si>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</si>
  <si>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</si>
  <si>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</si>
  <si>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</si>
  <si>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</si>
  <si>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</si>
  <si>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</si>
  <si>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</si>
  <si>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</si>
  <si>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</si>
  <si>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</si>
  <si>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</si>
  <si>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</si>
  <si>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</si>
  <si>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</si>
  <si>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</si>
  <si>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</si>
  <si>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</si>
  <si>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</si>
  <si>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</si>
  <si>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</si>
  <si>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</si>
  <si>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</si>
  <si>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</si>
  <si>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</si>
  <si>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</si>
  <si>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</si>
  <si>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</si>
  <si>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</si>
  <si>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</si>
  <si>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</si>
  <si>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</si>
  <si>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</si>
  <si>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</si>
  <si>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</si>
  <si>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</si>
  <si>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</si>
  <si>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</si>
  <si>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</si>
  <si>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</si>
  <si>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</si>
  <si>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</si>
  <si>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</si>
  <si>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</si>
  <si>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</si>
  <si>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</si>
  <si>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</si>
  <si>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</si>
  <si>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</si>
  <si>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</si>
  <si>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</si>
  <si>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</si>
  <si>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</si>
  <si>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</si>
  <si>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</si>
  <si>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</si>
  <si>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</si>
  <si>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</si>
  <si>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</si>
  <si>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</si>
  <si>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</si>
  <si>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</si>
  <si>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</si>
  <si>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</si>
  <si>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</si>
  <si>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</si>
  <si>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</si>
  <si>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</si>
  <si>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</si>
  <si>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</si>
  <si>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</si>
  <si>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</si>
  <si>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</si>
  <si>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0411.HK</t>
  </si>
  <si>
    <t>LAM SOON (HK)</t>
  </si>
  <si>
    <t>FY</t>
  </si>
  <si>
    <t>麵粉、食用油及家居護理產品業務</t>
  </si>
  <si>
    <t>1. Good brand value to compete in high-end market
2. Established distribution channels in China</t>
  </si>
  <si>
    <t>1. The dividend is a bit low given the payout ratio
2. Cyclical market that's not in company's control</t>
  </si>
  <si>
    <t>1. Chinese is still fundamentally sound with ample rooms to grow in consumption</t>
  </si>
  <si>
    <t>1. 商品和原材料價格高
2. 供應鏈和通脹压力
3. 消费降级</t>
  </si>
  <si>
    <t>Information Technology Like, 6.6y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</si>
</sst>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6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  <font>
      <sz val="10"/>
      <color rgb="FF000000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9"/>
    <xf numFmtId="43" fontId="26" fillId="0" borderId="9" applyFont="0" applyFill="0" applyBorder="0" applyAlignment="0" applyProtection="0"/>
    <xf numFmtId="0" fontId="28" fillId="0" borderId="9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4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4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2" fontId="1" fillId="0" borderId="9" xfId="0" applyNumberFormat="1" applyFont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6">
    <cellStyle name="Comma" xfId="1" builtinId="3"/>
    <cellStyle name="Comma 2" xfId="4" xr:uid="{7DBEB12B-1E3D-4807-A57F-D92C83A1AC60}"/>
    <cellStyle name="Hyperlink" xfId="2" builtinId="8"/>
    <cellStyle name="Hyperlink 2" xfId="5" xr:uid="{64C14093-5BAB-467A-B722-04374D01926C}"/>
    <cellStyle name="Normal" xfId="0" builtinId="0"/>
    <cellStyle name="Normal 2" xfId="3" xr:uid="{6D385170-8EFF-4183-AA73-DBF4E0D058A7}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104297</c:v>
                </c:pt>
                <c:pt idx="1" formatCode="#,##0">
                  <c:v>108954</c:v>
                </c:pt>
                <c:pt idx="2" formatCode="#,##0">
                  <c:v>113211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316889</c:v>
                </c:pt>
                <c:pt idx="1" formatCode="#,##0">
                  <c:v>357698</c:v>
                </c:pt>
                <c:pt idx="2" formatCode="#,##0">
                  <c:v>257260</c:v>
                </c:pt>
                <c:pt idx="3" formatCode="#,##0">
                  <c:v>85349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37" zoomScaleNormal="100" workbookViewId="0">
      <selection activeCell="C32" sqref="C32:D32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0411.HK : LAM SOON (HK)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399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400</v>
      </c>
      <c r="D4" s="322"/>
      <c r="E4" s="6"/>
      <c r="G4" s="5" t="s">
        <v>5</v>
      </c>
      <c r="I4" s="221">
        <v>8.6999999999999993</v>
      </c>
      <c r="J4" s="222" t="s">
        <v>6</v>
      </c>
      <c r="K4" s="92"/>
    </row>
    <row r="5" spans="1:12" ht="15.75" customHeight="1">
      <c r="B5" s="5" t="s">
        <v>7</v>
      </c>
      <c r="C5" s="354">
        <v>44984</v>
      </c>
      <c r="D5" s="322"/>
      <c r="E5" s="79" t="str">
        <f ca="1">IF(C5+30&gt;=TODAY(),"Patience Premium","")</f>
        <v/>
      </c>
      <c r="G5" s="5" t="s">
        <v>8</v>
      </c>
      <c r="I5" s="321">
        <v>243354000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61">
        <f>I4*I5/1000000</f>
        <v>2117.1797999999999</v>
      </c>
      <c r="J6" s="361"/>
      <c r="K6" s="91"/>
    </row>
    <row r="7" spans="1:12" ht="15.75" customHeight="1">
      <c r="B7" s="86" t="s">
        <v>10</v>
      </c>
      <c r="C7" s="218">
        <f>(Data!C42*Exchange_Rate)/I4</f>
        <v>0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24.806146527785913</v>
      </c>
      <c r="J9" s="166">
        <f>IF(I9="NNI","NNI",1/I9)</f>
        <v>4.0312589417299372E-2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0.75984995224872431</v>
      </c>
      <c r="J10" s="223">
        <f>I4/(Data!C7*Data!C4/Common_Shares*Exchange_Rate)</f>
        <v>0.41359746884998411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6.0992617033394261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8.6999999999999993</v>
      </c>
      <c r="C16" s="347">
        <v>0.2</v>
      </c>
      <c r="D16" s="238">
        <f ca="1">I37/B16-(1+C16)</f>
        <v>-3.3097086097146011E-2</v>
      </c>
      <c r="E16" s="341" t="s">
        <v>21</v>
      </c>
      <c r="F16" s="362">
        <f>(Val_Models!G16)*Exchange_Rate</f>
        <v>6.391827543414121</v>
      </c>
      <c r="G16" s="341" t="s">
        <v>22</v>
      </c>
      <c r="H16" s="239">
        <f>B16-$F$16</f>
        <v>2.3081724565858783</v>
      </c>
      <c r="I16" s="336">
        <v>2.3E-2</v>
      </c>
      <c r="J16" s="166">
        <f>I16/B16</f>
        <v>2.6436781609195403E-3</v>
      </c>
    </row>
    <row r="17" spans="1:10" ht="15.75" customHeight="1">
      <c r="B17" s="116">
        <f ca="1">MIN((I37+I38)/2,I37/(1+C16), IF(J20=0,E14,I37/(1+C16)))</f>
        <v>7.5157323568131851</v>
      </c>
      <c r="C17" s="348"/>
      <c r="D17" s="149">
        <f ca="1">I37/B17-(1+C16)</f>
        <v>0.15077393246338211</v>
      </c>
      <c r="E17" s="342"/>
      <c r="F17" s="363"/>
      <c r="G17" s="342"/>
      <c r="H17" s="236">
        <f ca="1">B17-$F$16</f>
        <v>1.1239048133990641</v>
      </c>
      <c r="I17" s="337"/>
      <c r="J17" s="149">
        <f ca="1">I16/B17</f>
        <v>3.0602473462416433E-3</v>
      </c>
    </row>
    <row r="18" spans="1:10" ht="15.75" customHeight="1">
      <c r="B18" s="129">
        <f>C37</f>
        <v>7.5</v>
      </c>
      <c r="C18" s="349"/>
      <c r="D18" s="237">
        <f ca="1">I37/B18-(1+C16)</f>
        <v>0.15360738012731057</v>
      </c>
      <c r="E18" s="343"/>
      <c r="F18" s="364"/>
      <c r="G18" s="343"/>
      <c r="H18" s="98">
        <f>B18-$F$16</f>
        <v>1.108172456585879</v>
      </c>
      <c r="I18" s="338"/>
      <c r="J18" s="158">
        <f>I16/B18</f>
        <v>3.0666666666666668E-3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336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7" t="s">
        <v>402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403</v>
      </c>
      <c r="D22" s="352"/>
      <c r="E22" s="352"/>
      <c r="F22" s="352"/>
      <c r="G22" s="366" t="s">
        <v>404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405</v>
      </c>
      <c r="D23" s="340"/>
      <c r="E23" s="340"/>
      <c r="F23" s="340"/>
      <c r="G23" s="339" t="s">
        <v>406</v>
      </c>
      <c r="H23" s="339"/>
      <c r="I23" s="340"/>
      <c r="J23" s="340"/>
    </row>
    <row r="24" spans="1:10" ht="52.5" customHeight="1">
      <c r="A24" s="6"/>
      <c r="B24" s="19" t="s">
        <v>291</v>
      </c>
      <c r="C24" s="369"/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/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0.18181818181818182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0.18181818181818182</v>
      </c>
      <c r="J29" s="344"/>
    </row>
    <row r="30" spans="1:10" ht="15.75" customHeight="1">
      <c r="B30" s="18" t="s">
        <v>32</v>
      </c>
      <c r="C30" s="321">
        <v>16000</v>
      </c>
      <c r="D30" s="322"/>
      <c r="E30" s="321"/>
      <c r="F30" s="322"/>
      <c r="G30" s="321"/>
      <c r="H30" s="321"/>
      <c r="I30" s="350">
        <f>C30+E30+G30</f>
        <v>16000</v>
      </c>
      <c r="J30" s="350"/>
    </row>
    <row r="31" spans="1:10" ht="15.75" customHeight="1">
      <c r="B31" s="18" t="s">
        <v>33</v>
      </c>
      <c r="C31" s="323">
        <v>7.5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1825.155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120000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120000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7.5</v>
      </c>
      <c r="F34" s="329"/>
      <c r="G34" s="78"/>
      <c r="H34" s="78"/>
      <c r="I34" s="328">
        <f>IF(I33=0,"",I33/I30)</f>
        <v>7.5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1825.155</v>
      </c>
      <c r="F35" s="325"/>
      <c r="G35" s="230"/>
      <c r="H35" s="230"/>
      <c r="I35" s="324">
        <f>IF(I34="","",I34*$I$5/1000000)</f>
        <v>1825.155</v>
      </c>
      <c r="J35" s="324"/>
    </row>
    <row r="36" spans="2:11" ht="15.75" customHeight="1"/>
    <row r="37" spans="2:11" ht="15.75" customHeight="1">
      <c r="B37" s="87" t="s">
        <v>255</v>
      </c>
      <c r="C37" s="374">
        <f>C31</f>
        <v>7.5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10.152055350954829</v>
      </c>
      <c r="J37" s="373"/>
    </row>
    <row r="38" spans="2:11" ht="15.75" customHeight="1">
      <c r="B38" s="87" t="s">
        <v>280</v>
      </c>
      <c r="C38" s="374">
        <f>E34</f>
        <v>7.5</v>
      </c>
      <c r="D38" s="375"/>
      <c r="E38" s="6"/>
      <c r="F38" s="6"/>
      <c r="G38" s="371" t="s">
        <v>279</v>
      </c>
      <c r="H38" s="371"/>
      <c r="I38" s="372">
        <f ca="1">Val_Models!C47</f>
        <v>4.8794093626715407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0.76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0.68682823129251702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0.99924972535389955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0.35360738012731052</v>
      </c>
      <c r="F47" s="171">
        <f ca="1">I37/C38-1</f>
        <v>0.35360738012731052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-0.34941208497712795</v>
      </c>
      <c r="F48" s="171">
        <f ca="1">Val_Models!C47/C38-1</f>
        <v>-0.34941208497712795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0.66963512084430155</v>
      </c>
      <c r="F50" s="171">
        <f ca="1">IF(F47&lt;=0,0,AVERAGE(F41:F44,0.5*(1+F47+F48-C16)))</f>
        <v>0.66963512084430155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1.0120067259564225</v>
      </c>
      <c r="F51" s="234">
        <f ca="1">IF(F48&gt;=0,100,F47/ABS(F48))</f>
        <v>1.0120067259564225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3.9009557331615827</v>
      </c>
      <c r="F52" s="232">
        <f ca="1">MAX(C16*2.5/F47,1)+IF(F47&lt;C16,100,0)+IF(D18&lt;0,100,0)+IF(J20=1,2/(1+F47+F48-C16),0)</f>
        <v>3.9009557331615827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8.7975820515321032E-2</v>
      </c>
      <c r="F53" s="217">
        <f ca="1">MIN(MAX(F50-ABS((1-F50)/F51),0)/F52,H53)</f>
        <v>8.7975820515321032E-2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392</v>
      </c>
    </row>
    <row r="65" spans="2:2" ht="15.75" customHeight="1">
      <c r="B65" s="3" t="s">
        <v>395</v>
      </c>
    </row>
    <row r="66" spans="2:2" ht="15.75" customHeight="1">
      <c r="B66" s="3" t="s">
        <v>394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85349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34194.75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5118938</v>
      </c>
      <c r="D7" s="160">
        <v>6106635</v>
      </c>
      <c r="E7" s="160">
        <v>5761248</v>
      </c>
      <c r="F7" s="160">
        <v>5119437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-0.16174161383478791</v>
      </c>
      <c r="D8" s="149">
        <f t="shared" si="1"/>
        <v>5.9950031659806946E-2</v>
      </c>
      <c r="E8" s="149">
        <f t="shared" si="1"/>
        <v>0.12536749646494338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4242965</v>
      </c>
      <c r="D9" s="148">
        <v>4963246</v>
      </c>
      <c r="E9" s="148">
        <v>4476856</v>
      </c>
      <c r="F9" s="148">
        <v>3925837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0.17112397141750887</v>
      </c>
      <c r="D10" s="149">
        <f t="shared" si="2"/>
        <v>0.18723716089139109</v>
      </c>
      <c r="E10" s="149">
        <f t="shared" si="2"/>
        <v>0.2229364193313671</v>
      </c>
      <c r="F10" s="149">
        <f t="shared" si="2"/>
        <v>0.23315063746267412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830380</v>
      </c>
      <c r="D11" s="148">
        <v>897855</v>
      </c>
      <c r="E11" s="148">
        <v>909322</v>
      </c>
      <c r="F11" s="148">
        <v>861523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0.16221724115431757</v>
      </c>
      <c r="D12" s="149">
        <f t="shared" si="3"/>
        <v>0.14702941963945773</v>
      </c>
      <c r="E12" s="149">
        <f t="shared" si="3"/>
        <v>0.15783420536661502</v>
      </c>
      <c r="F12" s="149">
        <f t="shared" si="3"/>
        <v>0.16828471568260339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8.9067302631913106E-3</v>
      </c>
      <c r="D13" s="149">
        <f t="shared" si="4"/>
        <v>4.0207741251933347E-2</v>
      </c>
      <c r="E13" s="149">
        <f t="shared" si="4"/>
        <v>6.5102213964752076E-2</v>
      </c>
      <c r="F13" s="149">
        <f t="shared" si="4"/>
        <v>6.4865921780070737E-2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45593</v>
      </c>
      <c r="D14" s="51">
        <f t="shared" si="5"/>
        <v>245534</v>
      </c>
      <c r="E14" s="51">
        <f t="shared" si="5"/>
        <v>375070</v>
      </c>
      <c r="F14" s="51">
        <f t="shared" si="5"/>
        <v>332077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-0.81431084900665485</v>
      </c>
      <c r="D15" s="149">
        <f t="shared" ref="D15:M15" si="6">IF(E14="","",IF(ABS(D14+E14)=ABS(D14)+ABS(E14),IF(D14&lt;0,-1,1)*(D14-E14)/E14,"Turn"))</f>
        <v>-0.34536486522515797</v>
      </c>
      <c r="E15" s="149">
        <f t="shared" si="6"/>
        <v>0.12946696097591823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34194.75</v>
      </c>
      <c r="D16" s="51">
        <f>IF(D14="","",D14*(1-Projections!$F$19))</f>
        <v>184150.5</v>
      </c>
      <c r="E16" s="51">
        <f>IF(E14="","",E14*(1-Projections!$F$19))</f>
        <v>281302.5</v>
      </c>
      <c r="F16" s="51">
        <f>IF(F14="","",F14*(1-Projections!$F$19))</f>
        <v>249057.75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6.680047697393483E-3</v>
      </c>
      <c r="D17" s="149">
        <f t="shared" si="7"/>
        <v>3.0155805938950012E-2</v>
      </c>
      <c r="E17" s="149">
        <f t="shared" si="7"/>
        <v>4.8826660473564064E-2</v>
      </c>
      <c r="F17" s="149">
        <f t="shared" si="7"/>
        <v>4.8649441335053056E-2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208</v>
      </c>
      <c r="D18" s="148">
        <v>296</v>
      </c>
      <c r="E18" s="148">
        <v>283</v>
      </c>
      <c r="F18" s="148">
        <v>238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85349</v>
      </c>
      <c r="D19" s="148">
        <v>257260</v>
      </c>
      <c r="E19" s="148">
        <v>357698</v>
      </c>
      <c r="F19" s="148">
        <v>316889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-0.66823835808131848</v>
      </c>
      <c r="D20" s="149">
        <f t="shared" ref="D20:M20" si="8">IF(E19="","",IF(ABS(D19+E19)=ABS(D19)+ABS(E19),IF(D19&lt;0,-1,1)*(D19-E19)/E19,"Turn"))</f>
        <v>-0.28078994011708203</v>
      </c>
      <c r="E20" s="149">
        <f t="shared" si="8"/>
        <v>0.12878010912338389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371</v>
      </c>
      <c r="C21" s="150">
        <v>3424978</v>
      </c>
      <c r="D21" s="148">
        <v>3800961</v>
      </c>
      <c r="E21" s="148">
        <v>3675542</v>
      </c>
      <c r="F21" s="148">
        <v>3215099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2541461</v>
      </c>
      <c r="D22" s="148">
        <v>2825784</v>
      </c>
      <c r="E22" s="148">
        <v>2758360</v>
      </c>
      <c r="F22" s="148">
        <v>2522897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622024</v>
      </c>
      <c r="D23" s="148">
        <v>827785</v>
      </c>
      <c r="E23" s="148">
        <v>777784</v>
      </c>
      <c r="F23" s="148">
        <v>717075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3112</v>
      </c>
      <c r="D24" s="148">
        <v>3177</v>
      </c>
      <c r="E24" s="148">
        <v>3365</v>
      </c>
      <c r="F24" s="148">
        <v>2767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3112</v>
      </c>
      <c r="D25" s="152">
        <v>3177</v>
      </c>
      <c r="E25" s="152">
        <v>3365</v>
      </c>
      <c r="F25" s="152">
        <v>2767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1069</v>
      </c>
      <c r="D26" s="148">
        <v>1239</v>
      </c>
      <c r="E26" s="148">
        <v>1847</v>
      </c>
      <c r="F26" s="148">
        <v>1584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1069</v>
      </c>
      <c r="D27" s="152">
        <v>1239</v>
      </c>
      <c r="E27" s="152">
        <v>1847</v>
      </c>
      <c r="F27" s="152">
        <v>1584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4181</v>
      </c>
      <c r="D28" s="51">
        <f t="shared" si="9"/>
        <v>4416</v>
      </c>
      <c r="E28" s="51">
        <f t="shared" si="9"/>
        <v>5212</v>
      </c>
      <c r="F28" s="51">
        <f t="shared" si="9"/>
        <v>4351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2786313</v>
      </c>
      <c r="D29" s="148">
        <v>2959124</v>
      </c>
      <c r="E29" s="148">
        <v>2880665</v>
      </c>
      <c r="F29" s="148">
        <v>2476897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2786313</v>
      </c>
      <c r="D30" s="152">
        <v>2959124</v>
      </c>
      <c r="E30" s="152">
        <v>2880665</v>
      </c>
      <c r="F30" s="152">
        <v>2476897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346</v>
      </c>
      <c r="C31" s="150">
        <v>771353</v>
      </c>
      <c r="D31" s="148">
        <v>846003</v>
      </c>
      <c r="E31" s="148">
        <v>824301</v>
      </c>
      <c r="F31" s="148">
        <v>668030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0</v>
      </c>
      <c r="D32" s="148">
        <v>1009960</v>
      </c>
      <c r="E32" s="148">
        <v>1277330</v>
      </c>
      <c r="F32" s="148">
        <v>1337336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397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365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118433.20229999999</v>
      </c>
      <c r="E35" s="154">
        <f>IF(F7="","",IF(E8&lt;0,0,(E7-F7)*Asset_Model!$D$68))</f>
        <v>220076.99189999999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1176000</v>
      </c>
      <c r="D36" s="51">
        <f t="shared" si="11"/>
        <v>365433.2023</v>
      </c>
      <c r="E36" s="51">
        <f t="shared" si="11"/>
        <v>276076.99190000002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339</v>
      </c>
      <c r="C37" s="149">
        <f>IF(C36="","",C33/C7)</f>
        <v>0.22973515209600115</v>
      </c>
      <c r="D37" s="149">
        <f t="shared" ref="D37:M37" si="12">IF(D36="","",D33/D7)</f>
        <v>4.0447807999004361E-2</v>
      </c>
      <c r="E37" s="149">
        <f t="shared" si="12"/>
        <v>9.7201161970461962E-3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341</v>
      </c>
      <c r="C38" s="158">
        <f t="shared" ref="C38:M38" si="13">IF(C36="","",C33/C16)</f>
        <v>34.391244269953724</v>
      </c>
      <c r="D38" s="158">
        <f t="shared" si="13"/>
        <v>1.341294213157173</v>
      </c>
      <c r="E38" s="158">
        <f t="shared" si="13"/>
        <v>0.1990739506403249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0</v>
      </c>
      <c r="D40" s="163">
        <v>113211</v>
      </c>
      <c r="E40" s="163">
        <v>108954</v>
      </c>
      <c r="F40" s="163">
        <v>104297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9302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</v>
      </c>
      <c r="D42" s="162">
        <f t="shared" si="14"/>
        <v>0.46521117384550903</v>
      </c>
      <c r="E42" s="162">
        <f t="shared" si="14"/>
        <v>0.44771813900737195</v>
      </c>
      <c r="F42" s="162">
        <f t="shared" si="14"/>
        <v>0.42858140815437595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3.8224150825546324E-2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355</v>
      </c>
      <c r="C45" s="166">
        <f>IF(C30="","",(C21-C30)/C21)</f>
        <v>0.18647273062775876</v>
      </c>
      <c r="D45" s="166">
        <f>IF(D30="","",(D21-D30)/D21)</f>
        <v>0.22148004149476935</v>
      </c>
      <c r="E45" s="166">
        <f t="shared" ref="E45:M45" si="16">IF(E30="","",(E21-E30)/E21)</f>
        <v>0.21626116638035969</v>
      </c>
      <c r="F45" s="166">
        <f t="shared" si="16"/>
        <v>0.22960474934053351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367</v>
      </c>
      <c r="C46" s="149">
        <f t="shared" ref="C46:M46" si="17">IF(C30="","",C28/C30)</f>
        <v>1.5005492922008402E-3</v>
      </c>
      <c r="D46" s="149">
        <f t="shared" si="17"/>
        <v>1.4923335419536321E-3</v>
      </c>
      <c r="E46" s="149">
        <f t="shared" si="17"/>
        <v>1.8093044487991487E-3</v>
      </c>
      <c r="F46" s="149">
        <f t="shared" si="17"/>
        <v>1.7566334005814533E-3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10.904807462329586</v>
      </c>
      <c r="D47" s="165">
        <f t="shared" si="18"/>
        <v>55.600996376811594</v>
      </c>
      <c r="E47" s="165">
        <f t="shared" si="18"/>
        <v>71.962778204144286</v>
      </c>
      <c r="F47" s="165">
        <f t="shared" si="18"/>
        <v>76.321994943691109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4.5621038317285546E-3</v>
      </c>
      <c r="D48" s="149">
        <f>IF(D14="","",IF(D18&lt;=0,"-",D18/D14))</f>
        <v>1.205535689558269E-3</v>
      </c>
      <c r="E48" s="149">
        <f t="shared" ref="E48:M48" si="19">IF(E14="","",IF(E18&lt;=0,"-",E18/E14))</f>
        <v>7.5452582184658864E-4</v>
      </c>
      <c r="F48" s="149">
        <f t="shared" si="19"/>
        <v>7.1670124699994278E-4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4.0857925096137766</v>
      </c>
      <c r="D49" s="167">
        <f t="shared" si="20"/>
        <v>3.4136690082569747</v>
      </c>
      <c r="E49" s="167">
        <f t="shared" si="20"/>
        <v>3.5464344856669716</v>
      </c>
      <c r="F49" s="167">
        <f t="shared" si="20"/>
        <v>3.5183167730014295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8.9067302631913106E-3</v>
      </c>
      <c r="D51" s="166">
        <f t="shared" si="21"/>
        <v>4.0207741251933347E-2</v>
      </c>
      <c r="E51" s="166">
        <f t="shared" si="21"/>
        <v>6.5102213964752076E-2</v>
      </c>
      <c r="F51" s="166">
        <f t="shared" si="21"/>
        <v>6.4865921780070737E-2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1.4945900382425814</v>
      </c>
      <c r="D52" s="149">
        <f>IF(D7="","",D7/D21)</f>
        <v>1.6066029091064076</v>
      </c>
      <c r="E52" s="149">
        <f t="shared" ref="E52:M52" si="22">IF(E7="","",E7/E21)</f>
        <v>1.5674553576044024</v>
      </c>
      <c r="F52" s="149">
        <f t="shared" si="22"/>
        <v>1.5923108433052917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373</v>
      </c>
      <c r="C53" s="168">
        <f>C21/C29</f>
        <v>1.2292150953607868</v>
      </c>
      <c r="D53" s="168">
        <f>IF(D29="","",D21/D29)</f>
        <v>1.2844885851353305</v>
      </c>
      <c r="E53" s="168">
        <f t="shared" ref="E53:M53" si="23">IF(E29="","",E21/E29)</f>
        <v>1.2759352441189795</v>
      </c>
      <c r="F53" s="168">
        <f t="shared" si="23"/>
        <v>1.2980350010517192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372</v>
      </c>
      <c r="C54" s="149">
        <f>C51*C52*C53</f>
        <v>1.6363201119185104E-2</v>
      </c>
      <c r="D54" s="149">
        <f>IF(D51="","",D51*D52*D53)</f>
        <v>8.297523185915831E-2</v>
      </c>
      <c r="E54" s="149">
        <f t="shared" ref="E54:M54" si="24">IF(E51="","",E51*E52*E53)</f>
        <v>0.13020257475270466</v>
      </c>
      <c r="F54" s="149">
        <f t="shared" si="24"/>
        <v>0.1340697655170966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0.56275084672827502</v>
      </c>
      <c r="D55" s="158">
        <f>IF(D38="","",D38*D54)</f>
        <v>0.11129419832806374</v>
      </c>
      <c r="E55" s="158">
        <f t="shared" ref="E55:M55" si="25">IF(E38="","",E38*E54)</f>
        <v>2.5919940939563142E-2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338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D41" sqref="D41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2786313</v>
      </c>
      <c r="E3" s="191" t="str">
        <f>IF((C49-I49)=D3,"", "Error!")</f>
        <v/>
      </c>
      <c r="F3" s="6"/>
      <c r="G3" s="6"/>
      <c r="H3" s="112" t="s">
        <v>216</v>
      </c>
      <c r="I3" s="163">
        <v>2786313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11.449628935624645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1785768.1</v>
      </c>
      <c r="E6" s="149">
        <f>1-D6/D3</f>
        <v>0.35909278677592926</v>
      </c>
      <c r="F6" s="6"/>
      <c r="G6" s="6"/>
      <c r="H6" s="3" t="s">
        <v>256</v>
      </c>
      <c r="I6" s="184">
        <f>C28/I28</f>
        <v>4.0857925096137766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7.3381497735808736</v>
      </c>
      <c r="E7" s="18" t="str">
        <f>Dashboard!J4</f>
        <v>HKD</v>
      </c>
      <c r="H7" s="3" t="s">
        <v>257</v>
      </c>
      <c r="I7" s="184">
        <f>C25/I28</f>
        <v>0.55844147492701246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2.4535693156534153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401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1456839</v>
      </c>
      <c r="D11" s="180">
        <v>1</v>
      </c>
      <c r="E11" s="51">
        <f t="shared" ref="E11:E21" si="0">C11*D11</f>
        <v>1456839</v>
      </c>
      <c r="F11" s="6"/>
      <c r="G11" s="6"/>
      <c r="H11" s="5" t="s">
        <v>79</v>
      </c>
      <c r="I11" s="179">
        <v>0</v>
      </c>
      <c r="J11" s="6"/>
      <c r="K11" s="43"/>
    </row>
    <row r="12" spans="1:11" ht="13.9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3112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69340</v>
      </c>
      <c r="D14" s="180">
        <v>0.7</v>
      </c>
      <c r="E14" s="51">
        <f t="shared" si="0"/>
        <v>48538</v>
      </c>
      <c r="F14" s="6"/>
      <c r="G14" s="6"/>
      <c r="H14" s="6" t="s">
        <v>344</v>
      </c>
      <c r="I14" s="179">
        <v>0</v>
      </c>
      <c r="J14" s="6"/>
      <c r="K14" s="47"/>
    </row>
    <row r="15" spans="1:11" ht="13.9">
      <c r="B15" s="5" t="s">
        <v>86</v>
      </c>
      <c r="C15" s="179"/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618912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343</v>
      </c>
      <c r="C17" s="179">
        <v>347364</v>
      </c>
      <c r="D17" s="180">
        <v>0.6</v>
      </c>
      <c r="E17" s="51">
        <f t="shared" si="0"/>
        <v>208418.4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667918</v>
      </c>
      <c r="D18" s="180">
        <v>0.5</v>
      </c>
      <c r="E18" s="51">
        <f t="shared" si="0"/>
        <v>333959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384</v>
      </c>
      <c r="G23" s="6"/>
      <c r="H23" s="6"/>
      <c r="I23" s="6"/>
    </row>
    <row r="24" spans="2:10" ht="15" customHeight="1">
      <c r="B24" s="41" t="s">
        <v>374</v>
      </c>
      <c r="C24" s="182">
        <f>SUM(C11:C14)</f>
        <v>1526179</v>
      </c>
      <c r="D24" s="183">
        <f>IF(E24=0,0,E24/C24)</f>
        <v>0.98636988190769237</v>
      </c>
      <c r="E24" s="51">
        <f>SUM(E11:E14)</f>
        <v>1505377</v>
      </c>
      <c r="F24" s="233">
        <f>E24/$E$28</f>
        <v>0.73513552211144073</v>
      </c>
      <c r="G24" s="6"/>
      <c r="H24" s="3" t="s">
        <v>382</v>
      </c>
      <c r="I24" s="312">
        <f>I11+I12+I13</f>
        <v>3112</v>
      </c>
    </row>
    <row r="25" spans="2:10" ht="15" customHeight="1">
      <c r="B25" s="41" t="s">
        <v>378</v>
      </c>
      <c r="C25" s="182">
        <f>SUM(C15:C17)</f>
        <v>347364</v>
      </c>
      <c r="D25" s="183">
        <f>IF(E25=0,0,E25/C25)</f>
        <v>0.6</v>
      </c>
      <c r="E25" s="51">
        <f>SUM(E15:E17)</f>
        <v>208418.4</v>
      </c>
      <c r="F25" s="233">
        <f t="shared" ref="F25:F27" si="2">E25/$E$28</f>
        <v>0.1017790024038039</v>
      </c>
      <c r="G25" s="6"/>
      <c r="H25" s="41" t="s">
        <v>385</v>
      </c>
      <c r="I25" s="184">
        <f>E28/I28</f>
        <v>3.2920826206062785</v>
      </c>
    </row>
    <row r="26" spans="2:10" ht="15" customHeight="1">
      <c r="B26" s="41" t="s">
        <v>376</v>
      </c>
      <c r="C26" s="182">
        <f>C18+C19+C20</f>
        <v>667918</v>
      </c>
      <c r="D26" s="183">
        <f t="shared" ref="D26:D27" si="3">IF(E26=0,0,E26/C26)</f>
        <v>0.5</v>
      </c>
      <c r="E26" s="51">
        <f>E18+E19+E20</f>
        <v>333959</v>
      </c>
      <c r="F26" s="233">
        <f t="shared" si="2"/>
        <v>0.16308547548475541</v>
      </c>
      <c r="G26" s="6"/>
      <c r="H26" s="41" t="s">
        <v>259</v>
      </c>
      <c r="I26" s="184">
        <f>E24/($I$28-I15)</f>
        <v>483.73296915167094</v>
      </c>
      <c r="J26" s="13" t="str">
        <f>IF(I26&lt;1,"Liquidity Problem!","")</f>
        <v/>
      </c>
    </row>
    <row r="27" spans="2:10" ht="15" customHeight="1">
      <c r="B27" s="41" t="s">
        <v>377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2.7551917610896042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2541461</v>
      </c>
      <c r="D28" s="166">
        <f t="shared" ref="D28" si="4">E28/C28</f>
        <v>0.80573906111484694</v>
      </c>
      <c r="E28" s="212">
        <f>SUM(E24:E27)</f>
        <v>2047754.4</v>
      </c>
      <c r="F28" s="6"/>
      <c r="G28" s="6"/>
      <c r="H28" s="306" t="s">
        <v>53</v>
      </c>
      <c r="I28" s="190">
        <v>622024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90468</v>
      </c>
      <c r="D31" s="180">
        <v>0.6</v>
      </c>
      <c r="E31" s="51">
        <f t="shared" ref="E31:E42" si="5">C31*D31</f>
        <v>54280.799999999996</v>
      </c>
      <c r="F31" s="6"/>
      <c r="G31" s="6"/>
      <c r="H31" s="5" t="s">
        <v>97</v>
      </c>
      <c r="I31" s="179">
        <v>1069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345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15572</v>
      </c>
      <c r="J34" s="6"/>
    </row>
    <row r="35" spans="2:10" ht="13.9">
      <c r="B35" s="5" t="s">
        <v>103</v>
      </c>
      <c r="C35" s="179">
        <v>0</v>
      </c>
      <c r="D35" s="180">
        <v>0.5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771353</v>
      </c>
      <c r="D38" s="180">
        <v>0.4</v>
      </c>
      <c r="E38" s="51">
        <f t="shared" si="5"/>
        <v>308541.2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4625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14586</v>
      </c>
      <c r="D41" s="180">
        <v>0.95</v>
      </c>
      <c r="E41" s="51">
        <f t="shared" si="5"/>
        <v>13856.699999999999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2485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375</v>
      </c>
      <c r="C44" s="182">
        <f>SUM(C30:C31)</f>
        <v>90468</v>
      </c>
      <c r="D44" s="183">
        <f>IF(E44=0,0,E44/C44)</f>
        <v>0.6</v>
      </c>
      <c r="E44" s="51">
        <f>SUM(E30:E31)</f>
        <v>54280.799999999996</v>
      </c>
      <c r="F44" s="233"/>
      <c r="G44" s="6"/>
      <c r="H44" s="3" t="s">
        <v>383</v>
      </c>
      <c r="I44" s="312">
        <f>I30+I31+I32</f>
        <v>1069</v>
      </c>
    </row>
    <row r="45" spans="2:10" ht="15" customHeight="1">
      <c r="B45" s="41" t="s">
        <v>379</v>
      </c>
      <c r="C45" s="182">
        <f>SUM(C32:C35)</f>
        <v>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380</v>
      </c>
      <c r="C46" s="182">
        <f>C36+C37+C38+C39</f>
        <v>771353</v>
      </c>
      <c r="D46" s="183">
        <f t="shared" ref="D46:D47" si="6">IF(E46=0,0,E46/C46)</f>
        <v>0.4</v>
      </c>
      <c r="E46" s="51">
        <f>E36+E37+E38+E39</f>
        <v>308541.2</v>
      </c>
      <c r="F46" s="6"/>
      <c r="G46" s="6"/>
      <c r="H46" s="41" t="s">
        <v>260</v>
      </c>
      <c r="I46" s="184">
        <f>(E44+E24)/D55</f>
        <v>373.03463286295147</v>
      </c>
      <c r="J46" s="13" t="str">
        <f>IF(I46&lt;1,"Liquidity Problem!","")</f>
        <v/>
      </c>
    </row>
    <row r="47" spans="2:10" ht="15" customHeight="1">
      <c r="B47" s="41" t="s">
        <v>381</v>
      </c>
      <c r="C47" s="182">
        <f>C40+C41+C42</f>
        <v>21696</v>
      </c>
      <c r="D47" s="183">
        <f t="shared" si="6"/>
        <v>0.63867533185840708</v>
      </c>
      <c r="E47" s="51">
        <f>E40+E41+E42</f>
        <v>13856.699999999999</v>
      </c>
      <c r="F47" s="6"/>
      <c r="G47" s="6"/>
      <c r="H47" s="41" t="s">
        <v>264</v>
      </c>
      <c r="I47" s="184">
        <f>(E44+E45+E24+E25)/$I$49</f>
        <v>2.7683937588563645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883517</v>
      </c>
      <c r="D48" s="310">
        <f>E48/C48</f>
        <v>0.42634007042309319</v>
      </c>
      <c r="E48" s="304">
        <f>SUM(E30:E42)</f>
        <v>376678.7</v>
      </c>
      <c r="F48" s="6"/>
      <c r="G48" s="6"/>
      <c r="H48" s="308" t="s">
        <v>109</v>
      </c>
      <c r="I48" s="311">
        <v>16641</v>
      </c>
      <c r="J48" s="13"/>
    </row>
    <row r="49" spans="2:10" ht="15" customHeight="1" thickTop="1">
      <c r="B49" s="5" t="s">
        <v>371</v>
      </c>
      <c r="C49" s="182">
        <f>SUM(C44:C47)+C28</f>
        <v>3424978</v>
      </c>
      <c r="D49" s="149">
        <f>E49/C49</f>
        <v>0.70786822572290975</v>
      </c>
      <c r="E49" s="51">
        <f>E28+E48</f>
        <v>2424433.1</v>
      </c>
      <c r="F49" s="6"/>
      <c r="G49" s="6"/>
      <c r="H49" s="5" t="s">
        <v>261</v>
      </c>
      <c r="I49" s="130">
        <f>I28+I48</f>
        <v>638665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4181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50">
        <f>SUM(I11:I13)+SUM(I30:I32)</f>
        <v>4181</v>
      </c>
      <c r="E56" s="381"/>
      <c r="F56" s="5"/>
      <c r="G56" s="5"/>
      <c r="H56" s="6" t="s">
        <v>262</v>
      </c>
      <c r="I56" s="149">
        <f>D56/I3</f>
        <v>1.5005492922008402E-3</v>
      </c>
    </row>
    <row r="57" spans="2:10" ht="13.9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342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159808</v>
      </c>
      <c r="D61" s="149">
        <f>IF(E61=0,0,E61/C61)</f>
        <v>0.64338956748097709</v>
      </c>
      <c r="E61" s="130">
        <f>E14+E15+(E19*G19)+(E20*G20)+E31+E32+(E33*G33)+(E35*G35)+(E36*G36)+(E37*G37)</f>
        <v>102818.79999999999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1456839</v>
      </c>
      <c r="D62" s="54">
        <f>IF(E62=0,0,E62/C62)</f>
        <v>1</v>
      </c>
      <c r="E62" s="182">
        <f>E11+E12+E30</f>
        <v>1456839</v>
      </c>
      <c r="F62" s="6"/>
      <c r="G62" s="6"/>
      <c r="H62" s="6"/>
      <c r="I62" s="6"/>
    </row>
    <row r="63" spans="2:10" ht="13.9">
      <c r="B63" s="32" t="s">
        <v>116</v>
      </c>
      <c r="C63" s="6"/>
      <c r="D63" s="350">
        <f>((Dashboard!I6*Data!C4)+D55+E53-C61-C62)</f>
        <v>504713.79999999981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7.6824138131776548E-2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G24" sqref="G24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386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390</v>
      </c>
      <c r="L4" s="36"/>
    </row>
    <row r="5" spans="1:12" ht="15.75" customHeight="1">
      <c r="B5" s="118" t="s">
        <v>387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388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389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347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5119437</v>
      </c>
      <c r="D9" s="198">
        <f>Data!E7</f>
        <v>5761248</v>
      </c>
      <c r="E9" s="198">
        <f>Data!D7</f>
        <v>6106635</v>
      </c>
      <c r="F9" s="198">
        <f>Data!C7</f>
        <v>5118938</v>
      </c>
      <c r="G9" s="200">
        <f>F9</f>
        <v>5118938</v>
      </c>
      <c r="H9" s="200"/>
      <c r="I9" s="201"/>
      <c r="J9" s="6"/>
      <c r="K9" s="43"/>
      <c r="L9" s="36"/>
    </row>
    <row r="10" spans="1:12" ht="15.75" customHeight="1">
      <c r="B10" s="14" t="s">
        <v>349</v>
      </c>
      <c r="C10" s="285"/>
      <c r="D10" s="171">
        <f>D9/C9-1</f>
        <v>0.12536749646494338</v>
      </c>
      <c r="E10" s="171">
        <f>E9/D9-1</f>
        <v>5.9950031659806946E-2</v>
      </c>
      <c r="F10" s="171">
        <f>Data!C8</f>
        <v>-0.16174161383478791</v>
      </c>
      <c r="G10" s="149">
        <f>G9/F9-1</f>
        <v>0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3925837</v>
      </c>
      <c r="D11" s="202">
        <f>Data!E9</f>
        <v>4476856</v>
      </c>
      <c r="E11" s="202">
        <f>Data!D9</f>
        <v>4963246</v>
      </c>
      <c r="F11" s="202">
        <f>Data!C9</f>
        <v>4242965</v>
      </c>
      <c r="G11" s="203">
        <f>F11</f>
        <v>4242965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0.23315063746267412</v>
      </c>
      <c r="D12" s="96">
        <f t="shared" si="0"/>
        <v>0.2229364193313671</v>
      </c>
      <c r="E12" s="96">
        <f t="shared" si="0"/>
        <v>0.18723716089139109</v>
      </c>
      <c r="F12" s="96">
        <f>(F9-F11)/F9</f>
        <v>0.17112397141750887</v>
      </c>
      <c r="G12" s="208">
        <f>(G9-G11)/G9</f>
        <v>0.17112397141750887</v>
      </c>
      <c r="H12" s="208"/>
      <c r="I12" s="208"/>
      <c r="J12" s="6"/>
      <c r="K12" s="43"/>
    </row>
    <row r="13" spans="1:12" ht="15.75" customHeight="1">
      <c r="B13" s="5" t="s">
        <v>348</v>
      </c>
      <c r="C13" s="51">
        <f>C9-C11</f>
        <v>1193600</v>
      </c>
      <c r="D13" s="51">
        <f t="shared" ref="D13:E13" si="1">D9-D11</f>
        <v>1284392</v>
      </c>
      <c r="E13" s="51">
        <f t="shared" si="1"/>
        <v>1143389</v>
      </c>
      <c r="F13" s="51">
        <f>F9-F11</f>
        <v>875973</v>
      </c>
      <c r="G13" s="51">
        <f>G9-G11</f>
        <v>875973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0.16828471568260339</v>
      </c>
      <c r="D14" s="54">
        <f t="shared" ref="D14:E14" si="2">D15/D9</f>
        <v>0.15783420536661502</v>
      </c>
      <c r="E14" s="54">
        <f t="shared" si="2"/>
        <v>0.14702941963945773</v>
      </c>
      <c r="F14" s="54">
        <f>F15/F9</f>
        <v>0.16221724115431754</v>
      </c>
      <c r="G14" s="207">
        <f>F14</f>
        <v>0.16221724115431754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861523</v>
      </c>
      <c r="D15" s="198">
        <f>Data!E11</f>
        <v>909322</v>
      </c>
      <c r="E15" s="198">
        <f>Data!D11</f>
        <v>897855</v>
      </c>
      <c r="F15" s="198">
        <f>Data!C11</f>
        <v>830380</v>
      </c>
      <c r="G15" s="161">
        <f>F15</f>
        <v>830380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6.4865921780070737E-2</v>
      </c>
      <c r="D16" s="166">
        <f t="shared" si="3"/>
        <v>6.5102213964752076E-2</v>
      </c>
      <c r="E16" s="166">
        <f t="shared" si="3"/>
        <v>4.0207741251933347E-2</v>
      </c>
      <c r="F16" s="166">
        <f>F18/F9</f>
        <v>8.9067302631913106E-3</v>
      </c>
      <c r="G16" s="166">
        <f>G18/G9</f>
        <v>8.9067302631913106E-3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0.12946696097591825</v>
      </c>
      <c r="E17" s="171">
        <f t="shared" si="4"/>
        <v>-0.34536486522515797</v>
      </c>
      <c r="F17" s="171">
        <f>F18/E18-1</f>
        <v>-0.81431084900665485</v>
      </c>
      <c r="G17" s="149">
        <f>IF(ABS(F18+G18)=ABS(F18)+ABS(G18),IF(G18&lt;0,-1,1)*(G18-F18)/F18,"Turn")</f>
        <v>0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332077</v>
      </c>
      <c r="D18" s="154">
        <f t="shared" si="5"/>
        <v>375070</v>
      </c>
      <c r="E18" s="154">
        <f>E13-E15</f>
        <v>245534</v>
      </c>
      <c r="F18" s="154">
        <f>F13-F15</f>
        <v>45593</v>
      </c>
      <c r="G18" s="154">
        <f>G13-G15</f>
        <v>45593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6.680047697393483E-3</v>
      </c>
      <c r="G20" s="149">
        <f>G21/G9</f>
        <v>6.680047697393483E-3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34194.75</v>
      </c>
      <c r="G21" s="210">
        <f>IF(G18="","",IF(G18&lt;=0,G18,G18*(1-G19)))</f>
        <v>34194.75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337</v>
      </c>
      <c r="C22" s="287"/>
      <c r="D22" s="287"/>
      <c r="E22" s="287"/>
      <c r="F22" s="212">
        <f>Data!C35</f>
        <v>0</v>
      </c>
      <c r="G22" s="213">
        <f>IF(G10&lt;=0,0,(G9-F9)*Asset_Model!$D$67)</f>
        <v>0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398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396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340</v>
      </c>
      <c r="C25" s="289"/>
      <c r="D25" s="289"/>
      <c r="E25" s="289"/>
      <c r="F25" s="214">
        <f>F22-F23+F24</f>
        <v>1015129</v>
      </c>
      <c r="G25" s="214">
        <f>IF(G16="","",G22-G23+G24)</f>
        <v>99129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334</v>
      </c>
      <c r="C26" s="285"/>
      <c r="D26" s="285"/>
      <c r="E26" s="285"/>
      <c r="F26" s="171">
        <f>AVERAGE(Data!C54:E54)</f>
        <v>7.6513669243682692E-2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-980934.25</v>
      </c>
      <c r="G27" s="214">
        <f>G21-G25</f>
        <v>-64934.25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386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387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388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389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347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350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360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351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352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353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354</v>
      </c>
      <c r="J76" s="296"/>
      <c r="K76" s="296"/>
      <c r="L76" s="296"/>
      <c r="M76" s="296"/>
    </row>
    <row r="78" spans="2:13" ht="13.15">
      <c r="B78" s="297" t="s">
        <v>359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357</v>
      </c>
      <c r="J80" s="295"/>
      <c r="K80" s="295"/>
      <c r="L80" s="295"/>
      <c r="M80" s="295"/>
    </row>
    <row r="81" spans="2:13">
      <c r="B81" s="292" t="s">
        <v>358</v>
      </c>
      <c r="J81" s="295"/>
      <c r="K81" s="295"/>
      <c r="L81" s="295"/>
      <c r="M81" s="295"/>
    </row>
    <row r="82" spans="2:13">
      <c r="B82" s="292" t="s">
        <v>356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361</v>
      </c>
      <c r="J104" s="298">
        <f>Data!F19</f>
        <v>316889</v>
      </c>
      <c r="K104" s="298">
        <f>Data!E19</f>
        <v>357698</v>
      </c>
      <c r="L104" s="298">
        <f>Data!D19</f>
        <v>257260</v>
      </c>
      <c r="M104" s="298">
        <f>Data!C19</f>
        <v>85349</v>
      </c>
    </row>
    <row r="105" spans="2:13">
      <c r="B105" t="s">
        <v>362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363</v>
      </c>
      <c r="J106" s="298">
        <f>Data!F40</f>
        <v>104297</v>
      </c>
      <c r="K106" s="298">
        <f>Data!E40</f>
        <v>108954</v>
      </c>
      <c r="L106" s="298">
        <f>Data!D40</f>
        <v>113211</v>
      </c>
      <c r="M106" s="298">
        <f>Data!C40</f>
        <v>0</v>
      </c>
    </row>
    <row r="107" spans="2:13">
      <c r="B107" t="s">
        <v>364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366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368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369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370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zoomScaleNormal="100" zoomScalePageLayoutView="80" workbookViewId="0">
      <selection activeCell="D6" sqref="D6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IF(B4="NOPAT",Projections!F21,Projections!F9)</f>
        <v>34194.75</v>
      </c>
      <c r="D4" s="243">
        <f>IF(B4="NOPAT",Projections!G21,Projections!G9)</f>
        <v>34194.75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391</v>
      </c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0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29.686691670504974</v>
      </c>
      <c r="D6" s="171">
        <f>D7/D4</f>
        <v>2.8989537867655124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1015129</v>
      </c>
      <c r="D7" s="313">
        <f>Projections!G25</f>
        <v>99129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-980934.25</v>
      </c>
      <c r="D8" s="210">
        <f>Projections!G21-D7</f>
        <v>-64934.25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-4.0308942939092844</v>
      </c>
      <c r="D9" s="248">
        <f>D8/(Common_Shares/Data!$C$4)</f>
        <v>-0.26683041988214701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-0.26683041988214701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1456839</v>
      </c>
      <c r="D15" s="106">
        <f>C15*Data!C4/Common_Shares</f>
        <v>5.9865011464779707</v>
      </c>
      <c r="E15" s="52" t="s">
        <v>199</v>
      </c>
      <c r="G15" s="199">
        <f>C15+C16+C17+C18</f>
        <v>1555476.8</v>
      </c>
    </row>
    <row r="16" spans="1:10" ht="15.75" customHeight="1">
      <c r="B16" s="37" t="s">
        <v>205</v>
      </c>
      <c r="C16" s="51">
        <f>Asset_Model!E61</f>
        <v>102818.79999999999</v>
      </c>
      <c r="D16" s="106">
        <f>C16*Data!C4/Common_Shares</f>
        <v>0.42250712953146441</v>
      </c>
      <c r="E16" s="52" t="s">
        <v>274</v>
      </c>
      <c r="G16" s="264">
        <f>(G15+MIN(D4,0))*Data!C$4/Common_Shares</f>
        <v>6.391827543414121</v>
      </c>
    </row>
    <row r="17" spans="1:9" ht="15.75" customHeight="1">
      <c r="B17" s="37" t="s">
        <v>192</v>
      </c>
      <c r="C17" s="51">
        <f>-Asset_Model!D55</f>
        <v>-4181</v>
      </c>
      <c r="D17" s="106">
        <f>C17*Data!C4/Common_Shares</f>
        <v>-1.7180732595313823E-2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42"/>
      <c r="F18" s="89">
        <f>D15+(MIN(D4,0)*Data!C$4/Common_Shares)</f>
        <v>5.9865011464779707</v>
      </c>
      <c r="G18" s="88">
        <f>SUM(D16:D18)</f>
        <v>0.40532639693615058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>IF(D22="",IF(G9&lt;0,G9,G9*C22/G11),D22)</f>
        <v>-0.26683041988214701</v>
      </c>
      <c r="F22" s="239">
        <f>SUM(D12:F12)+E22+$G$16</f>
        <v>6.1249971235319736</v>
      </c>
      <c r="G22" s="271">
        <f>F22*Exchange_Rate</f>
        <v>6.1249971235319736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>IF(D23="",IF(G9&lt;0,G9,G9*C23/G11),D23)</f>
        <v>-0.26683041988214701</v>
      </c>
      <c r="F23" s="98">
        <f>SUM(D12:F12)+E23+$G$16</f>
        <v>6.1249971235319736</v>
      </c>
      <c r="G23" s="272">
        <f>F23*Exchange_Rate</f>
        <v>6.1249971235319736</v>
      </c>
      <c r="I23" s="43" t="s">
        <v>393</v>
      </c>
    </row>
    <row r="24" spans="1:9" ht="15.5" customHeight="1">
      <c r="C24" s="6"/>
      <c r="D24" s="6"/>
      <c r="E24" s="391" t="s">
        <v>333</v>
      </c>
      <c r="F24" s="392"/>
      <c r="G24" s="143">
        <f>MIN(G22,G23)+ABS(G22-G23)*Qualitative_Analysis!$E$64</f>
        <v>6.1249971235319736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-980934.25</v>
      </c>
      <c r="D28" s="51">
        <f>D8</f>
        <v>-64934.25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4181</v>
      </c>
      <c r="D30" s="150">
        <f>C30*1.1</f>
        <v>4599.1000000000004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C30*(C29*(1-Projections!F19))</f>
        <v>125.42999999999999</v>
      </c>
      <c r="D32" s="276">
        <f>(D30*D29)*(1-D31)</f>
        <v>137.97300000000001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-981059.68</v>
      </c>
      <c r="D33" s="210">
        <f>D28-D32</f>
        <v>-65072.222999999998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-4.0314097158871443</v>
      </c>
      <c r="D34" s="245">
        <f>D33/(Common_Shares/Data!$C$4)</f>
        <v>-0.26739738405779234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-0.26739738405779234</v>
      </c>
      <c r="H34" s="6"/>
      <c r="I34" s="43"/>
    </row>
    <row r="35" spans="1:9" ht="15.75" customHeight="1">
      <c r="B35" s="141" t="s">
        <v>305</v>
      </c>
      <c r="C35" s="273">
        <f>Dashboard!C31</f>
        <v>7.5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0.6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0.47173301930040729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-0.86739738405779232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0.65692833915556026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-1.3203835675178464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71"/>
      <c r="G40" s="280">
        <f>Asset_Model!D7</f>
        <v>7.3381497735808736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6.017766206063027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6.0992617033394261</v>
      </c>
      <c r="D44" s="262" t="str">
        <f>Dashboard!J4</f>
        <v>HKD</v>
      </c>
      <c r="E44" s="263">
        <f ca="1">(C44-G16)/C9</f>
        <v>7.2580876287617946E-2</v>
      </c>
      <c r="F44" s="263">
        <f ca="1">C44/(Data!C29*Exchange_Rate*Data!C4/Common_Shares)</f>
        <v>0.53270387517642948</v>
      </c>
      <c r="G44" s="263">
        <f ca="1">C44/(Data!C7*Data!C4*Exchange_Rate/Common_Shares)</f>
        <v>0.2899585290063022</v>
      </c>
      <c r="I44" s="43"/>
    </row>
    <row r="45" spans="1:9" ht="15.75" customHeight="1">
      <c r="B45" s="6" t="s">
        <v>313</v>
      </c>
      <c r="C45" s="255">
        <v>12</v>
      </c>
      <c r="D45" s="256" t="str">
        <f>D44</f>
        <v>HKD</v>
      </c>
      <c r="E45" s="223">
        <f>(C45-G16)/C9</f>
        <v>-1.3912973270124884</v>
      </c>
      <c r="F45" s="223">
        <f>C45/(Asset_Model!I3*Exchange_Rate*Data!C4/Common_Shares)</f>
        <v>1.0480688996534131</v>
      </c>
      <c r="G45" s="223">
        <f>C45/(Data!C7*Data!C4*Exchange_Rate/Common_Shares)</f>
        <v>0.57047926737928845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10.152055350954829</v>
      </c>
      <c r="D46" s="256" t="str">
        <f>D45</f>
        <v>HKD</v>
      </c>
      <c r="E46" s="223">
        <f ca="1">(C46-G16)/C9</f>
        <v>-0.93285200091266196</v>
      </c>
      <c r="F46" s="223">
        <f ca="1">C46/(Asset_Model!I3*Exchange_Rate*Data!C4/Common_Shares)</f>
        <v>0.88667112340798093</v>
      </c>
      <c r="G46" s="223">
        <f ca="1">C46/(Data!C7*Data!C4*Exchange_Rate/Common_Shares)</f>
        <v>0.48262809158389131</v>
      </c>
    </row>
    <row r="47" spans="1:9" ht="15.75" customHeight="1">
      <c r="B47" s="84" t="s">
        <v>279</v>
      </c>
      <c r="C47" s="259">
        <f ca="1">MAX(G41,C44)/(1+Dashboard!I14)</f>
        <v>4.8794093626715407</v>
      </c>
      <c r="D47" s="260" t="str">
        <f>D45</f>
        <v>HKD</v>
      </c>
      <c r="E47" s="224">
        <f ca="1">(C47-G16)/C9</f>
        <v>0.37520660936900702</v>
      </c>
      <c r="F47" s="224">
        <f ca="1">C47/(Asset_Model!I3*Exchange_Rate*Data!C4/Common_Shares)</f>
        <v>0.42616310014114356</v>
      </c>
      <c r="G47" s="224">
        <f ca="1">C47/(Data!C7*Data!C4*Exchange_Rate/Common_Shares)</f>
        <v>0.23196682320504178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C1" zoomScaleNormal="100" workbookViewId="0">
      <selection activeCell="G3" sqref="G3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2</v>
      </c>
      <c r="E3" s="216" t="s">
        <v>127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>
      <c r="B5" s="6" t="s">
        <v>228</v>
      </c>
      <c r="C5" s="60"/>
      <c r="D5" s="58">
        <f>AVERAGE(D12:D16)</f>
        <v>2.8</v>
      </c>
      <c r="E5" s="170" t="str">
        <f>IF(D5&gt;=3.5,"Strongly agree",IF(D5&gt;=2.5,"agree",IF(D5&gt;=1.5,"unclear",IF(D5&gt;=0.5,"disagree","Strongly disagree"))))</f>
        <v>agree</v>
      </c>
      <c r="G5" s="45"/>
    </row>
    <row r="6" spans="1:7" ht="13.9">
      <c r="B6" s="6" t="s">
        <v>229</v>
      </c>
      <c r="C6" s="60"/>
      <c r="D6" s="58">
        <f>AVERAGE(D24:D28)</f>
        <v>3.4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3</v>
      </c>
      <c r="E7" s="22" t="str">
        <f>IF(D64&gt;=3.5,"Strongly agree",IF(D64&gt;=2.5,"agree",IF(D64&gt;=1.5,"unclear",IF(D64&gt;=0.5,"disagree","Strongly disagree"))))</f>
        <v>agree</v>
      </c>
      <c r="G7" s="47"/>
    </row>
    <row r="8" spans="1:7" ht="13.9">
      <c r="B8" s="61" t="s">
        <v>129</v>
      </c>
      <c r="C8" s="60"/>
      <c r="D8" s="58">
        <f>AVERAGE(D3:D7)</f>
        <v>3.04</v>
      </c>
      <c r="E8" s="215">
        <f>D8/4</f>
        <v>0.76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4</v>
      </c>
      <c r="E14" s="175" t="s">
        <v>137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4</v>
      </c>
      <c r="E19" s="175" t="s">
        <v>137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3</v>
      </c>
      <c r="E21" s="175" t="s">
        <v>128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4</v>
      </c>
      <c r="E26" s="175" t="s">
        <v>137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0.55000000000000004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3</v>
      </c>
      <c r="E33" s="175" t="s">
        <v>128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0.25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1</v>
      </c>
      <c r="E48" s="175" t="s">
        <v>135</v>
      </c>
      <c r="F48" s="6"/>
      <c r="G48" s="119"/>
    </row>
    <row r="49" spans="2:8" ht="15" customHeight="1">
      <c r="B49" s="1" t="s">
        <v>159</v>
      </c>
      <c r="D49" s="64">
        <f>SUM(D50:D54)/(5*4)</f>
        <v>0.55510204081632653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2</v>
      </c>
      <c r="E50" s="175" t="s">
        <v>127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3.1020408163265305</v>
      </c>
      <c r="E54" s="175" t="s">
        <v>407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0.70833333333333337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2</v>
      </c>
      <c r="E58" s="175" t="s">
        <v>127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0.54731292517006802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2.7473129251700681</v>
      </c>
      <c r="E64" s="217">
        <f>AVERAGE(AVERAGE(D12:D16)/4,AVERAGE(D18:D22)/4,AVERAGE(D24:D28)/4,D62)</f>
        <v>0.68682823129251702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2023-09-07T16:28:36Z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