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9CD07B33-6E1C-4CCA-A77E-9B6B5515FD71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1" i="2"/>
  <c r="C33" i="2" s="1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<sst xmlns="http://schemas.openxmlformats.org/spreadsheetml/2006/main" count="484" uniqueCount="416">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</sst>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E30" sqref="E30:F30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395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396</v>
      </c>
      <c r="D4" s="339"/>
      <c r="E4" s="6"/>
      <c r="G4" s="5" t="s">
        <v>5</v>
      </c>
      <c r="I4" s="221">
        <v>9.02</v>
      </c>
      <c r="J4" s="222" t="s">
        <v>6</v>
      </c>
      <c r="K4" s="92"/>
    </row>
    <row r="5" spans="1:12" ht="15.75" customHeight="1">
      <c r="B5" s="5" t="s">
        <v>7</v>
      </c>
      <c r="C5" s="340">
        <v>44956</v>
      </c>
      <c r="D5" s="339"/>
      <c r="E5" s="79" t="str">
        <f ca="1">IF(C5+30&gt;=TODAY(),"Patience Premium","")</f>
        <v/>
      </c>
      <c r="G5" s="5" t="s">
        <v>8</v>
      </c>
      <c r="I5" s="349">
        <v>8171879936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50">
        <f>I4*I5/1000000</f>
        <v>73710.357022719996</v>
      </c>
      <c r="J6" s="350"/>
      <c r="K6" s="91"/>
    </row>
    <row r="7" spans="1:12" ht="15.75" customHeight="1">
      <c r="B7" s="86" t="s">
        <v>10</v>
      </c>
      <c r="C7" s="218">
        <f>(Data!C42*Exchange_Rate)/I4</f>
        <v>4.7671840354767188E-2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12.60139806586268</v>
      </c>
      <c r="J9" s="166">
        <f>IF(I9="NNI","NNI",1/I9)</f>
        <v>7.9356274182704412E-2</v>
      </c>
    </row>
    <row r="10" spans="1:12" ht="15.75" customHeight="1">
      <c r="B10" s="3" t="s">
        <v>226</v>
      </c>
      <c r="C10" s="122" t="s">
        <v>404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0.45192009900780122</v>
      </c>
      <c r="J10" s="223">
        <f>I4/(Data!C7*Data!C4/Common_Shares*Exchange_Rate)</f>
        <v>6.2039043244138288</v>
      </c>
    </row>
    <row r="11" spans="1:12" ht="15.75" customHeight="1" thickBot="1">
      <c r="B11" s="124" t="s">
        <v>227</v>
      </c>
      <c r="C11" s="361">
        <f ca="1">C12-D10</f>
        <v>2.1850000000000001E-2</v>
      </c>
      <c r="D11" s="362"/>
      <c r="E11" s="13"/>
      <c r="G11" s="5" t="s">
        <v>14</v>
      </c>
      <c r="H11" s="6"/>
      <c r="I11" s="348" t="s">
        <v>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0.06</v>
      </c>
      <c r="D12" s="360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9.02</v>
      </c>
      <c r="C16" s="373">
        <v>0.2</v>
      </c>
      <c r="D16" s="238">
        <f ca="1">I37/B16-(1+C16)</f>
        <v>4.0072607503345514E-2</v>
      </c>
      <c r="E16" s="354" t="s">
        <v>21</v>
      </c>
      <c r="F16" s="351">
        <f>(Val_Models!G16)*Exchange_Rate</f>
        <v>5.6750819333659113</v>
      </c>
      <c r="G16" s="354" t="s">
        <v>22</v>
      </c>
      <c r="H16" s="239">
        <f>B16-$F$16</f>
        <v>3.3449180666340883</v>
      </c>
      <c r="I16" s="367">
        <v>0.43</v>
      </c>
      <c r="J16" s="166">
        <f>I16/B16</f>
        <v>4.7671840354767188E-2</v>
      </c>
    </row>
    <row r="17" spans="1:10" ht="15.75" customHeight="1">
      <c r="B17" s="116">
        <f ca="1">MIN((I37+I38)/2,I37/(1+C16), IF(J20=0,E14,I37/(1+C16)))</f>
        <v>9.3212124330668136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3.6461304997009023</v>
      </c>
      <c r="I17" s="368"/>
      <c r="J17" s="149">
        <f ca="1">I16/B17</f>
        <v>4.613133785842962E-2</v>
      </c>
    </row>
    <row r="18" spans="1:10" ht="15.75" customHeight="1">
      <c r="B18" s="129">
        <f>C37</f>
        <v>8.1999999999999993</v>
      </c>
      <c r="C18" s="375"/>
      <c r="D18" s="237">
        <f ca="1">I37/B18-(1+C16)</f>
        <v>0.16407986825368015</v>
      </c>
      <c r="E18" s="356"/>
      <c r="F18" s="353"/>
      <c r="G18" s="356"/>
      <c r="H18" s="98">
        <f>B18-$F$16</f>
        <v>2.524918066634088</v>
      </c>
      <c r="I18" s="369"/>
      <c r="J18" s="158">
        <f>I16/B18</f>
        <v>5.2439024390243907E-2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398</v>
      </c>
      <c r="D22" s="337"/>
      <c r="E22" s="337"/>
      <c r="F22" s="337"/>
      <c r="G22" s="358" t="s">
        <v>400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399</v>
      </c>
      <c r="D23" s="347"/>
      <c r="E23" s="347"/>
      <c r="F23" s="347"/>
      <c r="G23" s="346" t="s">
        <v>401</v>
      </c>
      <c r="H23" s="346"/>
      <c r="I23" s="347"/>
      <c r="J23" s="347"/>
    </row>
    <row r="24" spans="1:10" ht="52.5" customHeight="1">
      <c r="A24" s="6"/>
      <c r="B24" s="19" t="s">
        <v>292</v>
      </c>
      <c r="C24" s="321" t="s">
        <v>402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291</v>
      </c>
      <c r="C25" s="322" t="s">
        <v>403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1">
        <v>44988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0.28909090909090907</v>
      </c>
      <c r="D29" s="365"/>
      <c r="E29" s="364">
        <f>E33/D27</f>
        <v>0.12424242424242424</v>
      </c>
      <c r="F29" s="365"/>
      <c r="G29" s="371">
        <f>G33/D27</f>
        <v>0</v>
      </c>
      <c r="H29" s="371"/>
      <c r="I29" s="370">
        <f>C29+E29+G29</f>
        <v>0.41333333333333333</v>
      </c>
      <c r="J29" s="370"/>
    </row>
    <row r="30" spans="1:10" ht="15.75" customHeight="1">
      <c r="B30" s="18" t="s">
        <v>32</v>
      </c>
      <c r="C30" s="349">
        <v>20000</v>
      </c>
      <c r="D30" s="339"/>
      <c r="E30" s="349">
        <v>10000</v>
      </c>
      <c r="F30" s="339"/>
      <c r="G30" s="349"/>
      <c r="H30" s="349"/>
      <c r="I30" s="376">
        <f>C30+E30+G30</f>
        <v>30000</v>
      </c>
      <c r="J30" s="376"/>
    </row>
    <row r="31" spans="1:10" ht="15.75" customHeight="1">
      <c r="B31" s="18" t="s">
        <v>33</v>
      </c>
      <c r="C31" s="363">
        <v>9.5399999999999991</v>
      </c>
      <c r="D31" s="339"/>
      <c r="E31" s="363">
        <v>8.1999999999999993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77959.734589439991</v>
      </c>
      <c r="D32" s="365"/>
      <c r="E32" s="328">
        <f>E31*$I$5/1000000</f>
        <v>67009.415475200003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190799.99999999997</v>
      </c>
      <c r="D33" s="378"/>
      <c r="E33" s="329">
        <f>E30*E31</f>
        <v>82000</v>
      </c>
      <c r="F33" s="378"/>
      <c r="G33" s="329">
        <f>G30*G31</f>
        <v>0</v>
      </c>
      <c r="H33" s="329"/>
      <c r="I33" s="329">
        <f>C33+E33+G33</f>
        <v>272800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9.0933333333333337</v>
      </c>
      <c r="F34" s="365"/>
      <c r="G34" s="78"/>
      <c r="H34" s="78"/>
      <c r="I34" s="332">
        <f>IF(I33=0,"",I33/I30)</f>
        <v>9.0933333333333337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74309.628218026672</v>
      </c>
      <c r="F35" s="377"/>
      <c r="G35" s="230"/>
      <c r="H35" s="230"/>
      <c r="I35" s="331">
        <f>IF(I34="","",I34*$I$5/1000000)</f>
        <v>74309.628218026672</v>
      </c>
      <c r="J35" s="331"/>
    </row>
    <row r="36" spans="2:11" ht="15.75" customHeight="1"/>
    <row r="37" spans="2:11" ht="15.75" customHeight="1">
      <c r="B37" s="87" t="s">
        <v>256</v>
      </c>
      <c r="C37" s="326">
        <f>E31</f>
        <v>8.1999999999999993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11.185454919680176</v>
      </c>
      <c r="J37" s="325"/>
    </row>
    <row r="38" spans="2:11" ht="15.75" customHeight="1">
      <c r="B38" s="87" t="s">
        <v>281</v>
      </c>
      <c r="C38" s="326">
        <f>E34</f>
        <v>9.0933333333333337</v>
      </c>
      <c r="D38" s="327"/>
      <c r="E38" s="6"/>
      <c r="F38" s="6"/>
      <c r="G38" s="323" t="s">
        <v>280</v>
      </c>
      <c r="H38" s="323"/>
      <c r="I38" s="324">
        <f ca="1">Val_Models!C47</f>
        <v>9.8592855205472993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0.23007202195896359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8.423227865256222E-2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0.68102138589642225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2.1732325197245479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0.31190017340680137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F20" sqref="F20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3.9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3.9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3.9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3.9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3.9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3.9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11898096.740051009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C4" sqref="C4:G4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.15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55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23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2023-09-08T07:44:49Z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