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4540F04A-26F4-4851-BE3E-DE66A8A3096E}" xr6:coauthVersionLast="47" xr6:coauthVersionMax="47" xr10:uidLastSave="{00000000-0000-0000-0000-000000000000}"/>
  <bookViews>
    <workbookView xWindow="735" yWindow="735" windowWidth="16200" windowHeight="9308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<sst xmlns="http://schemas.openxmlformats.org/spreadsheetml/2006/main" count="487" uniqueCount="416">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</sst>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2" zoomScaleNormal="100" workbookViewId="0">
      <selection activeCell="E30" sqref="E30:F30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7.85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>Patience Premium</v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6213.8635615999992</v>
      </c>
      <c r="J6" s="350"/>
      <c r="K6" s="91"/>
    </row>
    <row r="7" spans="1:12" ht="15.75" customHeight="1">
      <c r="B7" s="86" t="s">
        <v>10</v>
      </c>
      <c r="C7" s="218">
        <f>(Data!C42*Exchange_Rate)/I4</f>
        <v>2.9289346023738096E-2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10.668474363680378</v>
      </c>
      <c r="J9" s="166">
        <f>IF(I9="NNI","NNI",1/I9)</f>
        <v>9.3734114730067458E-2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1.5097682893590099</v>
      </c>
      <c r="J10" s="223">
        <f>I4/(Data!C7*Data!C4/Common_Shares*Exchange_Rate)</f>
        <v>0.57952381584615553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8.4013654649396585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7.85</v>
      </c>
      <c r="C16" s="373">
        <v>0.2</v>
      </c>
      <c r="D16" s="238">
        <f ca="1">I37/B16-(1+C16)</f>
        <v>0.178938747086405</v>
      </c>
      <c r="E16" s="354" t="s">
        <v>21</v>
      </c>
      <c r="F16" s="351">
        <f>(Val_Models!G16)*Exchange_Rate</f>
        <v>1.9011820883391566</v>
      </c>
      <c r="G16" s="354" t="s">
        <v>22</v>
      </c>
      <c r="H16" s="239">
        <f>B16-$F$16</f>
        <v>5.9488179116608428</v>
      </c>
      <c r="I16" s="367">
        <v>2.3E-2</v>
      </c>
      <c r="J16" s="166">
        <f>I16/B16</f>
        <v>2.9299363057324842E-3</v>
      </c>
    </row>
    <row r="17" spans="1:10" ht="15.75" customHeight="1">
      <c r="B17" s="116">
        <f ca="1">MIN((I37+I38)/2,I37/(1+C16), IF(J20=0,E14,I37/(1+C16)))</f>
        <v>8.772880768290003</v>
      </c>
      <c r="C17" s="374"/>
      <c r="D17" s="149">
        <f ca="1">I37/B17-(1+C16)</f>
        <v>3.3878522976690251E-2</v>
      </c>
      <c r="E17" s="355"/>
      <c r="F17" s="352"/>
      <c r="G17" s="355"/>
      <c r="H17" s="236">
        <f ca="1">B17-$F$16</f>
        <v>6.8716986799508462</v>
      </c>
      <c r="I17" s="368"/>
      <c r="J17" s="149">
        <f ca="1">I16/B17</f>
        <v>2.6217157861229117E-3</v>
      </c>
    </row>
    <row r="18" spans="1:10" ht="15.75" customHeight="1">
      <c r="B18" s="129">
        <f>C37</f>
        <v>7.55</v>
      </c>
      <c r="C18" s="375"/>
      <c r="D18" s="237">
        <f ca="1">I37/B18-(1+C16)</f>
        <v>0.23373101518255357</v>
      </c>
      <c r="E18" s="356"/>
      <c r="F18" s="353"/>
      <c r="G18" s="356"/>
      <c r="H18" s="98">
        <f>B18-$F$16</f>
        <v>5.648817911660843</v>
      </c>
      <c r="I18" s="369"/>
      <c r="J18" s="158">
        <f>I16/B18</f>
        <v>3.0463576158940397E-3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383</v>
      </c>
      <c r="D22" s="337"/>
      <c r="E22" s="337"/>
      <c r="F22" s="337"/>
      <c r="G22" s="358" t="s">
        <v>384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386</v>
      </c>
      <c r="D23" s="347"/>
      <c r="E23" s="347"/>
      <c r="F23" s="347"/>
      <c r="G23" s="346" t="s">
        <v>385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0.16015151515151516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0.16015151515151516</v>
      </c>
      <c r="J29" s="370"/>
    </row>
    <row r="30" spans="1:10" ht="15.75" customHeight="1">
      <c r="B30" s="18" t="s">
        <v>32</v>
      </c>
      <c r="C30" s="349">
        <v>14000</v>
      </c>
      <c r="D30" s="339"/>
      <c r="E30" s="349"/>
      <c r="F30" s="339"/>
      <c r="G30" s="349"/>
      <c r="H30" s="349"/>
      <c r="I30" s="376">
        <f>C30+E30+G30</f>
        <v>14000</v>
      </c>
      <c r="J30" s="376"/>
    </row>
    <row r="31" spans="1:10" ht="15.75" customHeight="1">
      <c r="B31" s="18" t="s">
        <v>33</v>
      </c>
      <c r="C31" s="363">
        <v>7.55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5976.3910688000005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105700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105700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7.55</v>
      </c>
      <c r="F34" s="365"/>
      <c r="G34" s="78"/>
      <c r="H34" s="78"/>
      <c r="I34" s="332">
        <f>IF(I33=0,"",I33/I30)</f>
        <v>7.55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5976.3910688000005</v>
      </c>
      <c r="F35" s="377"/>
      <c r="G35" s="230"/>
      <c r="H35" s="230"/>
      <c r="I35" s="331">
        <f>IF(I34="","",I34*$I$5/1000000)</f>
        <v>5976.3910688000005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7.55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10.824669164628279</v>
      </c>
      <c r="J37" s="325"/>
    </row>
    <row r="38" spans="2:11" ht="15.75" customHeight="1">
      <c r="B38" s="87" t="s">
        <v>281</v>
      </c>
      <c r="C38" s="326">
        <f>E34</f>
        <v>7.55</v>
      </c>
      <c r="D38" s="327"/>
      <c r="E38" s="6"/>
      <c r="F38" s="6"/>
      <c r="G38" s="323" t="s">
        <v>280</v>
      </c>
      <c r="H38" s="323"/>
      <c r="I38" s="324">
        <f ca="1">Val_Models!C47</f>
        <v>6.7210923719517268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0.43373101518255353</v>
      </c>
      <c r="F47" s="171">
        <f ca="1">I37/C38-1</f>
        <v>0.43373101518255353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-0.10978908980771829</v>
      </c>
      <c r="F48" s="171">
        <f ca="1">Val_Models!C47/C38-1</f>
        <v>-0.10978908980771829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0.59265768655112971</v>
      </c>
      <c r="F50" s="171">
        <f ca="1">IF(F47&lt;=0,0,AVERAGE(F41:F44,0.5*(1+F47+F48-C16)))</f>
        <v>0.59265768655112971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3.9505839418304549</v>
      </c>
      <c r="F51" s="234">
        <f ca="1">IF(F48&gt;=0,100,F47/ABS(F48))</f>
        <v>3.9505839418304549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2.9322395795558545</v>
      </c>
      <c r="F52" s="232">
        <f ca="1">MAX(C16*2.5/F47,1)+IF(F47&lt;C16,100,0)+IF(D18&lt;0,100,0)+IF(J20=1,2/(1+F47+F48-C16),0)</f>
        <v>2.9322395795558545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0.16695371573924997</v>
      </c>
      <c r="F53" s="217">
        <f ca="1">MIN(MAX(F50-ABS((1-F50)/F51),0)/F52,H53)</f>
        <v>0.16695371573924997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1047444.0659486974</v>
      </c>
      <c r="E6" s="149">
        <f>1-D6/D3</f>
        <v>0.74370801610390003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1.3232404986343296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3.9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3.9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3.9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50606</v>
      </c>
      <c r="D53" s="54">
        <f>IF(E53=0, 0,E53/C53)</f>
        <v>1.5097682893590099</v>
      </c>
      <c r="E53" s="51">
        <f>MAX(C53,C53*Dashboard!I10)</f>
        <v>76403.334051302052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4682208.8956513014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.15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G17" sqref="G17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1504928.1659486978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1.9011820883391566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-76403.334051302052</v>
      </c>
      <c r="D18" s="106">
        <f>C18/(Dashboard!I5/Data!C4)</f>
        <v>-9.6520653592897368E-2</v>
      </c>
      <c r="E18" s="355"/>
      <c r="F18" s="89">
        <f>D15+(MIN(D4,0)*Data!C$4/Dashboard!I5)</f>
        <v>2.9812476032592521</v>
      </c>
      <c r="G18" s="88">
        <f>SUM(D16:D18)</f>
        <v>-1.0800655149200953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11.116241982299222</v>
      </c>
      <c r="G22" s="271">
        <f>F22*Exchange_Rate</f>
        <v>11.116241982299222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20.193763668886746</v>
      </c>
      <c r="G23" s="272">
        <f>F23*Exchange_Rate</f>
        <v>20.193763668886746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15.392403091088131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7.55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0.7248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-0.77156299017820373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-0.80538554828763098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1.3232404986343296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0.51785495034669859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8.4013654649396585</v>
      </c>
      <c r="D44" s="262" t="str">
        <f>Dashboard!J4</f>
        <v>HKD</v>
      </c>
      <c r="E44" s="263">
        <f ca="1">(C44-G16)/C9</f>
        <v>-2.6626716698353019</v>
      </c>
      <c r="F44" s="263">
        <f ca="1">C44/(Data!C29*Exchange_Rate*Data!C4/Common_Shares)</f>
        <v>1.615810849207874</v>
      </c>
      <c r="G44" s="263">
        <f ca="1">C44/(Data!C7*Data!C4*Exchange_Rate/Common_Shares)</f>
        <v>0.62022820032610726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-4.7699072467932009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10.824669164628279</v>
      </c>
      <c r="D46" s="256" t="str">
        <f>D45</f>
        <v>HKD</v>
      </c>
      <c r="E46" s="223">
        <f ca="1">(C46-G16)/C9</f>
        <v>-3.6553301434093974</v>
      </c>
      <c r="F46" s="223">
        <f ca="1">C46/(Asset_Model!I3*Exchange_Rate*Data!C4/Common_Shares)</f>
        <v>2.1228634845527439</v>
      </c>
      <c r="G46" s="223">
        <f ca="1">C46/(Data!C7*Data!C4*Exchange_Rate/Common_Shares)</f>
        <v>0.79912784452963026</v>
      </c>
    </row>
    <row r="47" spans="1:9" ht="15.75" customHeight="1">
      <c r="B47" s="84" t="s">
        <v>280</v>
      </c>
      <c r="C47" s="259">
        <f ca="1">MAX(G41,C44)/(1+Dashboard!I14)</f>
        <v>6.7210923719517268</v>
      </c>
      <c r="D47" s="260" t="str">
        <f>D45</f>
        <v>HKD</v>
      </c>
      <c r="E47" s="224">
        <f ca="1">(C47-G16)/C9</f>
        <v>-1.9743810012379883</v>
      </c>
      <c r="F47" s="224">
        <f ca="1">C47/(Asset_Model!I3*Exchange_Rate*Data!C4/Common_Shares)</f>
        <v>1.318096780208827</v>
      </c>
      <c r="G47" s="224">
        <f ca="1">C47/(Data!C7*Data!C4*Exchange_Rate/Common_Shares)</f>
        <v>0.49618256026088575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2023-09-08T07:44:58Z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