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42111531-F860-43AF-868C-FF7B8A07212C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s="1"/>
  <c r="C47" i="4" s="1"/>
  <c r="F47" i="4" l="1"/>
  <c r="E47" i="4"/>
  <c r="I38" i="1"/>
  <c r="F48" i="1"/>
  <c r="E48" i="1"/>
  <c r="G47" i="4"/>
  <c r="G44" i="4"/>
  <c r="C46" i="4"/>
  <c r="E44" i="4"/>
  <c r="F44" i="4"/>
  <c r="E14" i="1"/>
  <c r="G46" i="4" l="1"/>
  <c r="I37" i="1"/>
  <c r="F46" i="4"/>
  <c r="E46" i="4"/>
  <c r="B17" i="1" l="1"/>
  <c r="D17" i="1" s="1"/>
  <c r="D18" i="1"/>
  <c r="F47" i="1"/>
  <c r="E47" i="1"/>
  <c r="D16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<sst xmlns="http://schemas.openxmlformats.org/spreadsheetml/2006/main" count="476" uniqueCount="408">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</sst>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2.59</v>
      </c>
      <c r="J4" s="222" t="s">
        <v>6</v>
      </c>
      <c r="K4" s="92"/>
    </row>
    <row r="5" spans="1:12" ht="15.75" customHeight="1">
      <c r="B5" s="5" t="s">
        <v>7</v>
      </c>
      <c r="C5" s="340">
        <v>44771</v>
      </c>
      <c r="D5" s="339"/>
      <c r="E5" s="79" t="str">
        <f ca="1">IF(C5+30&gt;=TODAY(),"Patience Premium","")</f>
        <v/>
      </c>
      <c r="G5" s="5" t="s">
        <v>8</v>
      </c>
      <c r="I5" s="349">
        <v>1826710016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4731.17894144</v>
      </c>
      <c r="J6" s="350"/>
      <c r="K6" s="91"/>
    </row>
    <row r="7" spans="1:12" ht="15.75" customHeight="1">
      <c r="B7" s="86" t="s">
        <v>10</v>
      </c>
      <c r="C7" s="218">
        <f>(Data!C42*Exchange_Rate)/I4</f>
        <v>3.1203850420222418E-2</v>
      </c>
      <c r="D7" s="218">
        <f>(Data!C43*Exchange_Rate)/I4</f>
        <v>1.2311096392873278E-2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1.0527301842753289</v>
      </c>
      <c r="J10" s="223">
        <f>I4/(Data!C7*Data!C4/Common_Shares*Exchange_Rate)</f>
        <v>8.0938082252973675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2.59</v>
      </c>
      <c r="C16" s="373">
        <v>0.2</v>
      </c>
      <c r="D16" s="238">
        <f ca="1">I37/B16-(1+C16)</f>
        <v>-0.12837097357858829</v>
      </c>
      <c r="E16" s="354" t="s">
        <v>21</v>
      </c>
      <c r="F16" s="351">
        <f>(Val_Models!G16)*Exchange_Rate</f>
        <v>1.7329200378129421</v>
      </c>
      <c r="G16" s="354" t="s">
        <v>22</v>
      </c>
      <c r="H16" s="239">
        <f>B16-$F$16</f>
        <v>0.85707996218705773</v>
      </c>
      <c r="I16" s="367">
        <v>3.4000000000000002E-2</v>
      </c>
      <c r="J16" s="166">
        <f>I16/B16</f>
        <v>1.312741312741313E-2</v>
      </c>
    </row>
    <row r="17" spans="1:10" ht="15.75" customHeight="1">
      <c r="B17" s="116">
        <f ca="1">MIN((I37+I38)/2,I37/(1+C16), IF(J20=0,E14,I37/(1+C16)))</f>
        <v>2.1717830853040914</v>
      </c>
      <c r="C17" s="374"/>
      <c r="D17" s="149">
        <f ca="1">I37/B17-(1+C16)</f>
        <v>7.7990973045464429E-2</v>
      </c>
      <c r="E17" s="355"/>
      <c r="F17" s="352"/>
      <c r="G17" s="355"/>
      <c r="H17" s="236">
        <f ca="1">B17-$F$16</f>
        <v>0.43886304749114924</v>
      </c>
      <c r="I17" s="368"/>
      <c r="J17" s="149">
        <f ca="1">I16/B17</f>
        <v>1.5655338799749122E-2</v>
      </c>
    </row>
    <row r="18" spans="1:10" ht="15.75" customHeight="1">
      <c r="B18" s="129">
        <f>C37</f>
        <v>1.89</v>
      </c>
      <c r="C18" s="375"/>
      <c r="D18" s="237">
        <f ca="1">I37/B18-(1+C16)</f>
        <v>0.26852866583674961</v>
      </c>
      <c r="E18" s="356"/>
      <c r="F18" s="353"/>
      <c r="G18" s="356"/>
      <c r="H18" s="98">
        <f>B18-$F$16</f>
        <v>0.15707996218705778</v>
      </c>
      <c r="I18" s="369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0.17181818181818181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0.17181818181818181</v>
      </c>
      <c r="J29" s="370"/>
    </row>
    <row r="30" spans="1:10" ht="15.75" customHeight="1">
      <c r="B30" s="18" t="s">
        <v>32</v>
      </c>
      <c r="C30" s="349">
        <v>60000</v>
      </c>
      <c r="D30" s="339"/>
      <c r="E30" s="349"/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1.89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3452.4819302399997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113400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113400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1.89</v>
      </c>
      <c r="F34" s="365"/>
      <c r="G34" s="78"/>
      <c r="H34" s="78"/>
      <c r="I34" s="332">
        <f>IF(I33=0,"",I33/I30)</f>
        <v>1.89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3452.4819302399997</v>
      </c>
      <c r="F35" s="377"/>
      <c r="G35" s="230"/>
      <c r="H35" s="230"/>
      <c r="I35" s="331">
        <f>IF(I34="","",I34*$I$5/1000000)</f>
        <v>3452.4819302399997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2.7755191784314563</v>
      </c>
      <c r="J37" s="325"/>
    </row>
    <row r="38" spans="2:11" ht="15.75" customHeight="1">
      <c r="B38" s="87" t="s">
        <v>280</v>
      </c>
      <c r="C38" s="326">
        <f>E34</f>
        <v>1.89</v>
      </c>
      <c r="D38" s="327"/>
      <c r="E38" s="6"/>
      <c r="F38" s="6"/>
      <c r="G38" s="323" t="s">
        <v>279</v>
      </c>
      <c r="H38" s="323"/>
      <c r="I38" s="324">
        <f ca="1">Val_Models!C47</f>
        <v>1.5680469921767264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3.9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3.9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466314.9414400002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.15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