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E62F25A2-D36E-4E95-B489-298AC4BB3C7E}" xr6:coauthVersionLast="47" xr6:coauthVersionMax="47" xr10:uidLastSave="{00000000-0000-0000-0000-000000000000}"/>
  <bookViews>
    <workbookView xWindow="1520" yWindow="1520" windowWidth="14400" windowHeight="736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C32" i="4" l="1"/>
  <c r="E45" i="1"/>
  <c r="F45" i="1"/>
  <c r="E14" i="1"/>
  <c r="B17" i="1" s="1"/>
  <c r="E27" i="4"/>
  <c r="F27" i="4"/>
  <c r="F31" i="4"/>
  <c r="E31" i="4"/>
  <c r="D18" i="1"/>
  <c r="D16" i="1"/>
  <c r="E46" i="1" l="1"/>
  <c r="E49" i="1" s="1"/>
  <c r="F46" i="1"/>
  <c r="F49" i="1" s="1"/>
  <c r="F48" i="1"/>
  <c r="F50" i="1"/>
  <c r="E48" i="1"/>
  <c r="E50" i="1"/>
  <c r="F32" i="4"/>
  <c r="E32" i="4"/>
  <c r="I36" i="1"/>
  <c r="H17" i="1"/>
  <c r="D17" i="1"/>
  <c r="J17" i="1"/>
  <c r="F51" i="1" l="1"/>
  <c r="E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<sst xmlns="http://schemas.openxmlformats.org/spreadsheetml/2006/main" count="411" uniqueCount="342">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</sst>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opLeftCell="A25" zoomScaleNormal="100" workbookViewId="0">
      <selection activeCell="F54" sqref="F54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5" t="s">
        <v>324</v>
      </c>
      <c r="D3" s="376"/>
      <c r="E3" s="15"/>
      <c r="G3" s="7" t="s">
        <v>2</v>
      </c>
      <c r="I3" s="387" t="s">
        <v>3</v>
      </c>
      <c r="J3" s="388"/>
    </row>
    <row r="4" spans="1:12" ht="15.75" customHeight="1">
      <c r="B4" s="5" t="s">
        <v>4</v>
      </c>
      <c r="C4" s="377" t="s">
        <v>325</v>
      </c>
      <c r="D4" s="378"/>
      <c r="E4" s="6"/>
      <c r="G4" s="5" t="s">
        <v>5</v>
      </c>
      <c r="I4" s="32">
        <v>1.61</v>
      </c>
      <c r="J4" s="33" t="s">
        <v>6</v>
      </c>
      <c r="K4" s="149"/>
    </row>
    <row r="5" spans="1:12" ht="15.75" customHeight="1">
      <c r="B5" s="5" t="s">
        <v>7</v>
      </c>
      <c r="C5" s="379">
        <v>44931</v>
      </c>
      <c r="D5" s="378"/>
      <c r="E5" s="120" t="str">
        <f ca="1">IF(C5+30&gt;=TODAY(),"Patience Premium","")</f>
        <v/>
      </c>
      <c r="G5" s="5" t="s">
        <v>8</v>
      </c>
      <c r="I5" s="389">
        <v>1333330048</v>
      </c>
      <c r="J5" s="39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91">
        <f>I4*I5/1000000</f>
        <v>2146.6613772800001</v>
      </c>
      <c r="J6" s="392"/>
      <c r="K6" s="148"/>
    </row>
    <row r="7" spans="1:12" ht="15.75" customHeight="1">
      <c r="B7" s="136" t="s">
        <v>10</v>
      </c>
      <c r="C7" s="142">
        <f>(Data!C39*Exchange_Rate)/I4</f>
        <v>4.8931236597668001E-2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30.351537584415926</v>
      </c>
      <c r="J9" s="48">
        <f>IF(I9="NNI","NNI",1/I9)</f>
        <v>3.2947259993623933E-2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0.69674300664211719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6">
        <f ca="1">C12-D10</f>
        <v>5.1000000000000004E-2</v>
      </c>
      <c r="D11" s="407"/>
      <c r="E11" s="13"/>
      <c r="G11" s="5" t="s">
        <v>15</v>
      </c>
      <c r="H11" s="6"/>
      <c r="I11" s="404" t="s">
        <v>326</v>
      </c>
      <c r="J11" s="405"/>
    </row>
    <row r="12" spans="1:12" ht="15.75" customHeight="1" thickTop="1">
      <c r="B12" s="289" t="s">
        <v>143</v>
      </c>
      <c r="C12" s="402">
        <f ca="1">IF(C10="CN",8%,6%)*IF($C$5+30&gt;=TODAY(),1.2,1)</f>
        <v>0.08</v>
      </c>
      <c r="D12" s="403"/>
      <c r="G12" s="131" t="s">
        <v>16</v>
      </c>
      <c r="H12" s="130"/>
      <c r="I12" s="132">
        <v>1.0926403601964314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1.6464258352315482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1.61</v>
      </c>
      <c r="C16" s="359"/>
      <c r="D16" s="156">
        <f>I35/B16-1</f>
        <v>0.19270923282268471</v>
      </c>
      <c r="E16" s="396" t="s">
        <v>23</v>
      </c>
      <c r="F16" s="393">
        <f>('FCFF Model'!G16)*Exchange_Rate</f>
        <v>1.9079569479655942</v>
      </c>
      <c r="G16" s="396" t="s">
        <v>24</v>
      </c>
      <c r="H16" s="355">
        <f>B16-$F$16</f>
        <v>-0.29795694796559413</v>
      </c>
      <c r="I16" s="414">
        <v>2.5100000000000001E-2</v>
      </c>
      <c r="J16" s="158">
        <f>I16/B16</f>
        <v>1.5590062111801242E-2</v>
      </c>
    </row>
    <row r="17" spans="1:10" ht="15.75" customHeight="1">
      <c r="B17" s="269">
        <f>E14/(1+C17)</f>
        <v>1.4967507593014073</v>
      </c>
      <c r="C17" s="360">
        <v>0.1</v>
      </c>
      <c r="D17" s="268">
        <f>I35/B17-1</f>
        <v>0.28295366006080047</v>
      </c>
      <c r="E17" s="397"/>
      <c r="F17" s="394"/>
      <c r="G17" s="397"/>
      <c r="H17" s="356">
        <f>B17-$F$16</f>
        <v>-0.4112061886641869</v>
      </c>
      <c r="I17" s="415"/>
      <c r="J17" s="159">
        <f>I16/B17</f>
        <v>1.6769659105912302E-2</v>
      </c>
    </row>
    <row r="18" spans="1:10" ht="15.75" customHeight="1">
      <c r="B18" s="323">
        <f>C35</f>
        <v>1.42</v>
      </c>
      <c r="C18" s="358"/>
      <c r="D18" s="157">
        <f>I35/B18-1</f>
        <v>0.35229708791867798</v>
      </c>
      <c r="E18" s="398"/>
      <c r="F18" s="395"/>
      <c r="G18" s="398"/>
      <c r="H18" s="357">
        <f>B18-$F$16</f>
        <v>-0.4879569479655943</v>
      </c>
      <c r="I18" s="416"/>
      <c r="J18" s="160">
        <f>I16/B18</f>
        <v>1.767605633802817E-2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2" t="s">
        <v>329</v>
      </c>
      <c r="D21" s="383"/>
      <c r="E21" s="383"/>
      <c r="F21" s="383"/>
      <c r="G21" s="383"/>
      <c r="H21" s="383"/>
      <c r="I21" s="383"/>
      <c r="J21" s="384"/>
    </row>
    <row r="22" spans="1:10" ht="52.5" customHeight="1">
      <c r="A22" s="6"/>
      <c r="B22" s="24" t="s">
        <v>27</v>
      </c>
      <c r="C22" s="400" t="s">
        <v>330</v>
      </c>
      <c r="D22" s="401"/>
      <c r="E22" s="401"/>
      <c r="F22" s="401"/>
      <c r="G22" s="400" t="s">
        <v>331</v>
      </c>
      <c r="H22" s="400"/>
      <c r="I22" s="401"/>
      <c r="J22" s="401"/>
    </row>
    <row r="23" spans="1:10" ht="52.5" customHeight="1">
      <c r="A23" s="6"/>
      <c r="B23" s="25" t="s">
        <v>28</v>
      </c>
      <c r="C23" s="385" t="s">
        <v>332</v>
      </c>
      <c r="D23" s="386"/>
      <c r="E23" s="386"/>
      <c r="F23" s="386"/>
      <c r="G23" s="385" t="s">
        <v>333</v>
      </c>
      <c r="H23" s="385"/>
      <c r="I23" s="386"/>
      <c r="J23" s="386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3" t="s">
        <v>341</v>
      </c>
      <c r="I25" s="30"/>
      <c r="J25" s="362">
        <v>0.25</v>
      </c>
    </row>
    <row r="26" spans="1:10" ht="15.75" customHeight="1">
      <c r="B26" s="23" t="s">
        <v>31</v>
      </c>
      <c r="C26" s="380">
        <v>44932</v>
      </c>
      <c r="D26" s="381"/>
      <c r="E26" s="420" t="str">
        <f>IF(C26="","","Action_Planning")</f>
        <v>Action_Planning</v>
      </c>
      <c r="F26" s="421"/>
      <c r="G26" s="421"/>
      <c r="H26" s="422"/>
      <c r="I26" s="399" t="s">
        <v>32</v>
      </c>
      <c r="J26" s="399"/>
    </row>
    <row r="27" spans="1:10" ht="15.75" customHeight="1">
      <c r="B27" s="23" t="s">
        <v>33</v>
      </c>
      <c r="C27" s="413">
        <f>C31/D25</f>
        <v>0.15509090909090908</v>
      </c>
      <c r="D27" s="412"/>
      <c r="E27" s="411">
        <f>E31/D25</f>
        <v>0.12909090909090909</v>
      </c>
      <c r="F27" s="412"/>
      <c r="G27" s="418">
        <f>G31/D25</f>
        <v>0</v>
      </c>
      <c r="H27" s="419"/>
      <c r="I27" s="417">
        <f>C27+E27+G27</f>
        <v>0.2841818181818182</v>
      </c>
      <c r="J27" s="417"/>
    </row>
    <row r="28" spans="1:10" ht="15.75" customHeight="1">
      <c r="B28" s="23" t="s">
        <v>34</v>
      </c>
      <c r="C28" s="436">
        <v>60000</v>
      </c>
      <c r="D28" s="401"/>
      <c r="E28" s="436">
        <v>60000</v>
      </c>
      <c r="F28" s="401"/>
      <c r="G28" s="389"/>
      <c r="H28" s="390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401"/>
      <c r="E29" s="437">
        <v>1.42</v>
      </c>
      <c r="F29" s="401"/>
      <c r="G29" s="409"/>
      <c r="H29" s="410"/>
      <c r="I29" s="408"/>
      <c r="J29" s="408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1893.3286681599998</v>
      </c>
      <c r="F30" s="432"/>
      <c r="G30" s="371">
        <f>G29*$I$5/1000000</f>
        <v>0</v>
      </c>
      <c r="H30" s="372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85200</v>
      </c>
      <c r="F31" s="435"/>
      <c r="G31" s="373">
        <f>G28*G29</f>
        <v>0</v>
      </c>
      <c r="H31" s="374"/>
      <c r="I31" s="425">
        <f>C31+E31+G31</f>
        <v>187560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1.5629999999999999</v>
      </c>
      <c r="F32" s="412"/>
      <c r="G32" s="115"/>
      <c r="H32" s="115"/>
      <c r="I32" s="427">
        <f>IF(I31=0,"",I31/I28)</f>
        <v>1.5629999999999999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2083.9948650239999</v>
      </c>
      <c r="F33" s="432"/>
      <c r="G33" s="116"/>
      <c r="H33" s="116"/>
      <c r="I33" s="424">
        <f>IF(I32="","",I32*$I$5/1000000)</f>
        <v>2083.9948650239999</v>
      </c>
      <c r="J33" s="424"/>
    </row>
    <row r="34" spans="2:11" ht="15.75" customHeight="1"/>
    <row r="35" spans="2:11" ht="15.75" customHeight="1">
      <c r="B35" s="143" t="s">
        <v>286</v>
      </c>
      <c r="C35" s="367">
        <f>E29</f>
        <v>1.42</v>
      </c>
      <c r="D35" s="368"/>
      <c r="G35" s="369" t="s">
        <v>317</v>
      </c>
      <c r="H35" s="370"/>
      <c r="I35" s="365">
        <f>'FCFF Model'!C31</f>
        <v>1.9202618648445227</v>
      </c>
      <c r="J35" s="366"/>
    </row>
    <row r="36" spans="2:11" ht="15.75" customHeight="1">
      <c r="B36" s="143" t="s">
        <v>318</v>
      </c>
      <c r="C36" s="367">
        <f>E32</f>
        <v>1.5629999999999999</v>
      </c>
      <c r="D36" s="368"/>
      <c r="G36" s="364" t="s">
        <v>315</v>
      </c>
      <c r="H36" s="364"/>
      <c r="I36" s="365">
        <f>'FCFF Model'!C32</f>
        <v>1.5174412675390871</v>
      </c>
      <c r="J36" s="366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0.12559312124532407</v>
      </c>
      <c r="F45" s="332">
        <f>I35/C36-1</f>
        <v>0.22857444967659801</v>
      </c>
    </row>
    <row r="46" spans="2:11" ht="15.75" customHeight="1">
      <c r="B46" s="3" t="s">
        <v>300</v>
      </c>
      <c r="E46" s="329">
        <f>'FCFF Model'!C32/C29-1</f>
        <v>-0.11052680683523608</v>
      </c>
      <c r="F46" s="332">
        <f>'FCFF Model'!C32/C36-1</f>
        <v>-2.9148261331358172E-2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0.57665136774455861</v>
      </c>
      <c r="F48" s="329">
        <f>IF(F45&lt;=0,0,AVERAGE(F39:F41,1-F42,F45/J25))</f>
        <v>0.65903643048957772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1.1363136676204495</v>
      </c>
      <c r="F49" s="328">
        <f>IF(F46&gt;=0,100,F45/ABS(F46))</f>
        <v>7.8417867562719401</v>
      </c>
      <c r="G49" s="73"/>
    </row>
    <row r="50" spans="2:9" ht="15.75" customHeight="1">
      <c r="B50" s="3" t="s">
        <v>340</v>
      </c>
      <c r="E50" s="361">
        <f>MAX(J25*2/E45,1)</f>
        <v>3.9811097538004327</v>
      </c>
      <c r="F50" s="361">
        <f>MAX(J25*2/F45,1)</f>
        <v>2.1874710874615797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5.1264145288331488E-2</v>
      </c>
      <c r="F51" s="327">
        <f>MIN(MAX(F48-ABS((1-F48)/F49),0)/F50,H51)</f>
        <v>0.28140078837484456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3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2.3047718127798005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1.5174412675390871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401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40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-692854.62271999987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Analysis'!$E$64</f>
        <v>1.6464258352315482</v>
      </c>
      <c r="D27" s="117" t="str">
        <f>Dashboard!J4</f>
        <v>HKD</v>
      </c>
      <c r="E27" s="118">
        <f>(C27-G16)/C9</f>
        <v>-392.04659006147989</v>
      </c>
      <c r="F27" s="155">
        <f>C27/(Data!C28*Exchange_Rate*Data!C4/Common_Shares)</f>
        <v>0.71250663767235278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2.0742946315018207</v>
      </c>
      <c r="D30" s="334" t="str">
        <f>D27</f>
        <v>HKD</v>
      </c>
      <c r="E30" s="118">
        <f>(C30-G16)/C9</f>
        <v>1289.3749399100532</v>
      </c>
      <c r="F30" s="155">
        <f>C30/(Asset_Model!I3*Exchange_Rate*Data!C4/Common_Shares)</f>
        <v>0.90000000000000013</v>
      </c>
      <c r="I30" s="73"/>
    </row>
    <row r="31" spans="2:9" ht="15.75" customHeight="1">
      <c r="B31" s="352" t="s">
        <v>307</v>
      </c>
      <c r="C31" s="350">
        <f>MIN(C30,C27)+ABS(C30-C27)*'Qualitative Analysis'!E8</f>
        <v>1.9202618648445227</v>
      </c>
      <c r="D31" s="334" t="str">
        <f>D30</f>
        <v>HKD</v>
      </c>
      <c r="E31" s="118">
        <f>(C31-G16)/C9</f>
        <v>684.06318912030156</v>
      </c>
      <c r="F31" s="155">
        <f>C31/(Asset_Model!I3*Exchange_Rate*Data!C4/Common_Shares)</f>
        <v>0.83316788855052948</v>
      </c>
      <c r="I31" s="73"/>
    </row>
    <row r="32" spans="2:9" ht="15.75" customHeight="1">
      <c r="B32" s="333" t="s">
        <v>315</v>
      </c>
      <c r="C32" s="350">
        <f>MIN(MIN(G24,C27)+ABS(G24-C27)*'Qualitative Analysis'!E8,Asset_Model!D7)</f>
        <v>1.5174412675390871</v>
      </c>
      <c r="D32" s="334" t="str">
        <f>D30</f>
        <v>HKD</v>
      </c>
      <c r="E32" s="118">
        <f>(C32-G16)/C9</f>
        <v>-898.92493931875856</v>
      </c>
      <c r="F32" s="155">
        <f>C32/(Asset_Model!I3*Exchange_Rate*Data!C4/Common_Shares)</f>
        <v>0.65839110801554412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2023-06-21T10:49:04Z</dcterms:modified>
  <cp:category/>
  <cp:contentStatus/>
</cp:coreProperties>
</file>