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User\Desktop\Valuation\中通快遞 2057\"/>
    </mc:Choice>
  </mc:AlternateContent>
  <xr:revisionPtr revIDLastSave="0" documentId="13_ncr:1_{ED1732E1-42D1-471B-9B1B-2BD9EB34C989}" xr6:coauthVersionLast="46" xr6:coauthVersionMax="46" xr10:uidLastSave="{00000000-0000-0000-0000-000000000000}"/>
  <bookViews>
    <workbookView xWindow="-120" yWindow="-120" windowWidth="29040" windowHeight="15840" activeTab="2" xr2:uid="{00000000-000D-0000-FFFF-FFFF00000000}"/>
  </bookViews>
  <sheets>
    <sheet name="Master Inputs" sheetId="1" r:id="rId1"/>
    <sheet name="Adj" sheetId="11" r:id="rId2"/>
    <sheet name="Scenarios" sheetId="14" r:id="rId3"/>
    <sheet name="WACC" sheetId="9" r:id="rId4"/>
    <sheet name="Bear Model" sheetId="19" r:id="rId5"/>
    <sheet name="Base Model" sheetId="15" r:id="rId6"/>
    <sheet name="Bull Model" sheetId="18" r:id="rId7"/>
    <sheet name="Readme" sheetId="2" r:id="rId8"/>
  </sheets>
  <definedNames>
    <definedName name="_xlnm._FilterDatabase" localSheetId="5" hidden="1">'Base Model'!$G$6:$G$6</definedName>
    <definedName name="_xlnm._FilterDatabase" localSheetId="4" hidden="1">'Bear Model'!$G$6:$G$6</definedName>
    <definedName name="_xlnm._FilterDatabase" localSheetId="6" hidden="1">'Bull Model'!#REF!</definedName>
    <definedName name="Adj_Ebit">Adj!$C$16</definedName>
    <definedName name="Adj_Effective_T">Adj!$C$35</definedName>
    <definedName name="Adj_WCSalesRatio" comment="Adjusted WC-Sales Ratio">Adj!$C$60</definedName>
    <definedName name="Base_Ebit_g">Scenarios!$E$4</definedName>
    <definedName name="Base_ReinvestRate">Scenarios!$E$5</definedName>
    <definedName name="Base_ROC" comment="Base Case AfterTax ROC">Adj!$C$47</definedName>
    <definedName name="Bear_Ebit_g">Scenarios!$D$4</definedName>
    <definedName name="Bear_ReinvestRate">Scenarios!$D$5</definedName>
    <definedName name="Bear_ROC" comment="Bear Case AfterTax ROC">Adj!$B$47</definedName>
    <definedName name="Bull_Ebit_g">Scenarios!$F$4</definedName>
    <definedName name="Bull_ReinvestRate">Scenarios!$F$5</definedName>
    <definedName name="Bull_ROC" comment="Bull Case AfterTax ROC">Adj!$D$47</definedName>
    <definedName name="Cash">'Master Inputs'!$N$14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Inputs'!$P$14</definedName>
    <definedName name="Cur_Sales">'Master Inputs'!$B$14</definedName>
    <definedName name="Cur_Sales_Diff" comment="Current Year Sales - Last Year Sales">'Master Inputs'!$B$14-'Master Inputs'!$B$17</definedName>
    <definedName name="Cur_WC_Change">'Master Inputs'!$W$14</definedName>
    <definedName name="Current_Asset">'Master Inputs'!$I1</definedName>
    <definedName name="Current_Liabilities">'Master Inputs'!$J1</definedName>
    <definedName name="Current_Price">'Master Inputs'!$B$5</definedName>
    <definedName name="Exchange_Rate">'Master Inputs'!$F$6</definedName>
    <definedName name="In_Capex">'Master Inputs'!$S1</definedName>
    <definedName name="In_Cash">'Master Inputs'!$N1</definedName>
    <definedName name="In_Debt">'Master Inputs'!$K1</definedName>
    <definedName name="In_Dep">'Master Inputs'!$T1</definedName>
    <definedName name="In_EBIT">'Master Inputs'!$D1</definedName>
    <definedName name="In_Equity">'Master Inputs'!$L1</definedName>
    <definedName name="In_NetCapex">'Master Inputs'!$U1</definedName>
    <definedName name="In_Sales">'Master Inputs'!$B1</definedName>
    <definedName name="In_WCInv">'Master Inputs'!$W1</definedName>
    <definedName name="Is_Listed">'Master Inputs'!$B$4</definedName>
    <definedName name="M_beyond10K">'Master Inputs'!$F$9</definedName>
    <definedName name="Marginal_TaxRate">Adj!$C$32</definedName>
    <definedName name="MI">'Master Inputs'!$M$14</definedName>
    <definedName name="Model_CAP_Length" localSheetId="4">'Bear Model'!$C$8</definedName>
    <definedName name="Model_CAP_Length" localSheetId="6">'Bull Model'!$C$8</definedName>
    <definedName name="Model_CAP_Length">'Base Model'!$C$8</definedName>
    <definedName name="Model_Ebit" localSheetId="4">'Bear Model'!A$20</definedName>
    <definedName name="Model_Ebit" localSheetId="6">'Bull Model'!A$20</definedName>
    <definedName name="Model_Ebit">'Base Model'!A$20</definedName>
    <definedName name="Model_Ebit_g" localSheetId="4">'Bear Model'!$C$5</definedName>
    <definedName name="Model_Ebit_g" localSheetId="6">'Bull Model'!$C$5</definedName>
    <definedName name="Model_Ebit_g">'Base Model'!$C$5</definedName>
    <definedName name="Model_EbitGrowth_Total" localSheetId="4">'Bear Model'!A$19</definedName>
    <definedName name="Model_EbitGrowth_Total" localSheetId="6">'Bull Model'!A$19</definedName>
    <definedName name="Model_EbitGrowth_Total">'Base Model'!A$19</definedName>
    <definedName name="Model_EbitMargin" localSheetId="4">'Bear Model'!A$18</definedName>
    <definedName name="Model_EbitMargin" localSheetId="6">'Bull Model'!A$18</definedName>
    <definedName name="Model_EbitMargin">'Base Model'!A$18</definedName>
    <definedName name="Model_ReinvestRate" localSheetId="4">'Bear Model'!$C$6</definedName>
    <definedName name="Model_ReinvestRate" localSheetId="6">'Bull Model'!$C$6</definedName>
    <definedName name="Model_ReinvestRate">'Base Model'!$C$6</definedName>
    <definedName name="Model_Sales" localSheetId="4">'Bear Model'!A$17</definedName>
    <definedName name="Model_Sales" localSheetId="6">'Bull Model'!A$17</definedName>
    <definedName name="Model_Sales">'Base Model'!A$17</definedName>
    <definedName name="Model_Year" localSheetId="4">'Bear Model'!A$15</definedName>
    <definedName name="Model_Year" localSheetId="6">'Bull Model'!A$15</definedName>
    <definedName name="Model_Year">'Base Model'!A$15</definedName>
    <definedName name="MV_Debt">WACC!$C$48</definedName>
    <definedName name="NetCapex_Adj">Adj!$C$17</definedName>
    <definedName name="NonCash_WC">'Master Inputs'!$Q1</definedName>
    <definedName name="NonOperating_Assets">'Master Inputs'!$O$14</definedName>
    <definedName name="Num_of_Shares">'Master Inputs'!$B$6</definedName>
    <definedName name="PB_Company">'Master Inputs'!$I$5</definedName>
    <definedName name="Price_Currency">'Master Inputs'!$C$5</definedName>
    <definedName name="Riskfree_rate">WACC!$B$4</definedName>
    <definedName name="Stable_WACC">WACC!$C$18</definedName>
    <definedName name="Terminal_Ebit" localSheetId="4">'Bear Model'!$M$20</definedName>
    <definedName name="Terminal_Ebit" localSheetId="6">'Bull Model'!$M$20</definedName>
    <definedName name="Terminal_Ebit">'Base Model'!$M$20</definedName>
    <definedName name="Terminal_Ebit_g">Scenarios!$D$17</definedName>
    <definedName name="Terminal_EbitMargin" localSheetId="4">'Bear Model'!$M$18</definedName>
    <definedName name="Terminal_EbitMargin" localSheetId="6">'Bull Model'!$M$18</definedName>
    <definedName name="Terminal_EbitMargin">'Base Model'!$M$18</definedName>
    <definedName name="Terminal_Sales" localSheetId="4">'Bear Model'!$M$17</definedName>
    <definedName name="Terminal_Sales" localSheetId="6">'Bull Model'!$M$17</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61" i="14" l="1"/>
  <c r="D30" i="14"/>
  <c r="M49" i="19" s="1"/>
  <c r="D26" i="14"/>
  <c r="S19" i="1"/>
  <c r="S16" i="1"/>
  <c r="S13" i="1"/>
  <c r="K13" i="1"/>
  <c r="H19" i="1"/>
  <c r="H16" i="1"/>
  <c r="H13" i="1"/>
  <c r="C35" i="11"/>
  <c r="B14" i="1"/>
  <c r="L4" i="1" s="1"/>
  <c r="B17" i="1"/>
  <c r="B20" i="1"/>
  <c r="D14" i="1"/>
  <c r="L6" i="1" s="1"/>
  <c r="D17" i="1"/>
  <c r="D20" i="1"/>
  <c r="E44" i="19"/>
  <c r="D44" i="19"/>
  <c r="F42" i="19"/>
  <c r="F41" i="19"/>
  <c r="F40" i="19"/>
  <c r="M21" i="19"/>
  <c r="C8" i="19"/>
  <c r="L48" i="19" s="1"/>
  <c r="E44" i="18"/>
  <c r="D44" i="18"/>
  <c r="F42" i="18"/>
  <c r="F41" i="18"/>
  <c r="F40" i="18"/>
  <c r="M21" i="18"/>
  <c r="C8" i="18"/>
  <c r="L48" i="18" s="1"/>
  <c r="F42" i="15"/>
  <c r="F41" i="15"/>
  <c r="F40" i="15"/>
  <c r="F92" i="11"/>
  <c r="F91" i="11"/>
  <c r="F90" i="11"/>
  <c r="F88" i="11" s="1"/>
  <c r="M49" i="18" l="1"/>
  <c r="D42" i="18"/>
  <c r="D42" i="19"/>
  <c r="G6" i="18"/>
  <c r="L47" i="18"/>
  <c r="L47" i="19"/>
  <c r="K29" i="19"/>
  <c r="J28" i="19"/>
  <c r="L29" i="19"/>
  <c r="J16" i="19"/>
  <c r="J17" i="19"/>
  <c r="J19" i="19"/>
  <c r="J20" i="19"/>
  <c r="J27" i="19"/>
  <c r="K28" i="19"/>
  <c r="K16" i="19"/>
  <c r="K17" i="19"/>
  <c r="K19" i="19"/>
  <c r="K20" i="19"/>
  <c r="J23" i="19"/>
  <c r="J24" i="19"/>
  <c r="J25" i="19"/>
  <c r="J26" i="19"/>
  <c r="K27" i="19"/>
  <c r="L28" i="19"/>
  <c r="L16" i="19"/>
  <c r="L17" i="19"/>
  <c r="L19" i="19"/>
  <c r="L20" i="19"/>
  <c r="J22" i="19"/>
  <c r="K23" i="19"/>
  <c r="K24" i="19"/>
  <c r="K25" i="19"/>
  <c r="K26" i="19"/>
  <c r="L27" i="19"/>
  <c r="K22" i="19"/>
  <c r="L23" i="19"/>
  <c r="L24" i="19"/>
  <c r="L25" i="19"/>
  <c r="L26" i="19"/>
  <c r="C9" i="19"/>
  <c r="L22" i="19"/>
  <c r="J49" i="19"/>
  <c r="J48" i="19"/>
  <c r="K49" i="19"/>
  <c r="J47" i="19"/>
  <c r="K48" i="19"/>
  <c r="L49" i="19"/>
  <c r="J29" i="19"/>
  <c r="K47" i="19"/>
  <c r="L29" i="18"/>
  <c r="L28" i="18"/>
  <c r="L16" i="18"/>
  <c r="L17" i="18"/>
  <c r="L19" i="18"/>
  <c r="L20" i="18"/>
  <c r="L27" i="18"/>
  <c r="L23" i="18"/>
  <c r="L24" i="18"/>
  <c r="L25" i="18"/>
  <c r="L26" i="18"/>
  <c r="L22" i="18"/>
  <c r="L49" i="18"/>
  <c r="C17" i="11"/>
  <c r="J25" i="15" l="1"/>
  <c r="K25" i="15"/>
  <c r="L25" i="15"/>
  <c r="C16" i="9"/>
  <c r="E12" i="14" l="1"/>
  <c r="C53" i="14"/>
  <c r="C54" i="14"/>
  <c r="E58" i="14"/>
  <c r="D57" i="14"/>
  <c r="C39" i="14"/>
  <c r="C38" i="14"/>
  <c r="E43" i="14"/>
  <c r="D42" i="14"/>
  <c r="E27" i="14"/>
  <c r="C23" i="14"/>
  <c r="C22" i="14"/>
  <c r="D17" i="14"/>
  <c r="E87" i="11"/>
  <c r="M19" i="19" l="1"/>
  <c r="M19" i="18"/>
  <c r="B48" i="9"/>
  <c r="B57" i="9"/>
  <c r="D44" i="15"/>
  <c r="E44" i="15"/>
  <c r="M21" i="15"/>
  <c r="A75" i="11" l="1"/>
  <c r="A76" i="11"/>
  <c r="A77" i="11"/>
  <c r="A78" i="11"/>
  <c r="A79" i="11"/>
  <c r="A80" i="11"/>
  <c r="A81" i="11"/>
  <c r="A82" i="11"/>
  <c r="A83" i="11"/>
  <c r="A84" i="11"/>
  <c r="Y41" i="1"/>
  <c r="Y40" i="1"/>
  <c r="Y37" i="1"/>
  <c r="Y34" i="1"/>
  <c r="Y31" i="1"/>
  <c r="Y28" i="1"/>
  <c r="Y25" i="1"/>
  <c r="Y22" i="1"/>
  <c r="Y19" i="1"/>
  <c r="Y42" i="1"/>
  <c r="Y39" i="1"/>
  <c r="Y36" i="1"/>
  <c r="Y33" i="1"/>
  <c r="Y30" i="1"/>
  <c r="Y27" i="1"/>
  <c r="Y24" i="1"/>
  <c r="Y21" i="1"/>
  <c r="Y18" i="1"/>
  <c r="Y15" i="1"/>
  <c r="Y12" i="1"/>
  <c r="Q40" i="1"/>
  <c r="W37" i="1" s="1"/>
  <c r="X37" i="1" s="1"/>
  <c r="Q37" i="1"/>
  <c r="W34" i="1" s="1"/>
  <c r="X34" i="1" s="1"/>
  <c r="Q34" i="1"/>
  <c r="W31" i="1" s="1"/>
  <c r="X31" i="1" s="1"/>
  <c r="Q31" i="1"/>
  <c r="W28" i="1" s="1"/>
  <c r="X28" i="1" s="1"/>
  <c r="Q28" i="1"/>
  <c r="W25" i="1" s="1"/>
  <c r="X25" i="1" s="1"/>
  <c r="Q25" i="1"/>
  <c r="W22" i="1" s="1"/>
  <c r="X22" i="1" s="1"/>
  <c r="Q22" i="1"/>
  <c r="W19" i="1" s="1"/>
  <c r="X19" i="1" s="1"/>
  <c r="Q42" i="1"/>
  <c r="W39" i="1" s="1"/>
  <c r="X39" i="1" s="1"/>
  <c r="Q39" i="1"/>
  <c r="Q36" i="1"/>
  <c r="W33" i="1" s="1"/>
  <c r="X33" i="1" s="1"/>
  <c r="Q33" i="1"/>
  <c r="W30" i="1" s="1"/>
  <c r="X30" i="1" s="1"/>
  <c r="Q30" i="1"/>
  <c r="W27" i="1" s="1"/>
  <c r="X27" i="1" s="1"/>
  <c r="Q27" i="1"/>
  <c r="W24" i="1" s="1"/>
  <c r="X24" i="1" s="1"/>
  <c r="Q24" i="1"/>
  <c r="W21" i="1" s="1"/>
  <c r="X21" i="1" s="1"/>
  <c r="Q21" i="1"/>
  <c r="W18" i="1" s="1"/>
  <c r="X18" i="1" s="1"/>
  <c r="Q18" i="1"/>
  <c r="W15" i="1" s="1"/>
  <c r="X15" i="1" s="1"/>
  <c r="Q15" i="1"/>
  <c r="W12" i="1" s="1"/>
  <c r="X12" i="1" s="1"/>
  <c r="Q12" i="1"/>
  <c r="W40" i="1"/>
  <c r="X40" i="1" s="1"/>
  <c r="W41" i="1"/>
  <c r="X41" i="1" s="1"/>
  <c r="W42" i="1"/>
  <c r="X42" i="1" s="1"/>
  <c r="W36" i="1"/>
  <c r="X36" i="1" s="1"/>
  <c r="V40" i="1"/>
  <c r="V37" i="1"/>
  <c r="V34" i="1"/>
  <c r="V31" i="1"/>
  <c r="V28" i="1"/>
  <c r="V25" i="1"/>
  <c r="V22" i="1"/>
  <c r="V42" i="1"/>
  <c r="V39" i="1"/>
  <c r="V36" i="1"/>
  <c r="V33" i="1"/>
  <c r="V30" i="1"/>
  <c r="V27" i="1"/>
  <c r="V24" i="1"/>
  <c r="V21" i="1"/>
  <c r="V18" i="1"/>
  <c r="V15" i="1"/>
  <c r="V12" i="1"/>
  <c r="U40" i="1"/>
  <c r="U37" i="1"/>
  <c r="U34" i="1"/>
  <c r="U31" i="1"/>
  <c r="U28" i="1"/>
  <c r="U25" i="1"/>
  <c r="U22" i="1"/>
  <c r="U42" i="1"/>
  <c r="U39" i="1"/>
  <c r="U36" i="1"/>
  <c r="U33" i="1"/>
  <c r="U30" i="1"/>
  <c r="U27" i="1"/>
  <c r="U24" i="1"/>
  <c r="U21" i="1"/>
  <c r="U18" i="1"/>
  <c r="U15" i="1"/>
  <c r="U12" i="1"/>
  <c r="T14" i="1"/>
  <c r="R40" i="1"/>
  <c r="R37" i="1"/>
  <c r="R34" i="1"/>
  <c r="R31" i="1"/>
  <c r="R28" i="1"/>
  <c r="R25" i="1"/>
  <c r="R22" i="1"/>
  <c r="O14" i="1"/>
  <c r="N14" i="1"/>
  <c r="M14" i="1"/>
  <c r="L14" i="1"/>
  <c r="L5" i="1" s="1"/>
  <c r="J14" i="1"/>
  <c r="I14" i="1"/>
  <c r="F39" i="1"/>
  <c r="F36" i="1"/>
  <c r="F33" i="1"/>
  <c r="F30" i="1"/>
  <c r="F27" i="1"/>
  <c r="F24" i="1"/>
  <c r="F21" i="1"/>
  <c r="F18" i="1"/>
  <c r="F15" i="1"/>
  <c r="F12" i="1"/>
  <c r="F41" i="1"/>
  <c r="F13" i="1"/>
  <c r="D41" i="1"/>
  <c r="F38" i="1" s="1"/>
  <c r="D38" i="1"/>
  <c r="F35" i="1" s="1"/>
  <c r="D35" i="1"/>
  <c r="F32" i="1" s="1"/>
  <c r="D32" i="1"/>
  <c r="F29" i="1" s="1"/>
  <c r="D29" i="1"/>
  <c r="F26" i="1" s="1"/>
  <c r="D26" i="1"/>
  <c r="F23" i="1" s="1"/>
  <c r="D23" i="1"/>
  <c r="F20" i="1" s="1"/>
  <c r="F40" i="1"/>
  <c r="F37" i="1"/>
  <c r="F34" i="1"/>
  <c r="F31" i="1"/>
  <c r="F28" i="1"/>
  <c r="F25" i="1"/>
  <c r="F22" i="1"/>
  <c r="F19" i="1"/>
  <c r="F16" i="1"/>
  <c r="E19" i="1"/>
  <c r="E16" i="1"/>
  <c r="B41" i="1"/>
  <c r="O41" i="1" s="1"/>
  <c r="B38" i="1"/>
  <c r="Q38" i="1" s="1"/>
  <c r="W35" i="1" s="1"/>
  <c r="X35" i="1" s="1"/>
  <c r="B35" i="1"/>
  <c r="U35" i="1" s="1"/>
  <c r="B32" i="1"/>
  <c r="N32" i="1" s="1"/>
  <c r="B29" i="1"/>
  <c r="V29" i="1" s="1"/>
  <c r="B26" i="1"/>
  <c r="B23" i="1"/>
  <c r="M23" i="1" s="1"/>
  <c r="L20" i="1"/>
  <c r="F14" i="1" l="1"/>
  <c r="C26" i="1"/>
  <c r="F17" i="1"/>
  <c r="J20" i="1"/>
  <c r="I26" i="1"/>
  <c r="V32" i="1"/>
  <c r="I29" i="1"/>
  <c r="Q41" i="1"/>
  <c r="W38" i="1" s="1"/>
  <c r="X38" i="1" s="1"/>
  <c r="K26" i="1"/>
  <c r="E29" i="1"/>
  <c r="S32" i="1"/>
  <c r="E26" i="1"/>
  <c r="C29" i="1"/>
  <c r="M26" i="1"/>
  <c r="M29" i="1"/>
  <c r="T38" i="1"/>
  <c r="O26" i="1"/>
  <c r="T41" i="1"/>
  <c r="U38" i="1"/>
  <c r="P32" i="1"/>
  <c r="Y29" i="1" s="1"/>
  <c r="U41" i="1"/>
  <c r="E32" i="1"/>
  <c r="C35" i="1"/>
  <c r="J23" i="1"/>
  <c r="I32" i="1"/>
  <c r="G41" i="1"/>
  <c r="L23" i="1"/>
  <c r="M32" i="1"/>
  <c r="N41" i="1"/>
  <c r="S38" i="1"/>
  <c r="V38" i="1"/>
  <c r="R23" i="1"/>
  <c r="G35" i="1"/>
  <c r="S35" i="1"/>
  <c r="E35" i="1"/>
  <c r="C38" i="1"/>
  <c r="J26" i="1"/>
  <c r="I35" i="1"/>
  <c r="L26" i="1"/>
  <c r="M35" i="1"/>
  <c r="P23" i="1"/>
  <c r="Y20" i="1" s="1"/>
  <c r="S41" i="1"/>
  <c r="V41" i="1"/>
  <c r="R26" i="1"/>
  <c r="E38" i="1"/>
  <c r="C41" i="1"/>
  <c r="J29" i="1"/>
  <c r="I38" i="1"/>
  <c r="L29" i="1"/>
  <c r="M38" i="1"/>
  <c r="O20" i="1"/>
  <c r="P26" i="1"/>
  <c r="Y23" i="1" s="1"/>
  <c r="R29" i="1"/>
  <c r="E41" i="1"/>
  <c r="J32" i="1"/>
  <c r="I41" i="1"/>
  <c r="K23" i="1"/>
  <c r="L32" i="1"/>
  <c r="M41" i="1"/>
  <c r="O23" i="1"/>
  <c r="P29" i="1"/>
  <c r="Y26" i="1" s="1"/>
  <c r="R32" i="1"/>
  <c r="T20" i="1"/>
  <c r="Q23" i="1"/>
  <c r="W20" i="1" s="1"/>
  <c r="X20" i="1" s="1"/>
  <c r="R35" i="1"/>
  <c r="N38" i="1"/>
  <c r="L35" i="1"/>
  <c r="J38" i="1"/>
  <c r="G20" i="1"/>
  <c r="K29" i="1"/>
  <c r="L38" i="1"/>
  <c r="N20" i="1"/>
  <c r="O29" i="1"/>
  <c r="P35" i="1"/>
  <c r="Y32" i="1" s="1"/>
  <c r="T23" i="1"/>
  <c r="U23" i="1"/>
  <c r="Q26" i="1"/>
  <c r="W23" i="1" s="1"/>
  <c r="X23" i="1" s="1"/>
  <c r="R38" i="1"/>
  <c r="G38" i="1"/>
  <c r="J41" i="1"/>
  <c r="G23" i="1"/>
  <c r="K32" i="1"/>
  <c r="L41" i="1"/>
  <c r="N23" i="1"/>
  <c r="O32" i="1"/>
  <c r="P38" i="1"/>
  <c r="Y35" i="1" s="1"/>
  <c r="T26" i="1"/>
  <c r="U26" i="1"/>
  <c r="Q29" i="1"/>
  <c r="W26" i="1" s="1"/>
  <c r="X26" i="1" s="1"/>
  <c r="R41" i="1"/>
  <c r="V35" i="1"/>
  <c r="C20" i="1"/>
  <c r="G26" i="1"/>
  <c r="K35" i="1"/>
  <c r="N26" i="1"/>
  <c r="O35" i="1"/>
  <c r="P41" i="1"/>
  <c r="Y38" i="1" s="1"/>
  <c r="S23" i="1"/>
  <c r="T29" i="1"/>
  <c r="U29" i="1"/>
  <c r="V23" i="1"/>
  <c r="Q32" i="1"/>
  <c r="W29" i="1" s="1"/>
  <c r="X29" i="1" s="1"/>
  <c r="N35" i="1"/>
  <c r="J35" i="1"/>
  <c r="E20" i="1"/>
  <c r="C23" i="1"/>
  <c r="I20" i="1"/>
  <c r="G29" i="1"/>
  <c r="K38" i="1"/>
  <c r="M20" i="1"/>
  <c r="N29" i="1"/>
  <c r="O38" i="1"/>
  <c r="S26" i="1"/>
  <c r="T32" i="1"/>
  <c r="U32" i="1"/>
  <c r="V26" i="1"/>
  <c r="Q35" i="1"/>
  <c r="W32" i="1" s="1"/>
  <c r="X32" i="1" s="1"/>
  <c r="C32" i="1"/>
  <c r="E23" i="1"/>
  <c r="I23" i="1"/>
  <c r="G32" i="1"/>
  <c r="K41" i="1"/>
  <c r="S29" i="1"/>
  <c r="T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U19" i="1"/>
  <c r="V19" i="1" s="1"/>
  <c r="U16" i="1"/>
  <c r="V16" i="1" s="1"/>
  <c r="B17" i="18" l="1"/>
  <c r="B17" i="19"/>
  <c r="C14" i="1"/>
  <c r="M17" i="1"/>
  <c r="I17" i="1"/>
  <c r="E17" i="1"/>
  <c r="S17" i="1"/>
  <c r="N17" i="1"/>
  <c r="G17" i="1"/>
  <c r="C17" i="1"/>
  <c r="T17" i="1"/>
  <c r="L17" i="1"/>
  <c r="O17" i="1"/>
  <c r="J17" i="1"/>
  <c r="Q13" i="1"/>
  <c r="K14" i="1"/>
  <c r="E14" i="1"/>
  <c r="S14" i="1"/>
  <c r="U13" i="1"/>
  <c r="V13" i="1" s="1"/>
  <c r="S20" i="1"/>
  <c r="U20" i="1" s="1"/>
  <c r="V20" i="1" s="1"/>
  <c r="Q16" i="1"/>
  <c r="R16" i="1" s="1"/>
  <c r="B25" i="18" l="1"/>
  <c r="B25" i="19"/>
  <c r="U14" i="1"/>
  <c r="V14" i="1" s="1"/>
  <c r="B25" i="15"/>
  <c r="K17" i="1"/>
  <c r="P17" i="1" s="1"/>
  <c r="U17" i="1"/>
  <c r="V17" i="1" s="1"/>
  <c r="R13" i="1"/>
  <c r="W13" i="1"/>
  <c r="P14" i="1"/>
  <c r="B47" i="18" s="1"/>
  <c r="Q14" i="1"/>
  <c r="Q19" i="1"/>
  <c r="K20" i="1"/>
  <c r="Q17" i="1" l="1"/>
  <c r="R17" i="1" s="1"/>
  <c r="B47" i="19"/>
  <c r="R19" i="1"/>
  <c r="W16" i="1"/>
  <c r="P20" i="1"/>
  <c r="Q20" i="1"/>
  <c r="R14" i="1"/>
  <c r="M19" i="15"/>
  <c r="D62" i="14"/>
  <c r="F6" i="14" s="1"/>
  <c r="D31" i="14"/>
  <c r="C62" i="2"/>
  <c r="C63" i="2"/>
  <c r="C65" i="2" s="1"/>
  <c r="C66" i="2" s="1"/>
  <c r="W14" i="1" l="1"/>
  <c r="B24" i="15" s="1"/>
  <c r="R20" i="1"/>
  <c r="W17" i="1"/>
  <c r="D12" i="14"/>
  <c r="C61" i="11" l="1"/>
  <c r="B24" i="19"/>
  <c r="B24" i="18"/>
  <c r="F12" i="14"/>
  <c r="F5" i="1" l="1"/>
  <c r="D8"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3" i="11"/>
  <c r="B75" i="11"/>
  <c r="B76" i="11"/>
  <c r="B77" i="11"/>
  <c r="D77" i="11" s="1"/>
  <c r="B78" i="11"/>
  <c r="B79" i="11"/>
  <c r="D79" i="11" s="1"/>
  <c r="B80" i="11"/>
  <c r="F80" i="11" s="1"/>
  <c r="B81" i="11"/>
  <c r="D81" i="11" s="1"/>
  <c r="B82" i="11"/>
  <c r="B83" i="11"/>
  <c r="B84" i="11"/>
  <c r="D74" i="11"/>
  <c r="E74" i="11" s="1"/>
  <c r="C110" i="14" l="1"/>
  <c r="D111" i="14" s="1"/>
  <c r="E81" i="11"/>
  <c r="F83" i="11"/>
  <c r="D83" i="11"/>
  <c r="E83" i="11" s="1"/>
  <c r="D76" i="11"/>
  <c r="E76" i="11" s="1"/>
  <c r="F76" i="11"/>
  <c r="E77" i="11"/>
  <c r="D75" i="11"/>
  <c r="E75" i="11" s="1"/>
  <c r="F75" i="11"/>
  <c r="E79" i="11"/>
  <c r="F81" i="11"/>
  <c r="F77" i="11"/>
  <c r="D78" i="11"/>
  <c r="E78" i="11" s="1"/>
  <c r="F78" i="11"/>
  <c r="D84" i="11"/>
  <c r="E84" i="11" s="1"/>
  <c r="F84" i="11"/>
  <c r="D82" i="11"/>
  <c r="E82" i="11" s="1"/>
  <c r="F82" i="11"/>
  <c r="D80" i="11"/>
  <c r="E80" i="11" s="1"/>
  <c r="F79" i="11"/>
  <c r="E85" i="11" l="1"/>
  <c r="F86" i="11"/>
  <c r="D110" i="14"/>
  <c r="C23" i="11"/>
  <c r="I6" i="1" l="1"/>
  <c r="A14" i="1"/>
  <c r="H14" i="1"/>
  <c r="C31" i="11" s="1"/>
  <c r="C22" i="11"/>
  <c r="C24" i="11" s="1"/>
  <c r="G14" i="1"/>
  <c r="F32" i="9" s="1"/>
  <c r="F31" i="9"/>
  <c r="I5" i="1"/>
  <c r="C25"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D38" i="19" l="1"/>
  <c r="B21" i="18"/>
  <c r="B21" i="19"/>
  <c r="B48" i="18"/>
  <c r="B48" i="19"/>
  <c r="D38" i="18"/>
  <c r="D38" i="15"/>
  <c r="Y14" i="1"/>
  <c r="Y17" i="1"/>
  <c r="B21" i="15"/>
  <c r="X17" i="1"/>
  <c r="X13" i="1"/>
  <c r="Y16" i="1"/>
  <c r="Y13" i="1"/>
  <c r="X16" i="1"/>
  <c r="I4" i="1"/>
  <c r="C13" i="11"/>
  <c r="K50" i="11"/>
  <c r="K51" i="11" s="1"/>
  <c r="C50" i="11"/>
  <c r="J50" i="11"/>
  <c r="I50" i="11"/>
  <c r="E50" i="11"/>
  <c r="H50" i="11"/>
  <c r="D50" i="11"/>
  <c r="G50" i="11"/>
  <c r="F50" i="11"/>
  <c r="B50" i="11"/>
  <c r="H35" i="1"/>
  <c r="I4" i="11"/>
  <c r="B17" i="15"/>
  <c r="C4" i="11"/>
  <c r="C38" i="11"/>
  <c r="B4" i="11"/>
  <c r="H41" i="1"/>
  <c r="B38" i="11"/>
  <c r="G4" i="11"/>
  <c r="I38" i="11"/>
  <c r="D4" i="11"/>
  <c r="H23" i="1"/>
  <c r="H20" i="1"/>
  <c r="H32" i="1"/>
  <c r="H4" i="11"/>
  <c r="H38" i="11"/>
  <c r="J4" i="11"/>
  <c r="H38" i="1"/>
  <c r="H26" i="1"/>
  <c r="E4" i="11"/>
  <c r="D38" i="11"/>
  <c r="J38" i="11"/>
  <c r="K4" i="11"/>
  <c r="E38" i="11"/>
  <c r="K38" i="11"/>
  <c r="F38" i="11"/>
  <c r="F4" i="11"/>
  <c r="H29" i="1"/>
  <c r="G38" i="11"/>
  <c r="C26" i="11"/>
  <c r="D66" i="9"/>
  <c r="B6" i="11" l="1"/>
  <c r="K6" i="11"/>
  <c r="K5" i="11"/>
  <c r="E5" i="11"/>
  <c r="E6" i="11"/>
  <c r="D6" i="11"/>
  <c r="D5" i="11"/>
  <c r="G5" i="11"/>
  <c r="G6" i="11"/>
  <c r="J6" i="11"/>
  <c r="J5" i="11"/>
  <c r="F5" i="11"/>
  <c r="F6" i="11"/>
  <c r="I6" i="11"/>
  <c r="I5" i="11"/>
  <c r="C6" i="11"/>
  <c r="C5" i="11"/>
  <c r="H5" i="11"/>
  <c r="H6" i="11"/>
  <c r="F39" i="11"/>
  <c r="E51" i="11"/>
  <c r="X14" i="1"/>
  <c r="B47" i="15"/>
  <c r="B51" i="11"/>
  <c r="B39" i="11"/>
  <c r="G39" i="11"/>
  <c r="I39" i="11"/>
  <c r="B5" i="11"/>
  <c r="C11" i="11" s="1"/>
  <c r="E7" i="14"/>
  <c r="I51" i="11"/>
  <c r="C51" i="11"/>
  <c r="J39" i="11"/>
  <c r="J51" i="11"/>
  <c r="H51" i="11"/>
  <c r="H39" i="11"/>
  <c r="D51" i="11"/>
  <c r="K39" i="11"/>
  <c r="G51" i="11"/>
  <c r="F51" i="11"/>
  <c r="C8" i="15" l="1"/>
  <c r="C56" i="11"/>
  <c r="C57" i="11"/>
  <c r="C39" i="11"/>
  <c r="L29" i="15" l="1"/>
  <c r="K29" i="15"/>
  <c r="J29" i="15"/>
  <c r="K27" i="15"/>
  <c r="J27" i="15"/>
  <c r="L27" i="15"/>
  <c r="C12" i="11"/>
  <c r="C9" i="15"/>
  <c r="C60" i="11"/>
  <c r="D61" i="11" s="1"/>
  <c r="E39" i="11"/>
  <c r="B48" i="15"/>
  <c r="C16" i="11"/>
  <c r="B20" i="19" l="1"/>
  <c r="B20" i="18"/>
  <c r="B20" i="15"/>
  <c r="D75" i="9"/>
  <c r="C41" i="11"/>
  <c r="C47" i="11" s="1"/>
  <c r="D47" i="11" l="1"/>
  <c r="D58" i="14"/>
  <c r="F5" i="14" s="1"/>
  <c r="D43" i="14"/>
  <c r="D5" i="14" s="1"/>
  <c r="E26" i="14"/>
  <c r="E4" i="14" s="1"/>
  <c r="B47" i="11"/>
  <c r="B22" i="19"/>
  <c r="B18" i="19"/>
  <c r="B22" i="18"/>
  <c r="B18" i="18"/>
  <c r="D27" i="14"/>
  <c r="E5" i="14" s="1"/>
  <c r="E42" i="14"/>
  <c r="D4" i="14" s="1"/>
  <c r="C5" i="19" s="1"/>
  <c r="E57" i="14"/>
  <c r="F4" i="14" s="1"/>
  <c r="C5" i="18" s="1"/>
  <c r="D76" i="9"/>
  <c r="D77" i="9"/>
  <c r="D79" i="9" s="1"/>
  <c r="B34" i="9" s="1"/>
  <c r="B18" i="15"/>
  <c r="B22" i="15"/>
  <c r="B26" i="15" s="1"/>
  <c r="B37" i="9"/>
  <c r="K19" i="18" l="1"/>
  <c r="J19" i="18"/>
  <c r="C19" i="18"/>
  <c r="C20" i="18" s="1"/>
  <c r="C22" i="18" s="1"/>
  <c r="E19" i="18"/>
  <c r="H19" i="18"/>
  <c r="F19" i="18"/>
  <c r="D19" i="18"/>
  <c r="G19" i="18"/>
  <c r="I19" i="18"/>
  <c r="B26" i="19"/>
  <c r="B49" i="19"/>
  <c r="C6" i="18"/>
  <c r="F23" i="18" s="1"/>
  <c r="C6" i="19"/>
  <c r="E19" i="19"/>
  <c r="F19" i="19"/>
  <c r="C19" i="19"/>
  <c r="C20" i="19" s="1"/>
  <c r="D19" i="19"/>
  <c r="I19" i="19"/>
  <c r="G19" i="19"/>
  <c r="H19" i="19"/>
  <c r="B26" i="18"/>
  <c r="B49" i="18"/>
  <c r="C6" i="15"/>
  <c r="C44" i="9"/>
  <c r="C45" i="9" s="1"/>
  <c r="B39" i="9"/>
  <c r="C50" i="9" s="1"/>
  <c r="B62" i="9"/>
  <c r="C43" i="9"/>
  <c r="B49" i="15"/>
  <c r="C17" i="18" l="1"/>
  <c r="C24" i="18" s="1"/>
  <c r="D20" i="18"/>
  <c r="D17" i="18" s="1"/>
  <c r="C23" i="18"/>
  <c r="D23" i="18"/>
  <c r="D23" i="19"/>
  <c r="E23" i="19"/>
  <c r="C23" i="19"/>
  <c r="C17" i="19"/>
  <c r="D20" i="19"/>
  <c r="C22" i="19"/>
  <c r="E23" i="18"/>
  <c r="C48" i="9"/>
  <c r="B24" i="9" s="1"/>
  <c r="B27" i="9" s="1"/>
  <c r="B50" i="9" s="1"/>
  <c r="E23" i="15"/>
  <c r="C23" i="15"/>
  <c r="D23" i="15"/>
  <c r="F23" i="15"/>
  <c r="C25" i="18" l="1"/>
  <c r="C47" i="18" s="1"/>
  <c r="C16" i="18"/>
  <c r="E20" i="18"/>
  <c r="E17" i="18" s="1"/>
  <c r="D22" i="18"/>
  <c r="E20" i="19"/>
  <c r="D17" i="19"/>
  <c r="D22" i="19"/>
  <c r="C16" i="19"/>
  <c r="C24" i="19"/>
  <c r="C25" i="19" s="1"/>
  <c r="C48" i="19" s="1"/>
  <c r="C49" i="19" s="1"/>
  <c r="D36" i="18"/>
  <c r="D36" i="19"/>
  <c r="D16" i="18"/>
  <c r="D24" i="18"/>
  <c r="D36" i="15"/>
  <c r="E48" i="9"/>
  <c r="C49" i="9" s="1"/>
  <c r="C26" i="18" l="1"/>
  <c r="C48" i="18"/>
  <c r="D25" i="18"/>
  <c r="D26" i="18" s="1"/>
  <c r="E22" i="18"/>
  <c r="F20" i="18"/>
  <c r="G20" i="18" s="1"/>
  <c r="C47" i="19"/>
  <c r="C26" i="19"/>
  <c r="D24" i="19"/>
  <c r="D25" i="19" s="1"/>
  <c r="D16" i="19"/>
  <c r="E17" i="19"/>
  <c r="F20" i="19"/>
  <c r="E22" i="19"/>
  <c r="E24" i="18"/>
  <c r="E16" i="18"/>
  <c r="C49" i="18"/>
  <c r="D49" i="9"/>
  <c r="B49" i="9"/>
  <c r="E25" i="18" l="1"/>
  <c r="E47" i="18" s="1"/>
  <c r="D47" i="18"/>
  <c r="D48" i="18"/>
  <c r="D49" i="18" s="1"/>
  <c r="F17" i="18"/>
  <c r="F24" i="18" s="1"/>
  <c r="F22" i="18"/>
  <c r="E50" i="9"/>
  <c r="C9" i="9" s="1"/>
  <c r="C12" i="9" s="1"/>
  <c r="D48" i="19"/>
  <c r="D47" i="19"/>
  <c r="D26" i="19"/>
  <c r="F22" i="19"/>
  <c r="F17" i="19"/>
  <c r="G20" i="19"/>
  <c r="E16" i="19"/>
  <c r="E24" i="19"/>
  <c r="E25" i="19" s="1"/>
  <c r="E49" i="9"/>
  <c r="H20" i="18"/>
  <c r="G22" i="18"/>
  <c r="G17" i="18"/>
  <c r="L28" i="15"/>
  <c r="K28" i="15"/>
  <c r="E26" i="18" l="1"/>
  <c r="E48" i="18"/>
  <c r="E49" i="18" s="1"/>
  <c r="F25" i="18"/>
  <c r="F26" i="18" s="1"/>
  <c r="F16" i="18"/>
  <c r="C27" i="19"/>
  <c r="D27" i="19"/>
  <c r="E27" i="18"/>
  <c r="D27" i="18"/>
  <c r="F27" i="18"/>
  <c r="C27" i="18"/>
  <c r="E27" i="19"/>
  <c r="E28" i="19" s="1"/>
  <c r="F27" i="15"/>
  <c r="D27" i="15"/>
  <c r="E27" i="15"/>
  <c r="C27" i="15"/>
  <c r="E26" i="19"/>
  <c r="E47" i="19"/>
  <c r="F24" i="19"/>
  <c r="F16" i="19"/>
  <c r="H20" i="19"/>
  <c r="G22" i="19"/>
  <c r="G17" i="19"/>
  <c r="E48" i="19"/>
  <c r="D49" i="19"/>
  <c r="H17" i="18"/>
  <c r="I20" i="18"/>
  <c r="J20" i="18" s="1"/>
  <c r="H22" i="18"/>
  <c r="G24" i="18"/>
  <c r="G16" i="18"/>
  <c r="J28" i="15"/>
  <c r="E29" i="19" l="1"/>
  <c r="F47" i="18"/>
  <c r="F48" i="18"/>
  <c r="F49" i="18" s="1"/>
  <c r="E28" i="15"/>
  <c r="C28" i="15"/>
  <c r="E28" i="18"/>
  <c r="E29" i="18" s="1"/>
  <c r="D28" i="18"/>
  <c r="D29" i="18" s="1"/>
  <c r="C28" i="18"/>
  <c r="C29" i="18" s="1"/>
  <c r="F28" i="18"/>
  <c r="F29" i="18" s="1"/>
  <c r="D28" i="15"/>
  <c r="C28" i="19"/>
  <c r="C29" i="19" s="1"/>
  <c r="D28" i="19"/>
  <c r="D29" i="19" s="1"/>
  <c r="J17" i="18"/>
  <c r="K20" i="18"/>
  <c r="J22" i="18"/>
  <c r="H17" i="19"/>
  <c r="I20" i="19"/>
  <c r="H22" i="19"/>
  <c r="E49" i="19"/>
  <c r="G24" i="19"/>
  <c r="G16" i="19"/>
  <c r="H16" i="18"/>
  <c r="H24" i="18"/>
  <c r="I22" i="18"/>
  <c r="I17" i="18"/>
  <c r="D39" i="11"/>
  <c r="C42" i="11" s="1"/>
  <c r="M20" i="18"/>
  <c r="M20" i="19"/>
  <c r="M22" i="18" l="1"/>
  <c r="M17" i="18"/>
  <c r="K22" i="18"/>
  <c r="K17" i="18"/>
  <c r="J24" i="18"/>
  <c r="J16" i="18"/>
  <c r="M22" i="19"/>
  <c r="M17" i="19"/>
  <c r="H16" i="19"/>
  <c r="H24" i="19"/>
  <c r="I17" i="19"/>
  <c r="I22" i="19"/>
  <c r="I16" i="18"/>
  <c r="I24" i="18"/>
  <c r="E9" i="14"/>
  <c r="M24" i="18"/>
  <c r="M16" i="18"/>
  <c r="K16" i="18" l="1"/>
  <c r="K24" i="18"/>
  <c r="I16" i="19"/>
  <c r="I24" i="19"/>
  <c r="C5" i="15"/>
  <c r="D9" i="14"/>
  <c r="F9" i="14"/>
  <c r="E6" i="14"/>
  <c r="M16" i="19"/>
  <c r="M24" i="19"/>
  <c r="C7" i="18" l="1"/>
  <c r="M23" i="18" s="1"/>
  <c r="I23" i="18" s="1"/>
  <c r="I25" i="18" s="1"/>
  <c r="G23" i="18"/>
  <c r="G25" i="18" s="1"/>
  <c r="M25" i="18"/>
  <c r="M26" i="18" s="1"/>
  <c r="L19" i="15"/>
  <c r="K19" i="15"/>
  <c r="J19" i="15"/>
  <c r="C19" i="15"/>
  <c r="D19" i="15"/>
  <c r="H19" i="15"/>
  <c r="F19" i="15"/>
  <c r="I19" i="15"/>
  <c r="E19" i="15"/>
  <c r="G19" i="15"/>
  <c r="C7" i="15"/>
  <c r="M23" i="15" s="1"/>
  <c r="H23" i="18" l="1"/>
  <c r="H25" i="18" s="1"/>
  <c r="K23" i="18"/>
  <c r="K25" i="18" s="1"/>
  <c r="J23" i="18"/>
  <c r="J25" i="18" s="1"/>
  <c r="I23" i="19"/>
  <c r="I25" i="19" s="1"/>
  <c r="H23" i="19"/>
  <c r="H25" i="19" s="1"/>
  <c r="H47" i="18"/>
  <c r="H26" i="18"/>
  <c r="I47" i="18"/>
  <c r="I26" i="18"/>
  <c r="G26" i="18"/>
  <c r="G47" i="18"/>
  <c r="G48" i="18"/>
  <c r="L23" i="15"/>
  <c r="J23" i="15"/>
  <c r="K23" i="15"/>
  <c r="G23" i="15"/>
  <c r="I23" i="15"/>
  <c r="H23" i="15"/>
  <c r="J47" i="15"/>
  <c r="J26" i="18" l="1"/>
  <c r="J47" i="18"/>
  <c r="K47" i="18"/>
  <c r="K26" i="18"/>
  <c r="H26" i="19"/>
  <c r="H47" i="19"/>
  <c r="I26" i="19"/>
  <c r="I47" i="19"/>
  <c r="H48" i="18"/>
  <c r="G49" i="18"/>
  <c r="K17" i="15"/>
  <c r="K22" i="15"/>
  <c r="J17" i="15"/>
  <c r="J22" i="15"/>
  <c r="L22" i="15"/>
  <c r="L26" i="15" s="1"/>
  <c r="L17" i="15"/>
  <c r="L24" i="15" s="1"/>
  <c r="K47" i="15"/>
  <c r="H48" i="19" l="1"/>
  <c r="I48" i="18"/>
  <c r="H49" i="18"/>
  <c r="K24" i="15"/>
  <c r="K26" i="15" s="1"/>
  <c r="I49" i="18" l="1"/>
  <c r="J48" i="18"/>
  <c r="I48" i="19"/>
  <c r="I49" i="19" s="1"/>
  <c r="H49" i="19"/>
  <c r="L47" i="15"/>
  <c r="K48" i="18" l="1"/>
  <c r="K49" i="18" s="1"/>
  <c r="J49" i="18"/>
  <c r="J48" i="15"/>
  <c r="K48" i="15" l="1"/>
  <c r="J49" i="15"/>
  <c r="L48" i="15" l="1"/>
  <c r="L49" i="15" s="1"/>
  <c r="K49" i="15"/>
  <c r="C67" i="9" l="1"/>
  <c r="D67" i="9" s="1"/>
  <c r="C15" i="9" s="1"/>
  <c r="C18" i="9" s="1"/>
  <c r="M27" i="18" l="1"/>
  <c r="M27" i="19"/>
  <c r="F27" i="19" s="1"/>
  <c r="F28" i="19" s="1"/>
  <c r="G27" i="18"/>
  <c r="H27" i="18"/>
  <c r="I27" i="18"/>
  <c r="F10" i="14"/>
  <c r="E10" i="14"/>
  <c r="M27" i="15"/>
  <c r="D46" i="14"/>
  <c r="M49" i="15"/>
  <c r="F28" i="15"/>
  <c r="K27" i="18" l="1"/>
  <c r="J27" i="18"/>
  <c r="K28" i="18" s="1"/>
  <c r="K29" i="18" s="1"/>
  <c r="G27" i="19"/>
  <c r="I27" i="19"/>
  <c r="H27" i="19"/>
  <c r="H28" i="18"/>
  <c r="H29" i="18" s="1"/>
  <c r="G28" i="18"/>
  <c r="G29" i="18" s="1"/>
  <c r="I28" i="18"/>
  <c r="I27" i="15"/>
  <c r="H27" i="15"/>
  <c r="G27" i="15"/>
  <c r="G28" i="15" s="1"/>
  <c r="D10" i="14"/>
  <c r="D47" i="14"/>
  <c r="D6" i="14" s="1"/>
  <c r="C7" i="19" s="1"/>
  <c r="M23" i="19" s="1"/>
  <c r="D33" i="18"/>
  <c r="J28" i="18" l="1"/>
  <c r="J29" i="18" s="1"/>
  <c r="F23" i="19"/>
  <c r="F25" i="19" s="1"/>
  <c r="G23" i="19"/>
  <c r="G25" i="19" s="1"/>
  <c r="M25" i="19"/>
  <c r="M26" i="19" s="1"/>
  <c r="G28" i="19"/>
  <c r="H28" i="19"/>
  <c r="H29" i="19" s="1"/>
  <c r="I28" i="19"/>
  <c r="I29" i="18"/>
  <c r="D32" i="18" s="1"/>
  <c r="H28" i="15"/>
  <c r="I28" i="15"/>
  <c r="D33" i="19"/>
  <c r="G47" i="19" l="1"/>
  <c r="G26" i="19"/>
  <c r="G29" i="19" s="1"/>
  <c r="F47" i="19"/>
  <c r="F26" i="19"/>
  <c r="F29" i="19" s="1"/>
  <c r="F48" i="19"/>
  <c r="I29" i="19"/>
  <c r="D34" i="18"/>
  <c r="D37" i="18" s="1"/>
  <c r="D40" i="18" s="1"/>
  <c r="E41" i="18" s="1"/>
  <c r="E42" i="18" l="1"/>
  <c r="D32" i="19"/>
  <c r="D34" i="19" s="1"/>
  <c r="D37" i="19" s="1"/>
  <c r="D40" i="19" s="1"/>
  <c r="E41" i="19" s="1"/>
  <c r="F49" i="19"/>
  <c r="G48" i="19"/>
  <c r="G49" i="19" s="1"/>
  <c r="C32" i="18"/>
  <c r="C33" i="18" s="1"/>
  <c r="G44" i="18" l="1"/>
  <c r="H44" i="18" s="1"/>
  <c r="F13" i="14"/>
  <c r="E42" i="19"/>
  <c r="C32" i="19"/>
  <c r="C33" i="19" s="1"/>
  <c r="C20" i="15"/>
  <c r="C17" i="15" s="1"/>
  <c r="C24" i="15" s="1"/>
  <c r="G44" i="19" l="1"/>
  <c r="H44" i="19" s="1"/>
  <c r="D13" i="14"/>
  <c r="D20" i="15"/>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J24" i="15"/>
  <c r="J26" i="15"/>
  <c r="J20" i="15"/>
  <c r="K20" i="15"/>
  <c r="J16" i="15"/>
  <c r="L20" i="15"/>
  <c r="L16" i="15"/>
  <c r="K16" i="15"/>
  <c r="F25" i="15" l="1"/>
  <c r="E26" i="15"/>
  <c r="E29" i="15" s="1"/>
  <c r="E48" i="15"/>
  <c r="E49" i="15" s="1"/>
  <c r="F16" i="15"/>
  <c r="G17" i="15"/>
  <c r="G22" i="15"/>
  <c r="H20" i="15"/>
  <c r="F48" i="15" l="1"/>
  <c r="F49" i="15" s="1"/>
  <c r="F26" i="15"/>
  <c r="F29" i="15" s="1"/>
  <c r="F47" i="15"/>
  <c r="H17" i="15"/>
  <c r="I20" i="15"/>
  <c r="H22" i="15"/>
  <c r="G24" i="15"/>
  <c r="G25" i="15" s="1"/>
  <c r="G16" i="15"/>
  <c r="M20" i="15"/>
  <c r="M22" i="15" l="1"/>
  <c r="M17" i="15"/>
  <c r="G48" i="15"/>
  <c r="G26" i="15"/>
  <c r="G29" i="15" s="1"/>
  <c r="G47" i="15"/>
  <c r="I22" i="15"/>
  <c r="I17" i="15"/>
  <c r="H24" i="15"/>
  <c r="H25" i="15" s="1"/>
  <c r="H16" i="15"/>
  <c r="M24" i="15"/>
  <c r="H26" i="15" l="1"/>
  <c r="H29" i="15" s="1"/>
  <c r="H47" i="15"/>
  <c r="I24" i="15"/>
  <c r="I25" i="15" s="1"/>
  <c r="I16" i="15"/>
  <c r="H48" i="15"/>
  <c r="G49" i="15"/>
  <c r="M25" i="15"/>
  <c r="M26" i="15" s="1"/>
  <c r="M16" i="15"/>
  <c r="D33" i="15"/>
  <c r="I47" i="15" l="1"/>
  <c r="H49" i="15"/>
  <c r="I26" i="15" l="1"/>
  <c r="I29" i="15" s="1"/>
  <c r="D32" i="15" s="1"/>
  <c r="I48" i="15"/>
  <c r="I49" i="15" s="1"/>
  <c r="D34" i="15" l="1"/>
  <c r="D37" i="15" l="1"/>
  <c r="D40" i="15" s="1"/>
  <c r="E41" i="15" s="1"/>
  <c r="C32" i="15"/>
  <c r="C33" i="15" s="1"/>
  <c r="E42" i="15" l="1"/>
  <c r="G44" i="15"/>
  <c r="H44" i="15" s="1"/>
  <c r="E13" i="14" l="1"/>
  <c r="E14" i="14" s="1"/>
  <c r="D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H5"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K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L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N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Q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S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W11" authorId="0" shapeId="0" xr:uid="{85E263F7-634D-4348-AC1F-17951829A8A4}">
      <text>
        <r>
          <rPr>
            <b/>
            <sz val="9"/>
            <color indexed="81"/>
            <rFont val="Tahoma"/>
            <family val="2"/>
          </rPr>
          <t>Jerry:</t>
        </r>
        <r>
          <rPr>
            <sz val="9"/>
            <color indexed="81"/>
            <rFont val="Tahoma"/>
            <family val="2"/>
          </rPr>
          <t xml:space="preserve">
WCInv = Change in Non-Cash WC</t>
        </r>
      </text>
    </comment>
    <comment ref="X11" authorId="2" shapeId="0" xr:uid="{00000000-0006-0000-0100-000006000000}">
      <text>
        <r>
          <rPr>
            <b/>
            <sz val="10"/>
            <color indexed="81"/>
            <rFont val="Calibri"/>
            <family val="2"/>
          </rPr>
          <t xml:space="preserve">Jerry: </t>
        </r>
        <r>
          <rPr>
            <sz val="10"/>
            <color indexed="81"/>
            <rFont val="Calibri"/>
            <family val="2"/>
          </rPr>
          <t xml:space="preserve">
Reinvestment Rate = (Net Capex + Change in WC)/NOPAT
NOPAT=EBIT(1-t)
Net Capex=(Capex-D&amp;A)
The percentage of NOPAT that is reinvested through current year Net Capex.</t>
        </r>
      </text>
    </comment>
    <comment ref="Y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User</author>
  </authors>
  <commentList>
    <comment ref="A8" authorId="0"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8" authorId="0"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8" authorId="1"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11" authorId="2"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C13" authorId="2"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E15" authorId="1"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C20" authorId="0"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2" authorId="1"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2" authorId="0"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3" authorId="0"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A35" authorId="1"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1" authorId="1" shapeId="0" xr:uid="{3327AC4B-3E53-4578-B111-1A86C7F34859}">
      <text>
        <r>
          <rPr>
            <b/>
            <sz val="9"/>
            <color indexed="81"/>
            <rFont val="Tahoma"/>
            <family val="2"/>
          </rPr>
          <t>Jerry:</t>
        </r>
        <r>
          <rPr>
            <sz val="9"/>
            <color indexed="81"/>
            <rFont val="Tahoma"/>
            <family val="2"/>
          </rPr>
          <t xml:space="preserve">
ROC After Tax = NOPAT/Operating Capital</t>
        </r>
      </text>
    </comment>
    <comment ref="C41" authorId="1"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6" authorId="1"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1" authorId="1"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C64" authorId="0"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8" authorId="0"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8" authorId="2"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1" authorId="3"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DAFE0994-2683-4D8A-A0E3-1D6378B1052F}">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566D4413-9162-412A-8C87-D95F0073B912}">
      <text>
        <r>
          <rPr>
            <b/>
            <sz val="9"/>
            <color indexed="81"/>
            <rFont val="Tahoma"/>
            <family val="2"/>
          </rPr>
          <t>Jerry:</t>
        </r>
        <r>
          <rPr>
            <sz val="9"/>
            <color indexed="81"/>
            <rFont val="Tahoma"/>
            <family val="2"/>
          </rPr>
          <t xml:space="preserve">
NOPAT = Opearting Income * (1 - tax rate)</t>
        </r>
      </text>
    </comment>
    <comment ref="A23" authorId="1" shapeId="0" xr:uid="{DFFDB6EE-405D-40C5-A3CD-B2AC990401F1}">
      <text>
        <r>
          <rPr>
            <b/>
            <sz val="9"/>
            <color indexed="81"/>
            <rFont val="Tahoma"/>
            <family val="2"/>
          </rPr>
          <t>Jerry:</t>
        </r>
        <r>
          <rPr>
            <sz val="9"/>
            <color indexed="81"/>
            <rFont val="Tahoma"/>
            <family val="2"/>
          </rPr>
          <t xml:space="preserve">
Reinvestment Rate = (Net Capex + Change in WC)/NOPAT</t>
        </r>
      </text>
    </comment>
    <comment ref="A24" authorId="1" shapeId="0" xr:uid="{01770B86-03B8-4CBE-A79D-8EE2496941DC}">
      <text>
        <r>
          <rPr>
            <b/>
            <sz val="9"/>
            <color indexed="81"/>
            <rFont val="Tahoma"/>
            <family val="2"/>
          </rPr>
          <t>Jerry:</t>
        </r>
        <r>
          <rPr>
            <sz val="9"/>
            <color indexed="81"/>
            <rFont val="Tahoma"/>
            <family val="2"/>
          </rPr>
          <t xml:space="preserve">
Change in WC = Change in Sales * WC/Sales</t>
        </r>
      </text>
    </comment>
    <comment ref="C24" authorId="0" shapeId="0" xr:uid="{609775F0-C078-480B-96EC-04EAC4E0B56C}">
      <text>
        <r>
          <rPr>
            <b/>
            <sz val="10"/>
            <color indexed="81"/>
            <rFont val="Calibri"/>
            <family val="2"/>
          </rPr>
          <t>Jerry:</t>
        </r>
        <r>
          <rPr>
            <sz val="10"/>
            <color indexed="81"/>
            <rFont val="Calibri"/>
            <family val="2"/>
          </rPr>
          <t xml:space="preserve">
Chg. WC = Chg. In Sales * (WC/Sales)</t>
        </r>
      </text>
    </comment>
    <comment ref="A25" authorId="1" shapeId="0" xr:uid="{AE413ED1-B236-494B-8763-F42993343156}">
      <text>
        <r>
          <rPr>
            <b/>
            <sz val="9"/>
            <color indexed="81"/>
            <rFont val="Tahoma"/>
            <family val="2"/>
          </rPr>
          <t>Jerry:</t>
        </r>
        <r>
          <rPr>
            <sz val="9"/>
            <color indexed="81"/>
            <rFont val="Tahoma"/>
            <family val="2"/>
          </rPr>
          <t xml:space="preserve">
Net Capex = NOPAT*Reinvestment Rate - Change in WC</t>
        </r>
      </text>
    </comment>
    <comment ref="M25" authorId="1" shapeId="0" xr:uid="{F1508833-4E91-4D7E-BFC2-DA90F9309E9A}">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BAF3C2D3-7A75-48AF-B0FD-09546C442366}">
      <text>
        <r>
          <rPr>
            <b/>
            <sz val="9"/>
            <color indexed="81"/>
            <rFont val="Tahoma"/>
            <family val="2"/>
          </rPr>
          <t>Jerry:</t>
        </r>
        <r>
          <rPr>
            <sz val="9"/>
            <color indexed="81"/>
            <rFont val="Tahoma"/>
            <family val="2"/>
          </rPr>
          <t xml:space="preserve">
FCFF = NOPAT-Change in WC-Net Capex</t>
        </r>
      </text>
    </comment>
    <comment ref="M26" authorId="1" shapeId="0" xr:uid="{AFFD7729-3BDD-4732-A87C-CF22B98D6A91}">
      <text>
        <r>
          <rPr>
            <b/>
            <sz val="9"/>
            <color indexed="81"/>
            <rFont val="Tahoma"/>
            <family val="2"/>
          </rPr>
          <t>Jerry:</t>
        </r>
        <r>
          <rPr>
            <sz val="9"/>
            <color indexed="81"/>
            <rFont val="Tahoma"/>
            <family val="2"/>
          </rPr>
          <t xml:space="preserve">
Terminal Cash Flow</t>
        </r>
      </text>
    </comment>
    <comment ref="A37" authorId="1" shapeId="0" xr:uid="{46589D4A-CDEB-42C3-B3B6-66725448B29B}">
      <text>
        <r>
          <rPr>
            <b/>
            <sz val="9"/>
            <color indexed="81"/>
            <rFont val="Tahoma"/>
            <family val="2"/>
          </rPr>
          <t>Jerry:</t>
        </r>
        <r>
          <rPr>
            <sz val="9"/>
            <color indexed="81"/>
            <rFont val="Tahoma"/>
            <family val="2"/>
          </rPr>
          <t xml:space="preserve">
includes Minority Interests</t>
        </r>
      </text>
    </comment>
    <comment ref="D38" authorId="1" shapeId="0" xr:uid="{FDD3A59C-C250-4530-8868-63EB9CA3CCD6}">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9B3757D3-6A9C-469F-B098-517BA5CD04C0}">
      <text>
        <r>
          <rPr>
            <b/>
            <sz val="9"/>
            <color indexed="81"/>
            <rFont val="Tahoma"/>
            <family val="2"/>
          </rPr>
          <t>Jerry:</t>
        </r>
        <r>
          <rPr>
            <sz val="9"/>
            <color indexed="81"/>
            <rFont val="Tahoma"/>
            <family val="2"/>
          </rPr>
          <t xml:space="preserve">
Aka "Capital Turnover Ratio"</t>
        </r>
      </text>
    </comment>
    <comment ref="C47" authorId="0" shapeId="0" xr:uid="{C87D3B1C-AEA3-4273-A956-6770C16687A7}">
      <text>
        <r>
          <rPr>
            <b/>
            <sz val="10"/>
            <color indexed="81"/>
            <rFont val="Calibri"/>
            <family val="2"/>
          </rPr>
          <t>Jerry:</t>
        </r>
        <r>
          <rPr>
            <sz val="10"/>
            <color indexed="81"/>
            <rFont val="Calibri"/>
            <family val="2"/>
          </rPr>
          <t xml:space="preserve">
Sale to Capital = Chg. Sales / Chg. Reinvestment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0D19D3D9-8E46-4F62-80D8-E6499F976CDD}">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C44D2F10-A2B8-423D-AB53-7F052248FA0A}">
      <text>
        <r>
          <rPr>
            <b/>
            <sz val="9"/>
            <color indexed="81"/>
            <rFont val="Tahoma"/>
            <family val="2"/>
          </rPr>
          <t>Jerry:</t>
        </r>
        <r>
          <rPr>
            <sz val="9"/>
            <color indexed="81"/>
            <rFont val="Tahoma"/>
            <family val="2"/>
          </rPr>
          <t xml:space="preserve">
NOPAT = Opearting Income * (1 - tax rate)</t>
        </r>
      </text>
    </comment>
    <comment ref="A23" authorId="1" shapeId="0" xr:uid="{BF5C5BC9-62B0-41F5-B055-AB676593D882}">
      <text>
        <r>
          <rPr>
            <b/>
            <sz val="9"/>
            <color indexed="81"/>
            <rFont val="Tahoma"/>
            <family val="2"/>
          </rPr>
          <t>Jerry:</t>
        </r>
        <r>
          <rPr>
            <sz val="9"/>
            <color indexed="81"/>
            <rFont val="Tahoma"/>
            <family val="2"/>
          </rPr>
          <t xml:space="preserve">
Reinvestment Rate = (Net Capex + Change in WC)/NOPAT</t>
        </r>
      </text>
    </comment>
    <comment ref="A24" authorId="1" shapeId="0" xr:uid="{2E91D4D8-7ACE-4B7B-9516-86D24DD557A6}">
      <text>
        <r>
          <rPr>
            <b/>
            <sz val="9"/>
            <color indexed="81"/>
            <rFont val="Tahoma"/>
            <family val="2"/>
          </rPr>
          <t>Jerry:</t>
        </r>
        <r>
          <rPr>
            <sz val="9"/>
            <color indexed="81"/>
            <rFont val="Tahoma"/>
            <family val="2"/>
          </rPr>
          <t xml:space="preserve">
Change in WC = Change in Sales * WC/Sales</t>
        </r>
      </text>
    </comment>
    <comment ref="C24" authorId="0" shapeId="0" xr:uid="{60CA0A54-F460-4C1E-AEE9-84BC52305F6F}">
      <text>
        <r>
          <rPr>
            <b/>
            <sz val="10"/>
            <color indexed="81"/>
            <rFont val="Calibri"/>
            <family val="2"/>
          </rPr>
          <t>Jerry:</t>
        </r>
        <r>
          <rPr>
            <sz val="10"/>
            <color indexed="81"/>
            <rFont val="Calibri"/>
            <family val="2"/>
          </rPr>
          <t xml:space="preserve">
Chg. WC = Chg. In Sales * (WC/Sales)</t>
        </r>
      </text>
    </comment>
    <comment ref="A25" authorId="1" shapeId="0" xr:uid="{A3D2DA30-1171-4D45-81FA-677E7D6CA958}">
      <text>
        <r>
          <rPr>
            <b/>
            <sz val="9"/>
            <color indexed="81"/>
            <rFont val="Tahoma"/>
            <family val="2"/>
          </rPr>
          <t>Jerry:</t>
        </r>
        <r>
          <rPr>
            <sz val="9"/>
            <color indexed="81"/>
            <rFont val="Tahoma"/>
            <family val="2"/>
          </rPr>
          <t xml:space="preserve">
Net Capex = NOPAT*Reinvestment Rate - Change in WC</t>
        </r>
      </text>
    </comment>
    <comment ref="M25" authorId="1" shapeId="0" xr:uid="{571885D0-F1E2-435A-91AC-3C660205C9F5}">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C5A4B18E-2C1A-4A28-A928-633A9EC557F6}">
      <text>
        <r>
          <rPr>
            <b/>
            <sz val="9"/>
            <color indexed="81"/>
            <rFont val="Tahoma"/>
            <family val="2"/>
          </rPr>
          <t>Jerry:</t>
        </r>
        <r>
          <rPr>
            <sz val="9"/>
            <color indexed="81"/>
            <rFont val="Tahoma"/>
            <family val="2"/>
          </rPr>
          <t xml:space="preserve">
FCFF = NOPAT-Change in WC-Net Capex</t>
        </r>
      </text>
    </comment>
    <comment ref="M26" authorId="1" shapeId="0" xr:uid="{606E44C0-0824-4C93-BF42-583CE4220A17}">
      <text>
        <r>
          <rPr>
            <b/>
            <sz val="9"/>
            <color indexed="81"/>
            <rFont val="Tahoma"/>
            <family val="2"/>
          </rPr>
          <t>Jerry:</t>
        </r>
        <r>
          <rPr>
            <sz val="9"/>
            <color indexed="81"/>
            <rFont val="Tahoma"/>
            <family val="2"/>
          </rPr>
          <t xml:space="preserve">
Terminal Cash Flow</t>
        </r>
      </text>
    </comment>
    <comment ref="A37" authorId="1" shapeId="0" xr:uid="{E2907E85-E8DB-43DE-B754-8B9F5624FE9B}">
      <text>
        <r>
          <rPr>
            <b/>
            <sz val="9"/>
            <color indexed="81"/>
            <rFont val="Tahoma"/>
            <family val="2"/>
          </rPr>
          <t>Jerry:</t>
        </r>
        <r>
          <rPr>
            <sz val="9"/>
            <color indexed="81"/>
            <rFont val="Tahoma"/>
            <family val="2"/>
          </rPr>
          <t xml:space="preserve">
includes Minority Interests</t>
        </r>
      </text>
    </comment>
    <comment ref="D38" authorId="1" shapeId="0" xr:uid="{ED5F2A9F-C0A6-4D3D-9ECF-924330A2A0A9}">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774AF093-F7CE-476B-A8B5-6ABA58926A7F}">
      <text>
        <r>
          <rPr>
            <b/>
            <sz val="9"/>
            <color indexed="81"/>
            <rFont val="Tahoma"/>
            <family val="2"/>
          </rPr>
          <t>Jerry:</t>
        </r>
        <r>
          <rPr>
            <sz val="9"/>
            <color indexed="81"/>
            <rFont val="Tahoma"/>
            <family val="2"/>
          </rPr>
          <t xml:space="preserve">
Aka "Capital Turnover Ratio"</t>
        </r>
      </text>
    </comment>
    <comment ref="C47" authorId="0" shapeId="0" xr:uid="{9089B1FA-5738-4400-89A9-5C0DDA15E20B}">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<sst xmlns="http://schemas.openxmlformats.org/spreadsheetml/2006/main" count="893" uniqueCount="597">
  <si>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</si>
  <si>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</si>
  <si>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</si>
  <si>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</si>
  <si>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</si>
  <si>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</si>
  <si>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</si>
  <si>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</si>
  <si>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</si>
  <si>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</si>
  <si>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</si>
  <si>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</si>
  <si>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</si>
  <si>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</si>
  <si>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</si>
  <si>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</si>
  <si>
    <t>No</t>
    <phoneticPr fontId="2" type="noConversion"/>
  </si>
  <si>
    <t>Neutral</t>
    <phoneticPr fontId="2" type="noConversion"/>
  </si>
  <si>
    <t>Current Price</t>
  </si>
  <si>
    <t>Option Price</t>
  </si>
  <si>
    <t>Estimated Value</t>
  </si>
  <si>
    <t>R &amp; D Converter</t>
  </si>
  <si>
    <t>This spreadsheet converts R&amp;D expenses from operating to capital expenses. It makes the appropriate adjustments to operating income, net</t>
  </si>
  <si>
    <t>income, the book value of assets and the book value of equity.</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</si>
  <si>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</si>
  <si>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</si>
  <si>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</si>
  <si>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</si>
  <si>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</si>
  <si>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</si>
  <si>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</si>
  <si>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</si>
  <si>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</si>
  <si>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</si>
  <si>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</si>
  <si>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</si>
  <si>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</si>
  <si>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</si>
  <si>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</si>
  <si>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</si>
  <si>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</si>
  <si>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</si>
  <si>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</si>
  <si>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</si>
  <si>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</si>
  <si>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</si>
  <si>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</si>
  <si>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</si>
  <si>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</si>
  <si>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</si>
  <si>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</si>
  <si>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</si>
  <si>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</si>
  <si>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</si>
  <si>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</si>
  <si>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</si>
  <si>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</si>
  <si>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</si>
  <si>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</si>
  <si>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</si>
  <si>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</si>
  <si>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</si>
  <si>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</si>
  <si>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</si>
  <si>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</si>
  <si>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</si>
  <si>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</si>
  <si>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</si>
  <si>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</si>
  <si>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</si>
  <si>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</si>
  <si>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</si>
  <si>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</si>
  <si>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</si>
  <si>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</si>
  <si>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</si>
  <si>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</si>
  <si>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</si>
  <si>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</si>
  <si>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</si>
  <si>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</si>
  <si>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</si>
  <si>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</si>
  <si>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</si>
  <si>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</si>
  <si>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</si>
  <si>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</si>
  <si>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</si>
  <si>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</si>
  <si>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</si>
  <si>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</si>
  <si>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</si>
  <si>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</si>
  <si>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</si>
  <si>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</si>
  <si>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</si>
  <si>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</si>
  <si>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</si>
  <si>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</si>
  <si>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</si>
  <si>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</si>
  <si>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</si>
  <si>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</si>
  <si>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</si>
  <si>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</si>
  <si>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</si>
  <si>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</si>
  <si>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</si>
  <si>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</si>
  <si>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</si>
  <si>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</si>
  <si>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</si>
  <si>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</si>
  <si>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</si>
  <si>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</si>
  <si>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</si>
  <si>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</si>
  <si>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</si>
  <si>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</si>
  <si>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</si>
  <si>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</si>
  <si>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</si>
  <si>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</si>
  <si>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</si>
  <si>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</si>
  <si>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</si>
  <si>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</si>
  <si>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</si>
  <si>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</si>
  <si>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</si>
  <si>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</si>
  <si>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</si>
  <si>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</si>
  <si>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</si>
  <si>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</si>
  <si>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</si>
  <si>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</si>
  <si>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</si>
  <si>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</si>
  <si>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</si>
  <si>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</si>
  <si>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</si>
  <si>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</si>
  <si>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</si>
  <si>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</si>
  <si>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</si>
  <si>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</si>
  <si>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</si>
  <si>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</si>
  <si>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</si>
  <si>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</si>
  <si>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</si>
  <si>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</si>
  <si>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</si>
  <si>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</si>
  <si>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</si>
  <si>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</si>
  <si>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</si>
  <si>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</si>
  <si>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</si>
  <si>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</si>
  <si>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</si>
  <si>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</si>
  <si>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</si>
  <si>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</si>
  <si>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</si>
  <si>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</si>
  <si>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</si>
  <si>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</si>
  <si>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</si>
  <si>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</si>
  <si>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</si>
  <si>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</si>
  <si>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</si>
  <si>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</si>
  <si>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</si>
  <si>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</si>
  <si>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</si>
  <si>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</si>
  <si>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</si>
  <si>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</si>
  <si>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</si>
  <si>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</si>
  <si>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</si>
  <si>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</si>
  <si>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</si>
  <si>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</si>
  <si>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</si>
  <si>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</si>
  <si>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</si>
  <si>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</si>
  <si>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</si>
  <si>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</si>
  <si>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</si>
  <si>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</si>
  <si>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</si>
  <si>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</si>
  <si>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</si>
  <si>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</si>
  <si>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</si>
  <si>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</si>
  <si>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</si>
  <si>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</si>
  <si>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</si>
  <si>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</si>
  <si>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</si>
  <si>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</si>
  <si>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</si>
  <si>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</si>
  <si>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</si>
  <si>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</si>
  <si>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</si>
  <si>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</si>
  <si>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</si>
  <si>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</si>
  <si>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</si>
  <si>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</si>
  <si>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</si>
  <si>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</si>
  <si>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</si>
  <si>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</si>
  <si>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</si>
  <si>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</si>
  <si>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</si>
  <si>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</si>
  <si>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</si>
  <si>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</si>
  <si>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</si>
  <si>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</si>
  <si>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</si>
  <si>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</si>
  <si>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</si>
  <si>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</si>
  <si>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</si>
  <si>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</si>
  <si>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</si>
  <si>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</si>
  <si>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</si>
  <si>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</si>
  <si>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</si>
  <si>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</si>
  <si>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</si>
  <si>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</si>
  <si>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</si>
  <si>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</si>
  <si>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</si>
  <si>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</si>
  <si>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</si>
  <si>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</si>
  <si>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</si>
  <si>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</si>
  <si>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</si>
  <si>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</si>
  <si>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</si>
  <si>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</si>
  <si>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</si>
  <si>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</si>
  <si>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</si>
  <si>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</si>
  <si>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</si>
  <si>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</si>
  <si>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</si>
  <si>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</si>
  <si>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</si>
  <si>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</si>
  <si>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</si>
  <si>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</si>
  <si>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</si>
  <si>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</si>
  <si>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</si>
  <si>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</si>
  <si>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</si>
  <si>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</si>
  <si>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</si>
  <si>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</si>
  <si>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</si>
  <si>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</si>
  <si>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</si>
  <si>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</si>
  <si>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</si>
  <si>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</si>
  <si>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</si>
  <si>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</si>
  <si>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</si>
  <si>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</si>
  <si>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</si>
  <si>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</si>
  <si>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</si>
  <si>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</si>
  <si>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</si>
  <si>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</si>
  <si>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</si>
  <si>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</si>
  <si>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</si>
  <si>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</si>
  <si>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</si>
  <si>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</si>
  <si>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</si>
  <si>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</si>
  <si>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</si>
  <si>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</si>
  <si>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</si>
  <si>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</si>
  <si>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</si>
  <si>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</si>
  <si>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</si>
  <si>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</si>
  <si>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</si>
  <si>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</si>
  <si>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</si>
  <si>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</si>
  <si>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</si>
  <si>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</si>
  <si>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</si>
  <si>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</si>
  <si>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</si>
  <si>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</si>
  <si>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</si>
  <si>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</si>
  <si>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</si>
  <si>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</si>
  <si>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Ajusted After Tax ROC</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</si>
  <si>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</si>
  <si>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</si>
  <si>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</si>
  <si>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</si>
  <si>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</si>
  <si>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</si>
  <si>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</si>
  <si>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</si>
  <si>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</si>
  <si>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</si>
  <si>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</si>
  <si>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</si>
  <si>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</si>
  <si>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</si>
  <si>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</si>
  <si>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</si>
  <si>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</si>
  <si>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</si>
  <si>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</si>
  <si>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</si>
  <si>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</si>
  <si>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Chg. WC =</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</si>
  <si>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</si>
  <si>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</si>
  <si>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</si>
  <si>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</si>
  <si>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</si>
  <si>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</si>
  <si>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</si>
  <si>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</si>
  <si>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</si>
  <si>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</si>
  <si>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</si>
  <si>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</si>
  <si>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</si>
  <si>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</si>
  <si>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</si>
  <si>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</si>
  <si>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</si>
  <si>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</si>
  <si>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</si>
  <si>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</si>
  <si>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</si>
  <si>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</si>
  <si>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</si>
  <si>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</si>
  <si>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</si>
  <si>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</si>
  <si>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</si>
  <si>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</si>
  <si>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</si>
  <si>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</si>
  <si>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</si>
  <si>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</si>
  <si>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</si>
  <si>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</si>
  <si>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</si>
  <si>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</si>
  <si>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</si>
  <si>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</si>
  <si>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</si>
  <si>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</si>
  <si>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</si>
  <si>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</si>
  <si>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</si>
  <si>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</si>
  <si>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2. Average Pre Tax ROC</t>
  </si>
  <si>
    <t>3. Sector Margin</t>
  </si>
  <si>
    <t>1. No Adjustment</t>
  </si>
  <si>
    <t>Effective/Marginal</t>
  </si>
  <si>
    <t>Effective =&gt;</t>
  </si>
  <si>
    <t>Marginal =&gt;</t>
  </si>
  <si>
    <t>2. Historical average</t>
  </si>
  <si>
    <t>3. Sector average WC/Sales</t>
  </si>
  <si>
    <t>4. Direct Input</t>
  </si>
  <si>
    <t>1. No Adjustement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</si>
  <si>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</si>
  <si>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</si>
  <si>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</si>
  <si>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</si>
  <si>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</si>
  <si>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</si>
  <si>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</si>
  <si>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</si>
  <si>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</si>
  <si>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</si>
  <si>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</si>
  <si>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</si>
  <si>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</si>
  <si>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</si>
  <si>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</si>
  <si>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</si>
  <si>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</si>
  <si>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</si>
  <si>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</si>
  <si>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</si>
  <si>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</si>
  <si>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</si>
  <si>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</si>
  <si>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</si>
  <si>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</si>
  <si>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</si>
  <si>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</si>
  <si>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</si>
  <si>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</si>
  <si>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</si>
  <si>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</si>
  <si>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</si>
  <si>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</si>
  <si>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</si>
  <si>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</si>
  <si>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</si>
  <si>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</si>
  <si>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</si>
  <si>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</si>
  <si>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</si>
  <si>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</si>
  <si>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</si>
  <si>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</si>
  <si>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</si>
  <si>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</si>
  <si>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</si>
  <si>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</si>
  <si>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</si>
  <si>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</si>
  <si>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</si>
  <si>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</si>
  <si>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</si>
  <si>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</si>
  <si>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</si>
  <si>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</si>
  <si>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</si>
  <si>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</si>
  <si>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</si>
  <si>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</si>
  <si>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</si>
  <si>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</si>
  <si>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</si>
  <si>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</si>
  <si>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</si>
  <si>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</si>
  <si>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</si>
  <si>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</si>
  <si>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</si>
  <si>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</si>
  <si>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</si>
  <si>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</si>
  <si>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</si>
  <si>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</si>
  <si>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</si>
  <si>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</si>
  <si>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</si>
  <si>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</si>
  <si>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</si>
  <si>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</si>
  <si>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</si>
  <si>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</si>
  <si>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</si>
  <si>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</si>
  <si>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</si>
  <si>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</si>
  <si>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</si>
  <si>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</si>
  <si>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</si>
  <si>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</si>
  <si>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</si>
  <si>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</si>
  <si>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</si>
  <si>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</si>
  <si>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</si>
  <si>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</si>
  <si>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</si>
  <si>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</si>
  <si>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</si>
  <si>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</si>
  <si>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</si>
  <si>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</si>
  <si>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</si>
  <si>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P/EBIT =</t>
  </si>
  <si>
    <t>P/B =</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</si>
  <si>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</si>
  <si>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</si>
  <si>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</si>
  <si>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</si>
  <si>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</si>
  <si>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</si>
  <si>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</si>
  <si>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</si>
  <si>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</si>
  <si>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</si>
  <si>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</si>
  <si>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</si>
  <si>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</si>
  <si>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</si>
  <si>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</si>
  <si>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</si>
  <si>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</si>
  <si>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</si>
  <si>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</si>
  <si>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</si>
  <si>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</si>
  <si>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</si>
  <si>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</si>
  <si>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</si>
  <si>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</si>
  <si>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</si>
  <si>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</si>
  <si>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</si>
  <si>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</si>
  <si>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</si>
  <si>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</si>
  <si>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</si>
  <si>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</si>
  <si>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</si>
  <si>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</si>
  <si>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</si>
  <si>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</si>
  <si>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</si>
  <si>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</si>
  <si>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</si>
  <si>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</si>
  <si>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</si>
  <si>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</si>
  <si>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</si>
  <si>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</si>
  <si>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BV of 
Operating Assets</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</si>
  <si>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</si>
  <si>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</si>
  <si>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</si>
  <si>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</si>
  <si>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</si>
  <si>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</si>
  <si>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</si>
  <si>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</si>
  <si>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</si>
  <si>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</si>
  <si>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</si>
  <si>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</si>
  <si>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</si>
  <si>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</si>
  <si>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</si>
  <si>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</si>
  <si>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</si>
  <si>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</si>
  <si>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</si>
  <si>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</si>
  <si>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</si>
  <si>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</si>
  <si>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1. EBIT</t>
  </si>
  <si>
    <t>3. Tax Rate</t>
  </si>
  <si>
    <t>2. BS Adj.</t>
  </si>
  <si>
    <t>4. After Tax ROC</t>
  </si>
  <si>
    <t xml:space="preserve"> Cumulated Discount factor</t>
  </si>
  <si>
    <t>Company</t>
  </si>
  <si>
    <t>Index</t>
  </si>
  <si>
    <t>Dep This Year</t>
  </si>
  <si>
    <t>Net Capex Adjustment =</t>
  </si>
  <si>
    <t>Debt =</t>
  </si>
  <si>
    <t>Equity =</t>
  </si>
  <si>
    <t>Capital =</t>
  </si>
  <si>
    <t>Amortization Adj.</t>
  </si>
  <si>
    <t>1. Net Capex Adj.</t>
  </si>
  <si>
    <t>2. EBIT Adjustment =</t>
  </si>
  <si>
    <t>3. Equity Adjustment</t>
  </si>
  <si>
    <t>Capex Adj.</t>
  </si>
  <si>
    <t>Adj. approach =</t>
  </si>
  <si>
    <t>Confidence Level:</t>
  </si>
  <si>
    <t>Exchange Rate</t>
  </si>
  <si>
    <t>Interest-bearing Debt</t>
  </si>
  <si>
    <t>Multiples:</t>
  </si>
  <si>
    <t>Sales/share =</t>
  </si>
  <si>
    <t>Equity/share =</t>
  </si>
  <si>
    <t>EBIT/share =</t>
  </si>
  <si>
    <t>BV of Minority interests</t>
  </si>
  <si>
    <t>中通快遞 2057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</si>
</sst>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27">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3" xfId="0" applyFont="1" applyBorder="1" applyAlignment="1">
      <alignment horizontal="center" vertical="center" wrapText="1"/>
    </xf>
    <xf numFmtId="10" fontId="4" fillId="4" borderId="3"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8"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0" borderId="0" xfId="0" applyFont="1" applyAlignment="1"/>
    <xf numFmtId="0" fontId="35" fillId="3" borderId="1" xfId="0" applyFont="1" applyFill="1" applyBorder="1" applyAlignment="1">
      <alignment horizontal="center"/>
    </xf>
    <xf numFmtId="0" fontId="35" fillId="0" borderId="0" xfId="0" applyFont="1" applyAlignment="1">
      <alignment horizontal="left"/>
    </xf>
    <xf numFmtId="4" fontId="35" fillId="4" borderId="1" xfId="0" applyNumberFormat="1" applyFont="1" applyFill="1" applyBorder="1" applyAlignment="1">
      <alignment horizontal="center"/>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35" fillId="0" borderId="0" xfId="0" applyNumberFormat="1" applyFont="1" applyFill="1" applyBorder="1" applyAlignment="1"/>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0" fontId="0" fillId="0" borderId="0" xfId="0" applyNumberFormat="1" applyFont="1">
      <alignment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4" fontId="4" fillId="4" borderId="23" xfId="0" applyNumberFormat="1" applyFont="1" applyFill="1" applyBorder="1" applyAlignment="1">
      <alignment horizontal="center"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3" borderId="18" xfId="0" applyFont="1" applyFill="1" applyBorder="1" applyAlignment="1">
      <alignment horizontal="center" vertical="center"/>
    </xf>
    <xf numFmtId="0" fontId="4" fillId="3" borderId="22" xfId="0" applyFont="1" applyFill="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0" fontId="4" fillId="0" borderId="0" xfId="0" applyFont="1" applyFill="1" applyBorder="1" applyAlignment="1">
      <alignment horizontal="center" vertical="center"/>
    </xf>
    <xf numFmtId="175" fontId="4" fillId="3" borderId="1" xfId="0" applyNumberFormat="1" applyFont="1" applyFill="1" applyBorder="1" applyAlignment="1">
      <alignment horizontal="center" vertical="center"/>
    </xf>
    <xf numFmtId="10" fontId="0" fillId="0" borderId="0" xfId="0" applyNumberFormat="1" applyFont="1">
      <alignment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394B47CF-7FAB-480E-871D-AC65431DD3FE}"/>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F21BC171-7B60-4FD7-8517-ECDF9E8008A5}"/>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ABD43EA9-BFED-446B-A1A2-A406C3D35406}"/>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7A2E1A19-EF09-4734-9632-F342DFF8D99A}"/>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Y107"/>
  <sheetViews>
    <sheetView showGridLines="0" zoomScaleNormal="100" workbookViewId="0">
      <pane xSplit="1" topLeftCell="B1" activePane="topRight" state="frozen"/>
      <selection activeCell="A4" sqref="A4"/>
      <selection pane="topRight" activeCell="B5" sqref="B5"/>
    </sheetView>
  </sheetViews>
  <sheetFormatPr defaultColWidth="8.875" defaultRowHeight="15.75" outlineLevelRow="1"/>
  <cols>
    <col min="1" max="1" width="14.875" style="1" customWidth="1"/>
    <col min="2" max="25" width="19.125" style="1" customWidth="1"/>
    <col min="26" max="16384" width="8.875" style="1"/>
  </cols>
  <sheetData>
    <row r="1" spans="1:25">
      <c r="A1" s="191" t="s">
        <v>235</v>
      </c>
      <c r="B1" s="192"/>
      <c r="C1" s="192"/>
      <c r="D1" s="192"/>
      <c r="E1" s="192"/>
    </row>
    <row r="2" spans="1:25" ht="16.5" thickBot="1">
      <c r="A2" s="1" t="s">
        <v>416</v>
      </c>
      <c r="B2" s="319" t="s">
        <v>596</v>
      </c>
      <c r="C2" s="319"/>
      <c r="E2" s="1" t="s">
        <v>417</v>
      </c>
      <c r="F2" s="193">
        <v>44381</v>
      </c>
    </row>
    <row r="3" spans="1:25">
      <c r="H3" s="306" t="s">
        <v>591</v>
      </c>
      <c r="I3" s="308" t="s">
        <v>575</v>
      </c>
      <c r="J3" s="310" t="s">
        <v>499</v>
      </c>
      <c r="K3" s="304"/>
      <c r="L3" s="309" t="s">
        <v>575</v>
      </c>
      <c r="M3" s="316"/>
    </row>
    <row r="4" spans="1:25">
      <c r="A4" s="1" t="s">
        <v>418</v>
      </c>
      <c r="B4" s="2" t="s">
        <v>419</v>
      </c>
      <c r="E4" s="1" t="s">
        <v>523</v>
      </c>
      <c r="F4" s="2" t="s">
        <v>509</v>
      </c>
      <c r="H4" s="313" t="s">
        <v>502</v>
      </c>
      <c r="I4" s="139">
        <f>B5/L4</f>
        <v>7.3214866176985325</v>
      </c>
      <c r="J4" s="311"/>
      <c r="K4" s="315" t="s">
        <v>592</v>
      </c>
      <c r="L4" s="139">
        <f>((B14*C10)/B6)*F6</f>
        <v>30.676829956509806</v>
      </c>
      <c r="M4" s="316"/>
    </row>
    <row r="5" spans="1:25">
      <c r="A5" s="1" t="s">
        <v>422</v>
      </c>
      <c r="B5" s="259">
        <v>224.6</v>
      </c>
      <c r="C5" s="215" t="s">
        <v>508</v>
      </c>
      <c r="E5" s="1" t="s">
        <v>424</v>
      </c>
      <c r="F5" s="247" t="str">
        <f>IF(C5=F4,"NA",CONCATENATE(F4,"/",C5))</f>
        <v>RMB/HKD</v>
      </c>
      <c r="H5" s="313" t="s">
        <v>501</v>
      </c>
      <c r="I5" s="139">
        <f>B5/L5</f>
        <v>4.2151915299846312</v>
      </c>
      <c r="J5" s="311"/>
      <c r="K5" s="315" t="s">
        <v>593</v>
      </c>
      <c r="L5" s="139">
        <f>((L14*C10)/B6)*F6</f>
        <v>53.283462543116968</v>
      </c>
      <c r="M5" s="316"/>
    </row>
    <row r="6" spans="1:25" ht="16.5" thickBot="1">
      <c r="A6" s="1" t="s">
        <v>423</v>
      </c>
      <c r="B6" s="194">
        <v>855301115</v>
      </c>
      <c r="E6" s="1" t="s">
        <v>589</v>
      </c>
      <c r="F6" s="317">
        <v>1.1867024399999999</v>
      </c>
      <c r="H6" s="314" t="s">
        <v>500</v>
      </c>
      <c r="I6" s="305">
        <f>B5/L6</f>
        <v>29.632561167833526</v>
      </c>
      <c r="J6" s="312"/>
      <c r="K6" s="315" t="s">
        <v>594</v>
      </c>
      <c r="L6" s="139">
        <f>((D14*C10)/B6)*F6</f>
        <v>7.5795000886999198</v>
      </c>
      <c r="M6" s="316"/>
    </row>
    <row r="8" spans="1:25">
      <c r="A8" s="191" t="s">
        <v>425</v>
      </c>
      <c r="B8" s="192"/>
      <c r="C8" s="192"/>
      <c r="D8" s="192"/>
      <c r="E8" s="192"/>
    </row>
    <row r="9" spans="1:25">
      <c r="A9" s="13" t="s">
        <v>12</v>
      </c>
      <c r="B9" s="1" t="s">
        <v>319</v>
      </c>
      <c r="C9" s="2">
        <v>2019</v>
      </c>
      <c r="E9" s="1" t="s">
        <v>546</v>
      </c>
      <c r="F9" s="28">
        <v>12</v>
      </c>
    </row>
    <row r="10" spans="1:25">
      <c r="B10" s="1" t="s">
        <v>530</v>
      </c>
      <c r="C10" s="35">
        <v>1000</v>
      </c>
    </row>
    <row r="11" spans="1:25" s="31" customFormat="1" ht="42.95" customHeight="1">
      <c r="B11" s="32" t="s">
        <v>544</v>
      </c>
      <c r="C11" s="32" t="s">
        <v>545</v>
      </c>
      <c r="D11" s="32" t="s">
        <v>543</v>
      </c>
      <c r="E11" s="32" t="s">
        <v>199</v>
      </c>
      <c r="F11" s="40" t="s">
        <v>205</v>
      </c>
      <c r="G11" s="32" t="s">
        <v>195</v>
      </c>
      <c r="H11" s="32" t="s">
        <v>196</v>
      </c>
      <c r="I11" s="32" t="s">
        <v>373</v>
      </c>
      <c r="J11" s="32" t="s">
        <v>374</v>
      </c>
      <c r="K11" s="32" t="s">
        <v>590</v>
      </c>
      <c r="L11" s="32" t="s">
        <v>211</v>
      </c>
      <c r="M11" s="32" t="s">
        <v>595</v>
      </c>
      <c r="N11" s="32" t="s">
        <v>197</v>
      </c>
      <c r="O11" s="32" t="s">
        <v>384</v>
      </c>
      <c r="P11" s="136" t="s">
        <v>547</v>
      </c>
      <c r="Q11" s="32" t="s">
        <v>385</v>
      </c>
      <c r="R11" s="32" t="s">
        <v>552</v>
      </c>
      <c r="S11" s="32" t="s">
        <v>318</v>
      </c>
      <c r="T11" s="32" t="s">
        <v>198</v>
      </c>
      <c r="U11" s="32" t="s">
        <v>542</v>
      </c>
      <c r="V11" s="32" t="s">
        <v>315</v>
      </c>
      <c r="W11" s="32" t="s">
        <v>554</v>
      </c>
      <c r="X11" s="40" t="s">
        <v>383</v>
      </c>
      <c r="Y11" s="32" t="s">
        <v>511</v>
      </c>
    </row>
    <row r="12" spans="1:25" ht="29.1" customHeight="1" outlineLevel="1">
      <c r="A12" s="100" t="str">
        <f>CONCATENATE("First X months of ",$C$9+1)</f>
        <v>First X months of 2020</v>
      </c>
      <c r="B12" s="36"/>
      <c r="C12" s="99" t="str">
        <f>IF(OR(In_Sales="",B15=""),"",(In_Sales-B15)/B15)</f>
        <v/>
      </c>
      <c r="D12" s="36"/>
      <c r="E12" s="110" t="str">
        <f>IF(In_Sales="","",In_EBIT/In_Sales)</f>
        <v/>
      </c>
      <c r="F12" s="108" t="str">
        <f>IF(OR(In_EBIT="",D15=""),"",In_EBIT/D15-1)</f>
        <v/>
      </c>
      <c r="G12" s="19"/>
      <c r="H12" s="18"/>
      <c r="I12" s="138"/>
      <c r="J12" s="138"/>
      <c r="K12" s="36"/>
      <c r="L12" s="36"/>
      <c r="M12" s="36"/>
      <c r="N12" s="36"/>
      <c r="O12" s="36"/>
      <c r="P12" s="14"/>
      <c r="Q12" s="83" t="str">
        <f>IF(In_Sales="","",Current_Asset-In_Cash+In_Debt-Current_Liabilities)</f>
        <v/>
      </c>
      <c r="R12" s="109"/>
      <c r="S12" s="36"/>
      <c r="T12" s="36"/>
      <c r="U12" s="39" t="str">
        <f>IF(In_Sales="","",In_Capex-In_Dep)</f>
        <v/>
      </c>
      <c r="V12" s="99" t="str">
        <f>IF(In_Sales="","",In_NetCapex/In_Sales)</f>
        <v/>
      </c>
      <c r="W12" s="38" t="str">
        <f>IF(Q15="","",NonCash_WC-Q15)</f>
        <v/>
      </c>
      <c r="X12" s="99" t="str">
        <f>IF(In_WCInv="","",(In_NetCapex+In_WCInv)/(In_EBIT*(1-Adj_Effective_T)))</f>
        <v/>
      </c>
      <c r="Y12" s="99" t="str">
        <f>IF(L15="","",(In_EBIT*(1-Adj_Effective_T))/(L15+K15-N15-O15))</f>
        <v/>
      </c>
    </row>
    <row r="13" spans="1:25" ht="29.1" customHeight="1" outlineLevel="1">
      <c r="A13" s="101" t="str">
        <f>CONCATENATE("Last 10k of ",$C$9)</f>
        <v>Last 10k of 2019</v>
      </c>
      <c r="B13" s="19">
        <v>22109946</v>
      </c>
      <c r="C13" s="99">
        <f>IF(OR(In_Sales="",B16=""),"",(In_Sales-B16)/B16)</f>
        <v>0.25592931015002968</v>
      </c>
      <c r="D13" s="37">
        <v>5462831</v>
      </c>
      <c r="E13" s="99">
        <f>IF(In_Sales="","",In_EBIT/In_Sales)</f>
        <v>0.24707572781950712</v>
      </c>
      <c r="F13" s="99">
        <f>IF(OR(In_EBIT="",$D16=""),"",In_EBIT/D16-1)</f>
        <v>0.26097640864747729</v>
      </c>
      <c r="G13" s="19">
        <v>0</v>
      </c>
      <c r="H13" s="18">
        <f>1078295/6757118</f>
        <v>0.15957912826148662</v>
      </c>
      <c r="I13" s="138">
        <v>6680947</v>
      </c>
      <c r="J13" s="138">
        <v>6680947</v>
      </c>
      <c r="K13" s="37">
        <f>298728+504442</f>
        <v>803170</v>
      </c>
      <c r="L13" s="37">
        <v>38403397</v>
      </c>
      <c r="M13" s="37">
        <v>100793</v>
      </c>
      <c r="N13" s="37">
        <v>5270204</v>
      </c>
      <c r="O13" s="37">
        <v>0</v>
      </c>
      <c r="P13" s="14"/>
      <c r="Q13" s="83">
        <f>Current_Asset-In_Cash+In_Debt-Current_Liabilities</f>
        <v>-4467034</v>
      </c>
      <c r="R13" s="99">
        <f>NonCash_WC/In_Sales</f>
        <v>-0.20203730936294462</v>
      </c>
      <c r="S13" s="37">
        <f>4635685+590733</f>
        <v>5226418</v>
      </c>
      <c r="T13" s="37">
        <v>1264566</v>
      </c>
      <c r="U13" s="39">
        <f>In_Capex-In_Dep</f>
        <v>3961852</v>
      </c>
      <c r="V13" s="99">
        <f>In_NetCapex/In_Sales</f>
        <v>0.17918867825366919</v>
      </c>
      <c r="W13" s="39">
        <f>NonCash_WC-Q16</f>
        <v>155520</v>
      </c>
      <c r="X13" s="99">
        <f>(In_NetCapex+In_WCInv)/(In_EBIT*(1-Adj_Effective_T))</f>
        <v>0.89682046904151391</v>
      </c>
      <c r="Y13" s="99">
        <f>(In_EBIT*(1-Adj_Effective_T))/(L16+K16-N16-O16)</f>
        <v>0.15485809577598586</v>
      </c>
    </row>
    <row r="14" spans="1:25" ht="29.1" customHeight="1">
      <c r="A14" s="102" t="str">
        <f>CONCATENATE("LTM of ",$C$9)</f>
        <v>LTM of 2019</v>
      </c>
      <c r="B14" s="20">
        <f>IF(M_beyond10K=12,B13,B13-B15+B12)</f>
        <v>22109946</v>
      </c>
      <c r="C14" s="27">
        <f>IF(OR(In_Sales="",B17=""),"",In_Sales/B17-1)</f>
        <v>0.25592931015002973</v>
      </c>
      <c r="D14" s="20">
        <f>IF(M_beyond10K=12,D13,D13-D15+D12)</f>
        <v>5462831</v>
      </c>
      <c r="E14" s="27">
        <f>In_EBIT/In_Sales</f>
        <v>0.24707572781950712</v>
      </c>
      <c r="F14" s="41">
        <f>IF(D17="","",In_EBIT/D17-1)</f>
        <v>0.26097640864747729</v>
      </c>
      <c r="G14" s="20">
        <f>IF(F9=12,G13,G13-G15+G12)</f>
        <v>0</v>
      </c>
      <c r="H14" s="27">
        <f>IF(F9=12,H13,H13*((12-$F$9)/12)+H12*($F$9/12))</f>
        <v>0.15957912826148662</v>
      </c>
      <c r="I14" s="20">
        <f t="shared" ref="I14:O14" si="0">IF(M_beyond10K=12,I13,I12)</f>
        <v>6680947</v>
      </c>
      <c r="J14" s="20">
        <f t="shared" si="0"/>
        <v>6680947</v>
      </c>
      <c r="K14" s="20">
        <f t="shared" si="0"/>
        <v>803170</v>
      </c>
      <c r="L14" s="20">
        <f t="shared" si="0"/>
        <v>38403397</v>
      </c>
      <c r="M14" s="20">
        <f t="shared" si="0"/>
        <v>100793</v>
      </c>
      <c r="N14" s="20">
        <f t="shared" si="0"/>
        <v>5270204</v>
      </c>
      <c r="O14" s="20">
        <f t="shared" si="0"/>
        <v>0</v>
      </c>
      <c r="P14" s="137">
        <f>In_Debt+In_Equity</f>
        <v>39206567</v>
      </c>
      <c r="Q14" s="20">
        <f>Current_Asset+In_Debt-Current_Liabilities-In_Cash</f>
        <v>-4467034</v>
      </c>
      <c r="R14" s="27">
        <f>NonCash_WC/In_Sales</f>
        <v>-0.20203730936294462</v>
      </c>
      <c r="S14" s="20">
        <f>IF(M_beyond10K=12,S13,S13-S15+S12)</f>
        <v>5226418</v>
      </c>
      <c r="T14" s="20">
        <f>IF(M_beyond10K=12,T13,T13-T15+T12)</f>
        <v>1264566</v>
      </c>
      <c r="U14" s="20">
        <f>In_Capex-In_Dep</f>
        <v>3961852</v>
      </c>
      <c r="V14" s="27">
        <f>In_NetCapex/In_Sales</f>
        <v>0.17918867825366919</v>
      </c>
      <c r="W14" s="20">
        <f>NonCash_WC-Q17</f>
        <v>155520</v>
      </c>
      <c r="X14" s="27">
        <f>(S14-T14+W14)/(D14*(1-Adj!$C$35))</f>
        <v>0.89682046904151391</v>
      </c>
      <c r="Y14" s="27">
        <f>(In_EBIT*(1-Adj_Effective_T))/(P17-N17)</f>
        <v>0.15485809577598586</v>
      </c>
    </row>
    <row r="15" spans="1:25" ht="29.1" customHeight="1" outlineLevel="1">
      <c r="A15" s="100" t="str">
        <f>CONCATENATE("First X months of ",$C$9)</f>
        <v>First X months of 2019</v>
      </c>
      <c r="B15" s="36"/>
      <c r="C15" s="99" t="str">
        <f>IF(OR(In_Sales="",B18=""),"",(In_Sales-B18)/B18)</f>
        <v/>
      </c>
      <c r="D15" s="36"/>
      <c r="E15" s="110" t="str">
        <f t="shared" ref="E15:E42" si="1">IF(In_Sales="","",In_EBIT/In_Sales)</f>
        <v/>
      </c>
      <c r="F15" s="108" t="str">
        <f>IF(OR(In_EBIT="",D18=""),"",In_EBIT/D18-1)</f>
        <v/>
      </c>
      <c r="G15" s="19"/>
      <c r="H15" s="18"/>
      <c r="I15" s="138"/>
      <c r="J15" s="138"/>
      <c r="K15" s="36"/>
      <c r="L15" s="36"/>
      <c r="M15" s="36"/>
      <c r="N15" s="36"/>
      <c r="O15" s="36"/>
      <c r="P15" s="14"/>
      <c r="Q15" s="83" t="str">
        <f t="shared" ref="Q15:Q42" si="2">IF(In_Sales="","",Current_Asset-In_Cash+In_Debt-Current_Liabilities)</f>
        <v/>
      </c>
      <c r="R15" s="109"/>
      <c r="S15" s="36"/>
      <c r="T15" s="36"/>
      <c r="U15" s="39" t="str">
        <f t="shared" ref="U15:U42" si="3">IF(In_Sales="","",In_Capex-In_Dep)</f>
        <v/>
      </c>
      <c r="V15" s="99" t="str">
        <f t="shared" ref="V15:V42" si="4">IF(In_Sales="","",In_NetCapex/In_Sales)</f>
        <v/>
      </c>
      <c r="W15" s="38" t="str">
        <f t="shared" ref="W15:W42" si="5">IF(Q18="","",NonCash_WC-Q18)</f>
        <v/>
      </c>
      <c r="X15" s="99" t="str">
        <f t="shared" ref="X15:X42" si="6">IF(In_WCInv="","",(In_NetCapex+In_WCInv)/(In_EBIT*(1-Adj_Effective_T)))</f>
        <v/>
      </c>
      <c r="Y15" s="99" t="str">
        <f>IF(L18="","",(In_EBIT*(1-Adj_Effective_T))/(L18+K18-N18-O18))</f>
        <v/>
      </c>
    </row>
    <row r="16" spans="1:25" ht="29.1" customHeight="1" outlineLevel="1">
      <c r="A16" s="101" t="str">
        <f>CONCATENATE("Last 10k of ",$C$9-1)</f>
        <v>Last 10k of 2018</v>
      </c>
      <c r="B16" s="19">
        <v>17604451</v>
      </c>
      <c r="C16" s="99">
        <f>IF(OR(In_Sales="",B19=""),"",(In_Sales-B19)/B19)</f>
        <v>0.34795961707105311</v>
      </c>
      <c r="D16" s="37">
        <v>4332223</v>
      </c>
      <c r="E16" s="99">
        <f t="shared" si="1"/>
        <v>0.24608679929865465</v>
      </c>
      <c r="F16" s="99">
        <f>IF(OR(In_EBIT="",$D19=""),"",(In_EBIT-D19)/D19)</f>
        <v>0.15574179624296539</v>
      </c>
      <c r="G16" s="19">
        <v>780</v>
      </c>
      <c r="H16" s="18">
        <f>929133/5336431</f>
        <v>0.17411131147390457</v>
      </c>
      <c r="I16" s="138">
        <v>5141465</v>
      </c>
      <c r="J16" s="138">
        <v>5141465</v>
      </c>
      <c r="K16" s="37">
        <v>0</v>
      </c>
      <c r="L16" s="37">
        <v>34269549</v>
      </c>
      <c r="M16" s="37">
        <v>52311</v>
      </c>
      <c r="N16" s="37">
        <v>4622554</v>
      </c>
      <c r="O16" s="37">
        <v>0</v>
      </c>
      <c r="P16" s="14"/>
      <c r="Q16" s="83">
        <f t="shared" si="2"/>
        <v>-4622554</v>
      </c>
      <c r="R16" s="99">
        <f>IF(In_Sales="","",NonCash_WC/In_Sales)</f>
        <v>-0.26257870807786055</v>
      </c>
      <c r="S16" s="37">
        <f>3323822+657454</f>
        <v>3981276</v>
      </c>
      <c r="T16" s="37">
        <v>853718</v>
      </c>
      <c r="U16" s="39">
        <f t="shared" si="3"/>
        <v>3127558</v>
      </c>
      <c r="V16" s="99">
        <f t="shared" si="4"/>
        <v>0.17765722998121328</v>
      </c>
      <c r="W16" s="38">
        <f t="shared" si="5"/>
        <v>552470</v>
      </c>
      <c r="X16" s="99">
        <f t="shared" si="6"/>
        <v>1.0107493945161261</v>
      </c>
      <c r="Y16" s="99">
        <f>IF(L19="","",(In_EBIT*(1-Adj_Effective_T))/(L19+K19-N19-O19))</f>
        <v>0.22383038533891142</v>
      </c>
    </row>
    <row r="17" spans="1:25" ht="29.1" customHeight="1">
      <c r="A17" s="102" t="str">
        <f>CONCATENATE("LTM of ",$C$9-1)</f>
        <v>LTM of 2018</v>
      </c>
      <c r="B17" s="20">
        <f>IF(B16="","",IF(M_beyond10K=12,B16,B16-B18+B15))</f>
        <v>17604451</v>
      </c>
      <c r="C17" s="27">
        <f>IF(OR(In_Sales="",B20=""),"",In_Sales/B20-1)</f>
        <v>0.34795961707105305</v>
      </c>
      <c r="D17" s="20">
        <f>IF(D16="","",IF(M_beyond10K=12,D16,D16-D18+D15))</f>
        <v>4332223</v>
      </c>
      <c r="E17" s="27">
        <f t="shared" si="1"/>
        <v>0.24608679929865465</v>
      </c>
      <c r="F17" s="41">
        <f>IF(D20="","",In_EBIT/D20-1)</f>
        <v>0.15574179624296547</v>
      </c>
      <c r="G17" s="20">
        <f>IF(In_Sales="","",IF(F$9=12,G16,G16-G18+G15))</f>
        <v>780</v>
      </c>
      <c r="H17" s="27">
        <f>IF(B17="","",IF(F$9=12,H16,H16*((12-$F$9)/12)+H15*($F$9/12)))</f>
        <v>0.17411131147390457</v>
      </c>
      <c r="I17" s="20">
        <f t="shared" ref="I17:O17" si="7">IF(In_Sales="","",IF(M_beyond10K=12,I16,I15))</f>
        <v>5141465</v>
      </c>
      <c r="J17" s="20">
        <f t="shared" si="7"/>
        <v>5141465</v>
      </c>
      <c r="K17" s="20">
        <f t="shared" si="7"/>
        <v>0</v>
      </c>
      <c r="L17" s="20">
        <f t="shared" si="7"/>
        <v>34269549</v>
      </c>
      <c r="M17" s="20">
        <f t="shared" si="7"/>
        <v>52311</v>
      </c>
      <c r="N17" s="20">
        <f t="shared" si="7"/>
        <v>4622554</v>
      </c>
      <c r="O17" s="20">
        <f t="shared" si="7"/>
        <v>0</v>
      </c>
      <c r="P17" s="137">
        <f>IF(In_Sales="","",In_Debt+In_Equity)</f>
        <v>34269549</v>
      </c>
      <c r="Q17" s="20">
        <f t="shared" si="2"/>
        <v>-4622554</v>
      </c>
      <c r="R17" s="27">
        <f>IF(In_Sales="","",NonCash_WC/In_Sales)</f>
        <v>-0.26257870807786055</v>
      </c>
      <c r="S17" s="20">
        <f>IF(In_Sales="","",IF(M_beyond10K=12,S16,S16-S18+S15))</f>
        <v>3981276</v>
      </c>
      <c r="T17" s="20">
        <f>IF(In_Sales="","",IF(M_beyond10K=12,T16,T16-T18+T15))</f>
        <v>853718</v>
      </c>
      <c r="U17" s="20">
        <f t="shared" si="3"/>
        <v>3127558</v>
      </c>
      <c r="V17" s="27">
        <f t="shared" si="4"/>
        <v>0.17765722998121328</v>
      </c>
      <c r="W17" s="20">
        <f t="shared" si="5"/>
        <v>552470</v>
      </c>
      <c r="X17" s="27">
        <f t="shared" si="6"/>
        <v>1.0107493945161261</v>
      </c>
      <c r="Y17" s="27">
        <f>IF(P20="","",(In_EBIT*(1-Adj_Effective_T))/(P20-N20))</f>
        <v>0.22383038533891142</v>
      </c>
    </row>
    <row r="18" spans="1:25" ht="29.1" customHeight="1" outlineLevel="1">
      <c r="A18" s="100" t="str">
        <f>CONCATENATE("First X months of ",$C$9-1)</f>
        <v>First X months of 2018</v>
      </c>
      <c r="B18" s="36"/>
      <c r="C18" s="99" t="str">
        <f>IF(OR(In_Sales="",B21=""),"",(In_Sales-B21)/B21)</f>
        <v/>
      </c>
      <c r="D18" s="36"/>
      <c r="E18" s="110" t="str">
        <f t="shared" si="1"/>
        <v/>
      </c>
      <c r="F18" s="108" t="str">
        <f>IF(OR(In_EBIT="",D21=""),"",In_EBIT/D21-1)</f>
        <v/>
      </c>
      <c r="G18" s="19"/>
      <c r="H18" s="18"/>
      <c r="I18" s="138"/>
      <c r="J18" s="138"/>
      <c r="K18" s="36"/>
      <c r="L18" s="36"/>
      <c r="M18" s="36"/>
      <c r="N18" s="36"/>
      <c r="O18" s="36"/>
      <c r="P18" s="14"/>
      <c r="Q18" s="83" t="str">
        <f t="shared" si="2"/>
        <v/>
      </c>
      <c r="R18" s="109"/>
      <c r="S18" s="36"/>
      <c r="T18" s="36"/>
      <c r="U18" s="39" t="str">
        <f t="shared" si="3"/>
        <v/>
      </c>
      <c r="V18" s="99" t="str">
        <f t="shared" si="4"/>
        <v/>
      </c>
      <c r="W18" s="38" t="str">
        <f t="shared" si="5"/>
        <v/>
      </c>
      <c r="X18" s="99" t="str">
        <f t="shared" si="6"/>
        <v/>
      </c>
      <c r="Y18" s="99" t="str">
        <f>IF(L21="","",(In_EBIT*(1-Adj_Effective_T))/(L21+K21-N21-O21))</f>
        <v/>
      </c>
    </row>
    <row r="19" spans="1:25" ht="29.1" customHeight="1" outlineLevel="1">
      <c r="A19" s="101" t="str">
        <f>CONCATENATE("Last 10k of ",$C$9-2)</f>
        <v>Last 10k of 2017</v>
      </c>
      <c r="B19" s="19">
        <v>13060073</v>
      </c>
      <c r="C19" s="99" t="str">
        <f>IF(OR(In_Sales="",B22=""),"",(In_Sales-B22)/B22)</f>
        <v/>
      </c>
      <c r="D19" s="37">
        <v>3748435</v>
      </c>
      <c r="E19" s="99">
        <f t="shared" si="1"/>
        <v>0.28701485818647415</v>
      </c>
      <c r="F19" s="99" t="str">
        <f>IF(OR(In_EBIT="",$D22=""),"",(In_EBIT-D22)/D22)</f>
        <v/>
      </c>
      <c r="G19" s="19">
        <v>15668</v>
      </c>
      <c r="H19" s="18">
        <f>646361/3820943</f>
        <v>0.1691626909901561</v>
      </c>
      <c r="I19" s="138">
        <v>4146014</v>
      </c>
      <c r="J19" s="138">
        <v>4146014</v>
      </c>
      <c r="K19" s="37">
        <v>250000</v>
      </c>
      <c r="L19" s="37">
        <v>21441317</v>
      </c>
      <c r="M19" s="37">
        <v>6004</v>
      </c>
      <c r="N19" s="37">
        <v>5425024</v>
      </c>
      <c r="O19" s="37">
        <v>0</v>
      </c>
      <c r="P19" s="14"/>
      <c r="Q19" s="83">
        <f t="shared" si="2"/>
        <v>-5175024</v>
      </c>
      <c r="R19" s="99">
        <f>IF(In_Sales="","",NonCash_WC/In_Sales)</f>
        <v>-0.39624770856946973</v>
      </c>
      <c r="S19" s="37">
        <f>2572242+254497</f>
        <v>2826739</v>
      </c>
      <c r="T19" s="37">
        <v>560366</v>
      </c>
      <c r="U19" s="39">
        <f t="shared" si="3"/>
        <v>2266373</v>
      </c>
      <c r="V19" s="99">
        <f t="shared" si="4"/>
        <v>0.17353448177510186</v>
      </c>
      <c r="W19" s="38" t="str">
        <f t="shared" si="5"/>
        <v/>
      </c>
      <c r="X19" s="99" t="str">
        <f t="shared" si="6"/>
        <v/>
      </c>
      <c r="Y19" s="99" t="str">
        <f>IF(L22="","",(In_EBIT*(1-Adj_Effective_T))/(L22+K22-N22-O22))</f>
        <v/>
      </c>
    </row>
    <row r="20" spans="1:25" ht="29.1" customHeight="1">
      <c r="A20" s="102" t="str">
        <f>CONCATENATE("LTM of ",$C$9-2)</f>
        <v>LTM of 2017</v>
      </c>
      <c r="B20" s="20">
        <f>IF(B19="","",IF(M_beyond10K=12,B19,B19-B21+B18))</f>
        <v>13060073</v>
      </c>
      <c r="C20" s="27" t="str">
        <f>IF(OR(In_Sales="",B23=""),"",In_Sales/B23-1)</f>
        <v/>
      </c>
      <c r="D20" s="20">
        <f>IF(D19="","",IF(M_beyond10K=12,D19,D19-D21+D18))</f>
        <v>3748435</v>
      </c>
      <c r="E20" s="27">
        <f t="shared" si="1"/>
        <v>0.28701485818647415</v>
      </c>
      <c r="F20" s="41" t="str">
        <f>IF(D23="","",In_EBIT/D23-1)</f>
        <v/>
      </c>
      <c r="G20" s="20">
        <f>IF(In_Sales="","",IF(F$9=12,G19,G19-G21+G18))</f>
        <v>15668</v>
      </c>
      <c r="H20" s="27">
        <f>IF(B20="","",IF(F$9=12,H19,H19*((12-$F$9)/12)+H18*($F$9/12)))</f>
        <v>0.1691626909901561</v>
      </c>
      <c r="I20" s="20">
        <f t="shared" ref="I20:O20" si="8">IF(In_Sales="","",IF(M_beyond10K=12,I19,I18))</f>
        <v>4146014</v>
      </c>
      <c r="J20" s="20">
        <f t="shared" si="8"/>
        <v>4146014</v>
      </c>
      <c r="K20" s="20">
        <f t="shared" si="8"/>
        <v>250000</v>
      </c>
      <c r="L20" s="20">
        <f t="shared" si="8"/>
        <v>21441317</v>
      </c>
      <c r="M20" s="20">
        <f t="shared" si="8"/>
        <v>6004</v>
      </c>
      <c r="N20" s="20">
        <f t="shared" si="8"/>
        <v>5425024</v>
      </c>
      <c r="O20" s="20">
        <f t="shared" si="8"/>
        <v>0</v>
      </c>
      <c r="P20" s="137">
        <f>IF(In_Sales="","",In_Debt+In_Equity)</f>
        <v>21691317</v>
      </c>
      <c r="Q20" s="20">
        <f t="shared" si="2"/>
        <v>-5175024</v>
      </c>
      <c r="R20" s="27">
        <f>IF(In_Sales="","",NonCash_WC/In_Sales)</f>
        <v>-0.39624770856946973</v>
      </c>
      <c r="S20" s="20">
        <f>IF(In_Sales="","",IF(M_beyond10K=12,S19,S19-S21+S18))</f>
        <v>2826739</v>
      </c>
      <c r="T20" s="20">
        <f>IF(In_Sales="","",IF(M_beyond10K=12,T19,T19-T21+T18))</f>
        <v>560366</v>
      </c>
      <c r="U20" s="20">
        <f t="shared" si="3"/>
        <v>2266373</v>
      </c>
      <c r="V20" s="27">
        <f t="shared" si="4"/>
        <v>0.17353448177510186</v>
      </c>
      <c r="W20" s="20" t="str">
        <f t="shared" si="5"/>
        <v/>
      </c>
      <c r="X20" s="27" t="str">
        <f t="shared" si="6"/>
        <v/>
      </c>
      <c r="Y20" s="27" t="str">
        <f>IF(P23="","",(In_EBIT*(1-Adj_Effective_T))/(P23-N23-O23))</f>
        <v/>
      </c>
    </row>
    <row r="21" spans="1:25" ht="29.1" customHeight="1" outlineLevel="1">
      <c r="A21" s="100" t="str">
        <f>CONCATENATE("First X months of ",$C$9-2)</f>
        <v>First X months of 2017</v>
      </c>
      <c r="B21" s="36"/>
      <c r="C21" s="99" t="str">
        <f>IF(OR(In_Sales="",B24=""),"",(In_Sales-B24)/B24)</f>
        <v/>
      </c>
      <c r="D21" s="36"/>
      <c r="E21" s="110" t="str">
        <f t="shared" si="1"/>
        <v/>
      </c>
      <c r="F21" s="108" t="str">
        <f>IF(OR(In_EBIT="",D24=""),"",In_EBIT/D24-1)</f>
        <v/>
      </c>
      <c r="G21" s="19"/>
      <c r="H21" s="18"/>
      <c r="I21" s="138"/>
      <c r="J21" s="138"/>
      <c r="K21" s="95"/>
      <c r="L21" s="36"/>
      <c r="M21" s="36"/>
      <c r="N21" s="36"/>
      <c r="O21" s="36"/>
      <c r="P21" s="14"/>
      <c r="Q21" s="83" t="str">
        <f t="shared" si="2"/>
        <v/>
      </c>
      <c r="R21" s="109"/>
      <c r="S21" s="36"/>
      <c r="T21" s="36"/>
      <c r="U21" s="39" t="str">
        <f t="shared" si="3"/>
        <v/>
      </c>
      <c r="V21" s="99" t="str">
        <f t="shared" si="4"/>
        <v/>
      </c>
      <c r="W21" s="38" t="str">
        <f t="shared" si="5"/>
        <v/>
      </c>
      <c r="X21" s="99" t="str">
        <f t="shared" si="6"/>
        <v/>
      </c>
      <c r="Y21" s="99" t="str">
        <f>IF(L24="","",(In_EBIT*(1-Adj_Effective_T))/(L24+K24-N24-O24))</f>
        <v/>
      </c>
    </row>
    <row r="22" spans="1:25" ht="29.1" customHeight="1" outlineLevel="1">
      <c r="A22" s="101" t="str">
        <f>CONCATENATE("Last 10k of ",$C$9-3)</f>
        <v>Last 10k of 2016</v>
      </c>
      <c r="B22" s="19"/>
      <c r="C22" s="99" t="str">
        <f>IF(OR(In_Sales="",B25=""),"",(In_Sales-B25)/B25)</f>
        <v/>
      </c>
      <c r="D22" s="37"/>
      <c r="E22" s="99" t="str">
        <f t="shared" si="1"/>
        <v/>
      </c>
      <c r="F22" s="99" t="str">
        <f>IF(OR(In_EBIT="",$D25=""),"",(In_EBIT-D25)/D25)</f>
        <v/>
      </c>
      <c r="G22" s="19"/>
      <c r="H22" s="18"/>
      <c r="I22" s="138"/>
      <c r="J22" s="138"/>
      <c r="K22" s="96"/>
      <c r="L22" s="37"/>
      <c r="M22" s="37"/>
      <c r="N22" s="37"/>
      <c r="O22" s="37"/>
      <c r="P22" s="14"/>
      <c r="Q22" s="83" t="str">
        <f t="shared" si="2"/>
        <v/>
      </c>
      <c r="R22" s="99" t="str">
        <f>IF(In_Sales="","",NonCash_WC/In_Sales)</f>
        <v/>
      </c>
      <c r="S22" s="37"/>
      <c r="T22" s="37"/>
      <c r="U22" s="39" t="str">
        <f t="shared" si="3"/>
        <v/>
      </c>
      <c r="V22" s="99" t="str">
        <f t="shared" si="4"/>
        <v/>
      </c>
      <c r="W22" s="38" t="str">
        <f t="shared" si="5"/>
        <v/>
      </c>
      <c r="X22" s="99" t="str">
        <f t="shared" si="6"/>
        <v/>
      </c>
      <c r="Y22" s="99" t="str">
        <f>IF(L25="","",(In_EBIT*(1-Adj_Effective_T))/(L25+K25-N25-O25))</f>
        <v/>
      </c>
    </row>
    <row r="23" spans="1:25" ht="29.1" customHeight="1">
      <c r="A23" s="102" t="str">
        <f>CONCATENATE("LTM of ",$C$9-3)</f>
        <v>LTM of 2016</v>
      </c>
      <c r="B23" s="20" t="str">
        <f>IF(B22="","",IF(M_beyond10K=12,B22,B22-B24+B21))</f>
        <v/>
      </c>
      <c r="C23" s="27" t="str">
        <f>IF(OR(In_Sales="",B26=""),"",In_Sales/B26-1)</f>
        <v/>
      </c>
      <c r="D23" s="20" t="str">
        <f>IF(D22="","",IF(M_beyond10K=12,D22,D22-D24+D21))</f>
        <v/>
      </c>
      <c r="E23" s="27" t="str">
        <f t="shared" si="1"/>
        <v/>
      </c>
      <c r="F23" s="41" t="str">
        <f>IF(D26="","",In_EBIT/D26-1)</f>
        <v/>
      </c>
      <c r="G23" s="20" t="str">
        <f>IF(In_Sales="","",IF(F$9=12,G22,G22-G24+G21))</f>
        <v/>
      </c>
      <c r="H23" s="27" t="str">
        <f>IF(B23="","",IF(F$9=12,H22,H22*((12-$F$9)/12)+H21*($F$9/12)))</f>
        <v/>
      </c>
      <c r="I23" s="20" t="str">
        <f t="shared" ref="I23:O23" si="9">IF(In_Sales="","",IF(M_beyond10K=12,I22,I21))</f>
        <v/>
      </c>
      <c r="J23" s="20" t="str">
        <f t="shared" si="9"/>
        <v/>
      </c>
      <c r="K23" s="20" t="str">
        <f t="shared" si="9"/>
        <v/>
      </c>
      <c r="L23" s="20" t="str">
        <f t="shared" si="9"/>
        <v/>
      </c>
      <c r="M23" s="20" t="str">
        <f t="shared" si="9"/>
        <v/>
      </c>
      <c r="N23" s="20" t="str">
        <f t="shared" si="9"/>
        <v/>
      </c>
      <c r="O23" s="20" t="str">
        <f t="shared" si="9"/>
        <v/>
      </c>
      <c r="P23" s="137" t="str">
        <f>IF(In_Sales="","",In_Debt+In_Equity)</f>
        <v/>
      </c>
      <c r="Q23" s="20" t="str">
        <f t="shared" si="2"/>
        <v/>
      </c>
      <c r="R23" s="27" t="str">
        <f>IF(In_Sales="","",NonCash_WC/In_Sales)</f>
        <v/>
      </c>
      <c r="S23" s="20" t="str">
        <f>IF(In_Sales="","",IF(M_beyond10K=12,S22,S22-S24+S21))</f>
        <v/>
      </c>
      <c r="T23" s="20" t="str">
        <f>IF(In_Sales="","",IF(M_beyond10K=12,T22,T22-T24+T21))</f>
        <v/>
      </c>
      <c r="U23" s="20" t="str">
        <f t="shared" si="3"/>
        <v/>
      </c>
      <c r="V23" s="27" t="str">
        <f t="shared" si="4"/>
        <v/>
      </c>
      <c r="W23" s="20" t="str">
        <f t="shared" si="5"/>
        <v/>
      </c>
      <c r="X23" s="27" t="str">
        <f t="shared" si="6"/>
        <v/>
      </c>
      <c r="Y23" s="27" t="str">
        <f>IF(P26="","",(In_EBIT*(1-Adj_Effective_T))/(P26-N26-O26))</f>
        <v/>
      </c>
    </row>
    <row r="24" spans="1:25" ht="29.1" customHeight="1" outlineLevel="1">
      <c r="A24" s="100" t="str">
        <f>CONCATENATE("First X months of ",$C$9-3)</f>
        <v>First X months of 2016</v>
      </c>
      <c r="B24" s="36"/>
      <c r="C24" s="99" t="str">
        <f>IF(OR(In_Sales="",B27=""),"",(In_Sales-B27)/B27)</f>
        <v/>
      </c>
      <c r="D24" s="36"/>
      <c r="E24" s="110" t="str">
        <f t="shared" si="1"/>
        <v/>
      </c>
      <c r="F24" s="108" t="str">
        <f>IF(OR(In_EBIT="",D27=""),"",In_EBIT/D27-1)</f>
        <v/>
      </c>
      <c r="G24" s="19"/>
      <c r="H24" s="18"/>
      <c r="I24" s="138"/>
      <c r="J24" s="138"/>
      <c r="K24" s="95"/>
      <c r="L24" s="36"/>
      <c r="M24" s="36"/>
      <c r="N24" s="36"/>
      <c r="O24" s="36"/>
      <c r="P24" s="14"/>
      <c r="Q24" s="83" t="str">
        <f t="shared" si="2"/>
        <v/>
      </c>
      <c r="R24" s="109"/>
      <c r="S24" s="36"/>
      <c r="T24" s="36"/>
      <c r="U24" s="39" t="str">
        <f t="shared" si="3"/>
        <v/>
      </c>
      <c r="V24" s="99" t="str">
        <f t="shared" si="4"/>
        <v/>
      </c>
      <c r="W24" s="38" t="str">
        <f t="shared" si="5"/>
        <v/>
      </c>
      <c r="X24" s="99" t="str">
        <f t="shared" si="6"/>
        <v/>
      </c>
      <c r="Y24" s="99" t="str">
        <f>IF(L27="","",(In_EBIT*(1-Adj_Effective_T))/(L27+K27-N27-O27))</f>
        <v/>
      </c>
    </row>
    <row r="25" spans="1:25" ht="29.1" customHeight="1" outlineLevel="1">
      <c r="A25" s="101" t="str">
        <f>CONCATENATE("Last 10k of ",$C$9-4)</f>
        <v>Last 10k of 2015</v>
      </c>
      <c r="B25" s="19"/>
      <c r="C25" s="99" t="str">
        <f>IF(OR(In_Sales="",B28=""),"",(In_Sales-B28)/B28)</f>
        <v/>
      </c>
      <c r="D25" s="37"/>
      <c r="E25" s="99" t="str">
        <f t="shared" si="1"/>
        <v/>
      </c>
      <c r="F25" s="99" t="str">
        <f>IF(OR(In_EBIT="",$D28=""),"",(In_EBIT-D28)/D28)</f>
        <v/>
      </c>
      <c r="G25" s="19"/>
      <c r="H25" s="18"/>
      <c r="I25" s="138"/>
      <c r="J25" s="138"/>
      <c r="K25" s="96"/>
      <c r="L25" s="37"/>
      <c r="M25" s="37"/>
      <c r="N25" s="37"/>
      <c r="O25" s="37"/>
      <c r="P25" s="14"/>
      <c r="Q25" s="83" t="str">
        <f t="shared" si="2"/>
        <v/>
      </c>
      <c r="R25" s="99" t="str">
        <f>IF(In_Sales="","",NonCash_WC/In_Sales)</f>
        <v/>
      </c>
      <c r="S25" s="37"/>
      <c r="T25" s="37"/>
      <c r="U25" s="39" t="str">
        <f t="shared" si="3"/>
        <v/>
      </c>
      <c r="V25" s="99" t="str">
        <f t="shared" si="4"/>
        <v/>
      </c>
      <c r="W25" s="38" t="str">
        <f t="shared" si="5"/>
        <v/>
      </c>
      <c r="X25" s="99" t="str">
        <f t="shared" si="6"/>
        <v/>
      </c>
      <c r="Y25" s="99" t="str">
        <f>IF(L28="","",(In_EBIT*(1-Adj_Effective_T))/(L28+K28-N28-O28))</f>
        <v/>
      </c>
    </row>
    <row r="26" spans="1:25" ht="29.1" customHeight="1">
      <c r="A26" s="102" t="str">
        <f>CONCATENATE("LTM of ",$C$9-4)</f>
        <v>LTM of 2015</v>
      </c>
      <c r="B26" s="20" t="str">
        <f>IF(B25="","",IF(M_beyond10K=12,B25,B25-B27+B24))</f>
        <v/>
      </c>
      <c r="C26" s="27" t="str">
        <f>IF(OR(In_Sales="",B29=""),"",In_Sales/B29-1)</f>
        <v/>
      </c>
      <c r="D26" s="20" t="str">
        <f>IF(D25="","",IF(M_beyond10K=12,D25,D25-D27+D24))</f>
        <v/>
      </c>
      <c r="E26" s="27" t="str">
        <f t="shared" si="1"/>
        <v/>
      </c>
      <c r="F26" s="41" t="str">
        <f>IF(D29="","",In_EBIT/D29-1)</f>
        <v/>
      </c>
      <c r="G26" s="20" t="str">
        <f>IF(In_Sales="","",IF(F$9=12,G25,G25-G27+G24))</f>
        <v/>
      </c>
      <c r="H26" s="27" t="str">
        <f>IF(B26="","",IF(F$9=12,H25,H25*((12-$F$9)/12)+H24*($F$9/12)))</f>
        <v/>
      </c>
      <c r="I26" s="20" t="str">
        <f t="shared" ref="I26:O26" si="10">IF(In_Sales="","",IF(M_beyond10K=12,I25,I24))</f>
        <v/>
      </c>
      <c r="J26" s="20" t="str">
        <f t="shared" si="10"/>
        <v/>
      </c>
      <c r="K26" s="20" t="str">
        <f t="shared" si="10"/>
        <v/>
      </c>
      <c r="L26" s="20" t="str">
        <f t="shared" si="10"/>
        <v/>
      </c>
      <c r="M26" s="20" t="str">
        <f t="shared" si="10"/>
        <v/>
      </c>
      <c r="N26" s="20" t="str">
        <f t="shared" si="10"/>
        <v/>
      </c>
      <c r="O26" s="20" t="str">
        <f t="shared" si="10"/>
        <v/>
      </c>
      <c r="P26" s="137" t="str">
        <f>IF(In_Sales="","",In_Debt+In_Equity)</f>
        <v/>
      </c>
      <c r="Q26" s="20" t="str">
        <f t="shared" si="2"/>
        <v/>
      </c>
      <c r="R26" s="27" t="str">
        <f>IF(In_Sales="","",NonCash_WC/In_Sales)</f>
        <v/>
      </c>
      <c r="S26" s="20" t="str">
        <f>IF(In_Sales="","",IF(M_beyond10K=12,S25,S25-S27+S24))</f>
        <v/>
      </c>
      <c r="T26" s="20" t="str">
        <f>IF(In_Sales="","",IF(M_beyond10K=12,T25,T25-T27+T24))</f>
        <v/>
      </c>
      <c r="U26" s="20" t="str">
        <f t="shared" si="3"/>
        <v/>
      </c>
      <c r="V26" s="27" t="str">
        <f t="shared" si="4"/>
        <v/>
      </c>
      <c r="W26" s="20" t="str">
        <f t="shared" si="5"/>
        <v/>
      </c>
      <c r="X26" s="27" t="str">
        <f t="shared" si="6"/>
        <v/>
      </c>
      <c r="Y26" s="27" t="str">
        <f>IF(P29="","",(In_EBIT*(1-Adj_Effective_T))/(P29-N29-O29))</f>
        <v/>
      </c>
    </row>
    <row r="27" spans="1:25" ht="29.1" customHeight="1" outlineLevel="1">
      <c r="A27" s="100" t="str">
        <f>CONCATENATE("First X months of ",$C$9-4)</f>
        <v>First X months of 2015</v>
      </c>
      <c r="B27" s="36"/>
      <c r="C27" s="99" t="str">
        <f>IF(OR(In_Sales="",B30=""),"",(In_Sales-B30)/B30)</f>
        <v/>
      </c>
      <c r="D27" s="36"/>
      <c r="E27" s="110" t="str">
        <f t="shared" si="1"/>
        <v/>
      </c>
      <c r="F27" s="108" t="str">
        <f>IF(OR(In_EBIT="",D30=""),"",In_EBIT/D30-1)</f>
        <v/>
      </c>
      <c r="G27" s="19"/>
      <c r="H27" s="18"/>
      <c r="I27" s="138"/>
      <c r="J27" s="138"/>
      <c r="K27" s="95"/>
      <c r="L27" s="36"/>
      <c r="M27" s="36"/>
      <c r="N27" s="36"/>
      <c r="O27" s="36"/>
      <c r="P27" s="14"/>
      <c r="Q27" s="83" t="str">
        <f t="shared" si="2"/>
        <v/>
      </c>
      <c r="R27" s="109"/>
      <c r="S27" s="36"/>
      <c r="T27" s="36"/>
      <c r="U27" s="39" t="str">
        <f t="shared" si="3"/>
        <v/>
      </c>
      <c r="V27" s="99" t="str">
        <f t="shared" si="4"/>
        <v/>
      </c>
      <c r="W27" s="38" t="str">
        <f t="shared" si="5"/>
        <v/>
      </c>
      <c r="X27" s="99" t="str">
        <f t="shared" si="6"/>
        <v/>
      </c>
      <c r="Y27" s="99" t="str">
        <f>IF(L30="","",(In_EBIT*(1-Adj_Effective_T))/(L30+K30-N30-O30))</f>
        <v/>
      </c>
    </row>
    <row r="28" spans="1:25" ht="29.1" customHeight="1" outlineLevel="1">
      <c r="A28" s="101" t="str">
        <f>CONCATENATE("Last 10k of ",$C$9-5)</f>
        <v>Last 10k of 2014</v>
      </c>
      <c r="B28" s="19"/>
      <c r="C28" s="99" t="str">
        <f>IF(OR(In_Sales="",B31=""),"",(In_Sales-B31)/B31)</f>
        <v/>
      </c>
      <c r="D28" s="37"/>
      <c r="E28" s="99" t="str">
        <f t="shared" si="1"/>
        <v/>
      </c>
      <c r="F28" s="99" t="str">
        <f>IF(OR(In_EBIT="",$D31=""),"",(In_EBIT-D31)/D31)</f>
        <v/>
      </c>
      <c r="G28" s="19"/>
      <c r="H28" s="18"/>
      <c r="I28" s="138"/>
      <c r="J28" s="138"/>
      <c r="K28" s="96"/>
      <c r="L28" s="37"/>
      <c r="M28" s="37"/>
      <c r="N28" s="37"/>
      <c r="O28" s="37"/>
      <c r="P28" s="14"/>
      <c r="Q28" s="83" t="str">
        <f t="shared" si="2"/>
        <v/>
      </c>
      <c r="R28" s="99" t="str">
        <f>IF(In_Sales="","",NonCash_WC/In_Sales)</f>
        <v/>
      </c>
      <c r="S28" s="37"/>
      <c r="T28" s="37"/>
      <c r="U28" s="39" t="str">
        <f t="shared" si="3"/>
        <v/>
      </c>
      <c r="V28" s="99" t="str">
        <f t="shared" si="4"/>
        <v/>
      </c>
      <c r="W28" s="38" t="str">
        <f t="shared" si="5"/>
        <v/>
      </c>
      <c r="X28" s="99" t="str">
        <f t="shared" si="6"/>
        <v/>
      </c>
      <c r="Y28" s="99" t="str">
        <f>IF(L31="","",(In_EBIT*(1-Adj_Effective_T))/(L31+K31-N31-O31))</f>
        <v/>
      </c>
    </row>
    <row r="29" spans="1:25" ht="29.1" customHeight="1">
      <c r="A29" s="102" t="str">
        <f>CONCATENATE("LTM of ",$C$9-5)</f>
        <v>LTM of 2014</v>
      </c>
      <c r="B29" s="20" t="str">
        <f>IF(B28="","",IF(M_beyond10K=12,B28,B28-B30+B27))</f>
        <v/>
      </c>
      <c r="C29" s="27" t="str">
        <f>IF(OR(In_Sales="",B32=""),"",In_Sales/B32-1)</f>
        <v/>
      </c>
      <c r="D29" s="20" t="str">
        <f>IF(D28="","",IF(M_beyond10K=12,D28,D28-D30+D27))</f>
        <v/>
      </c>
      <c r="E29" s="27" t="str">
        <f t="shared" si="1"/>
        <v/>
      </c>
      <c r="F29" s="41" t="str">
        <f>IF(D32="","",In_EBIT/D32-1)</f>
        <v/>
      </c>
      <c r="G29" s="20" t="str">
        <f>IF(In_Sales="","",IF(F$9=12,G28,G28-G30+G27))</f>
        <v/>
      </c>
      <c r="H29" s="27" t="str">
        <f>IF(B29="","",IF(F$9=12,H28,H28*((12-$F$9)/12)+H27*($F$9/12)))</f>
        <v/>
      </c>
      <c r="I29" s="20" t="str">
        <f t="shared" ref="I29:O29" si="11">IF(In_Sales="","",IF(M_beyond10K=12,I28,I27))</f>
        <v/>
      </c>
      <c r="J29" s="20" t="str">
        <f t="shared" si="11"/>
        <v/>
      </c>
      <c r="K29" s="20" t="str">
        <f t="shared" si="11"/>
        <v/>
      </c>
      <c r="L29" s="20" t="str">
        <f t="shared" si="11"/>
        <v/>
      </c>
      <c r="M29" s="20" t="str">
        <f t="shared" si="11"/>
        <v/>
      </c>
      <c r="N29" s="20" t="str">
        <f t="shared" si="11"/>
        <v/>
      </c>
      <c r="O29" s="20" t="str">
        <f t="shared" si="11"/>
        <v/>
      </c>
      <c r="P29" s="137" t="str">
        <f>IF(In_Sales="","",In_Debt+In_Equity)</f>
        <v/>
      </c>
      <c r="Q29" s="20" t="str">
        <f t="shared" si="2"/>
        <v/>
      </c>
      <c r="R29" s="27" t="str">
        <f>IF(In_Sales="","",NonCash_WC/In_Sales)</f>
        <v/>
      </c>
      <c r="S29" s="20" t="str">
        <f>IF(In_Sales="","",IF(M_beyond10K=12,S28,S28-S30+S27))</f>
        <v/>
      </c>
      <c r="T29" s="20" t="str">
        <f>IF(In_Sales="","",IF(M_beyond10K=12,T28,T28-T30+T27))</f>
        <v/>
      </c>
      <c r="U29" s="20" t="str">
        <f t="shared" si="3"/>
        <v/>
      </c>
      <c r="V29" s="27" t="str">
        <f t="shared" si="4"/>
        <v/>
      </c>
      <c r="W29" s="20" t="str">
        <f t="shared" si="5"/>
        <v/>
      </c>
      <c r="X29" s="27" t="str">
        <f t="shared" si="6"/>
        <v/>
      </c>
      <c r="Y29" s="27" t="str">
        <f>IF(P32="","",(In_EBIT*(1-Adj_Effective_T))/(P32-N32-O32))</f>
        <v/>
      </c>
    </row>
    <row r="30" spans="1:25" ht="29.1" customHeight="1" outlineLevel="1">
      <c r="A30" s="100" t="str">
        <f>CONCATENATE("First X months of ",$C$9-5)</f>
        <v>First X months of 2014</v>
      </c>
      <c r="B30" s="36"/>
      <c r="C30" s="99" t="str">
        <f>IF(OR(In_Sales="",B33=""),"",(In_Sales-B33)/B33)</f>
        <v/>
      </c>
      <c r="D30" s="36"/>
      <c r="E30" s="110" t="str">
        <f t="shared" si="1"/>
        <v/>
      </c>
      <c r="F30" s="108" t="str">
        <f>IF(OR(In_EBIT="",D33=""),"",In_EBIT/D33-1)</f>
        <v/>
      </c>
      <c r="G30" s="19"/>
      <c r="H30" s="18"/>
      <c r="I30" s="138"/>
      <c r="J30" s="138"/>
      <c r="K30" s="97"/>
      <c r="L30" s="36"/>
      <c r="M30" s="36"/>
      <c r="N30" s="36"/>
      <c r="O30" s="36"/>
      <c r="P30" s="14"/>
      <c r="Q30" s="83" t="str">
        <f t="shared" si="2"/>
        <v/>
      </c>
      <c r="R30" s="109"/>
      <c r="S30" s="36"/>
      <c r="T30" s="36"/>
      <c r="U30" s="39" t="str">
        <f t="shared" si="3"/>
        <v/>
      </c>
      <c r="V30" s="99" t="str">
        <f t="shared" si="4"/>
        <v/>
      </c>
      <c r="W30" s="38" t="str">
        <f t="shared" si="5"/>
        <v/>
      </c>
      <c r="X30" s="99" t="str">
        <f t="shared" si="6"/>
        <v/>
      </c>
      <c r="Y30" s="99" t="str">
        <f>IF(L33="","",(In_EBIT*(1-Adj_Effective_T))/(L33+K33-N33-O33))</f>
        <v/>
      </c>
    </row>
    <row r="31" spans="1:25" ht="29.1" customHeight="1" outlineLevel="1">
      <c r="A31" s="101" t="str">
        <f>CONCATENATE("Last 10k of ",$C$9-6)</f>
        <v>Last 10k of 2013</v>
      </c>
      <c r="B31" s="19"/>
      <c r="C31" s="99" t="str">
        <f>IF(OR(In_Sales="",B34=""),"",(In_Sales-B34)/B34)</f>
        <v/>
      </c>
      <c r="D31" s="37"/>
      <c r="E31" s="99" t="str">
        <f t="shared" si="1"/>
        <v/>
      </c>
      <c r="F31" s="99" t="str">
        <f>IF(OR(In_EBIT="",$D34=""),"",(In_EBIT-D34)/D34)</f>
        <v/>
      </c>
      <c r="G31" s="19"/>
      <c r="H31" s="18"/>
      <c r="I31" s="138"/>
      <c r="J31" s="138"/>
      <c r="K31" s="96"/>
      <c r="L31" s="37"/>
      <c r="M31" s="37"/>
      <c r="N31" s="37"/>
      <c r="O31" s="37"/>
      <c r="P31" s="14"/>
      <c r="Q31" s="83" t="str">
        <f t="shared" si="2"/>
        <v/>
      </c>
      <c r="R31" s="99" t="str">
        <f>IF(In_Sales="","",NonCash_WC/In_Sales)</f>
        <v/>
      </c>
      <c r="S31" s="37"/>
      <c r="T31" s="37"/>
      <c r="U31" s="39" t="str">
        <f t="shared" si="3"/>
        <v/>
      </c>
      <c r="V31" s="99" t="str">
        <f t="shared" si="4"/>
        <v/>
      </c>
      <c r="W31" s="38" t="str">
        <f t="shared" si="5"/>
        <v/>
      </c>
      <c r="X31" s="99" t="str">
        <f t="shared" si="6"/>
        <v/>
      </c>
      <c r="Y31" s="99" t="str">
        <f>IF(L34="","",(In_EBIT*(1-Adj_Effective_T))/(L34+K34-N34-O34))</f>
        <v/>
      </c>
    </row>
    <row r="32" spans="1:25" ht="29.1" customHeight="1">
      <c r="A32" s="102" t="str">
        <f>CONCATENATE("LTM of ",$C$9-6)</f>
        <v>LTM of 2013</v>
      </c>
      <c r="B32" s="20" t="str">
        <f>IF(B31="","",IF(M_beyond10K=12,B31,B31-B33+B30))</f>
        <v/>
      </c>
      <c r="C32" s="27" t="str">
        <f>IF(OR(In_Sales="",B35=""),"",In_Sales/B35-1)</f>
        <v/>
      </c>
      <c r="D32" s="20" t="str">
        <f>IF(D31="","",IF(M_beyond10K=12,D31,D31-D33+D30))</f>
        <v/>
      </c>
      <c r="E32" s="27" t="str">
        <f t="shared" si="1"/>
        <v/>
      </c>
      <c r="F32" s="41" t="str">
        <f>IF(D35="","",In_EBIT/D35-1)</f>
        <v/>
      </c>
      <c r="G32" s="20" t="str">
        <f>IF(In_Sales="","",IF(F$9=12,G31,G31-G33+G30))</f>
        <v/>
      </c>
      <c r="H32" s="27" t="str">
        <f>IF(B32="","",IF(F$9=12,H31,H31*((12-$F$9)/12)+H30*($F$9/12)))</f>
        <v/>
      </c>
      <c r="I32" s="20" t="str">
        <f t="shared" ref="I32:O32" si="12">IF(In_Sales="","",IF(M_beyond10K=12,I31,I30))</f>
        <v/>
      </c>
      <c r="J32" s="20" t="str">
        <f t="shared" si="12"/>
        <v/>
      </c>
      <c r="K32" s="20" t="str">
        <f t="shared" si="12"/>
        <v/>
      </c>
      <c r="L32" s="20" t="str">
        <f t="shared" si="12"/>
        <v/>
      </c>
      <c r="M32" s="20" t="str">
        <f t="shared" si="12"/>
        <v/>
      </c>
      <c r="N32" s="20" t="str">
        <f t="shared" si="12"/>
        <v/>
      </c>
      <c r="O32" s="20" t="str">
        <f t="shared" si="12"/>
        <v/>
      </c>
      <c r="P32" s="137" t="str">
        <f>IF(In_Sales="","",In_Debt+In_Equity)</f>
        <v/>
      </c>
      <c r="Q32" s="20" t="str">
        <f t="shared" si="2"/>
        <v/>
      </c>
      <c r="R32" s="27" t="str">
        <f>IF(In_Sales="","",NonCash_WC/In_Sales)</f>
        <v/>
      </c>
      <c r="S32" s="20" t="str">
        <f>IF(In_Sales="","",IF(M_beyond10K=12,S31,S31-S33+S30))</f>
        <v/>
      </c>
      <c r="T32" s="20" t="str">
        <f>IF(In_Sales="","",IF(M_beyond10K=12,T31,T31-T33+T30))</f>
        <v/>
      </c>
      <c r="U32" s="20" t="str">
        <f t="shared" si="3"/>
        <v/>
      </c>
      <c r="V32" s="27" t="str">
        <f t="shared" si="4"/>
        <v/>
      </c>
      <c r="W32" s="20" t="str">
        <f t="shared" si="5"/>
        <v/>
      </c>
      <c r="X32" s="27" t="str">
        <f t="shared" si="6"/>
        <v/>
      </c>
      <c r="Y32" s="27" t="str">
        <f>IF(P35="","",(In_EBIT*(1-Adj_Effective_T))/(P35-N35-O35))</f>
        <v/>
      </c>
    </row>
    <row r="33" spans="1:25" ht="29.1" customHeight="1" outlineLevel="1">
      <c r="A33" s="100" t="str">
        <f>CONCATENATE("First X months of ",$C$9-6)</f>
        <v>First X months of 2013</v>
      </c>
      <c r="B33" s="36"/>
      <c r="C33" s="99" t="str">
        <f>IF(OR(In_Sales="",B36=""),"",(In_Sales-B36)/B36)</f>
        <v/>
      </c>
      <c r="D33" s="36"/>
      <c r="E33" s="110" t="str">
        <f t="shared" si="1"/>
        <v/>
      </c>
      <c r="F33" s="108" t="str">
        <f>IF(OR(In_EBIT="",D36=""),"",In_EBIT/D36-1)</f>
        <v/>
      </c>
      <c r="G33" s="19"/>
      <c r="H33" s="18"/>
      <c r="I33" s="138"/>
      <c r="J33" s="138"/>
      <c r="K33" s="97"/>
      <c r="L33" s="36"/>
      <c r="M33" s="36"/>
      <c r="N33" s="36"/>
      <c r="O33" s="36"/>
      <c r="P33" s="14"/>
      <c r="Q33" s="83" t="str">
        <f t="shared" si="2"/>
        <v/>
      </c>
      <c r="R33" s="109"/>
      <c r="S33" s="36"/>
      <c r="T33" s="36"/>
      <c r="U33" s="39" t="str">
        <f t="shared" si="3"/>
        <v/>
      </c>
      <c r="V33" s="99" t="str">
        <f t="shared" si="4"/>
        <v/>
      </c>
      <c r="W33" s="38" t="str">
        <f t="shared" si="5"/>
        <v/>
      </c>
      <c r="X33" s="99" t="str">
        <f t="shared" si="6"/>
        <v/>
      </c>
      <c r="Y33" s="99" t="str">
        <f>IF(L36="","",(In_EBIT*(1-Adj_Effective_T))/(L36+K36-N36-O36))</f>
        <v/>
      </c>
    </row>
    <row r="34" spans="1:25" ht="29.1" customHeight="1" outlineLevel="1">
      <c r="A34" s="101" t="str">
        <f>CONCATENATE("Last 10k of ",$C$9-7)</f>
        <v>Last 10k of 2012</v>
      </c>
      <c r="B34" s="19"/>
      <c r="C34" s="99" t="str">
        <f>IF(OR(In_Sales="",B37=""),"",(In_Sales-B37)/B37)</f>
        <v/>
      </c>
      <c r="D34" s="37"/>
      <c r="E34" s="99" t="str">
        <f t="shared" si="1"/>
        <v/>
      </c>
      <c r="F34" s="99" t="str">
        <f>IF(OR(In_EBIT="",$D37=""),"",(In_EBIT-D37)/D37)</f>
        <v/>
      </c>
      <c r="G34" s="19"/>
      <c r="H34" s="18"/>
      <c r="I34" s="138"/>
      <c r="J34" s="138"/>
      <c r="K34" s="96"/>
      <c r="L34" s="37"/>
      <c r="M34" s="37"/>
      <c r="N34" s="37"/>
      <c r="O34" s="37"/>
      <c r="P34" s="14"/>
      <c r="Q34" s="83" t="str">
        <f t="shared" si="2"/>
        <v/>
      </c>
      <c r="R34" s="99" t="str">
        <f>IF(In_Sales="","",NonCash_WC/In_Sales)</f>
        <v/>
      </c>
      <c r="S34" s="37"/>
      <c r="T34" s="37"/>
      <c r="U34" s="39" t="str">
        <f t="shared" si="3"/>
        <v/>
      </c>
      <c r="V34" s="99" t="str">
        <f t="shared" si="4"/>
        <v/>
      </c>
      <c r="W34" s="38" t="str">
        <f t="shared" si="5"/>
        <v/>
      </c>
      <c r="X34" s="99" t="str">
        <f t="shared" si="6"/>
        <v/>
      </c>
      <c r="Y34" s="99" t="str">
        <f>IF(L37="","",(In_EBIT*(1-Adj_Effective_T))/(L37+K37-N37-O37))</f>
        <v/>
      </c>
    </row>
    <row r="35" spans="1:25" ht="29.1" customHeight="1">
      <c r="A35" s="102" t="str">
        <f>CONCATENATE("LTM of ",$C$9-7)</f>
        <v>LTM of 2012</v>
      </c>
      <c r="B35" s="20" t="str">
        <f>IF(B34="","",IF(M_beyond10K=12,B34,B34-B36+B33))</f>
        <v/>
      </c>
      <c r="C35" s="27" t="str">
        <f>IF(OR(In_Sales="",B38=""),"",In_Sales/B38-1)</f>
        <v/>
      </c>
      <c r="D35" s="20" t="str">
        <f>IF(D34="","",IF(M_beyond10K=12,D34,D34-D36+D33))</f>
        <v/>
      </c>
      <c r="E35" s="27" t="str">
        <f t="shared" si="1"/>
        <v/>
      </c>
      <c r="F35" s="41" t="str">
        <f>IF(D38="","",In_EBIT/D38-1)</f>
        <v/>
      </c>
      <c r="G35" s="20" t="str">
        <f>IF(In_Sales="","",IF(F$9=12,G34,G34-G36+G33))</f>
        <v/>
      </c>
      <c r="H35" s="27" t="str">
        <f>IF(B35="","",IF(F$9=12,H34,H34*((12-$F$9)/12)+H33*($F$9/12)))</f>
        <v/>
      </c>
      <c r="I35" s="20" t="str">
        <f t="shared" ref="I35:O35" si="13">IF(In_Sales="","",IF(M_beyond10K=12,I34,I33))</f>
        <v/>
      </c>
      <c r="J35" s="20" t="str">
        <f t="shared" si="13"/>
        <v/>
      </c>
      <c r="K35" s="20" t="str">
        <f t="shared" si="13"/>
        <v/>
      </c>
      <c r="L35" s="20" t="str">
        <f t="shared" si="13"/>
        <v/>
      </c>
      <c r="M35" s="20" t="str">
        <f t="shared" si="13"/>
        <v/>
      </c>
      <c r="N35" s="20" t="str">
        <f t="shared" si="13"/>
        <v/>
      </c>
      <c r="O35" s="20" t="str">
        <f t="shared" si="13"/>
        <v/>
      </c>
      <c r="P35" s="137" t="str">
        <f>IF(In_Sales="","",In_Debt+In_Equity)</f>
        <v/>
      </c>
      <c r="Q35" s="20" t="str">
        <f t="shared" si="2"/>
        <v/>
      </c>
      <c r="R35" s="27" t="str">
        <f>IF(In_Sales="","",NonCash_WC/In_Sales)</f>
        <v/>
      </c>
      <c r="S35" s="20" t="str">
        <f>IF(In_Sales="","",IF(M_beyond10K=12,S34,S34-S36+S33))</f>
        <v/>
      </c>
      <c r="T35" s="20" t="str">
        <f>IF(In_Sales="","",IF(M_beyond10K=12,T34,T34-T36+T33))</f>
        <v/>
      </c>
      <c r="U35" s="20" t="str">
        <f t="shared" si="3"/>
        <v/>
      </c>
      <c r="V35" s="27" t="str">
        <f t="shared" si="4"/>
        <v/>
      </c>
      <c r="W35" s="20" t="str">
        <f t="shared" si="5"/>
        <v/>
      </c>
      <c r="X35" s="27" t="str">
        <f t="shared" si="6"/>
        <v/>
      </c>
      <c r="Y35" s="27" t="str">
        <f>IF(P38="","",(In_EBIT*(1-Adj_Effective_T))/(P38-N38-O38))</f>
        <v/>
      </c>
    </row>
    <row r="36" spans="1:25" ht="29.1" customHeight="1" outlineLevel="1">
      <c r="A36" s="100" t="str">
        <f>CONCATENATE("First X months of ",$C$9-7)</f>
        <v>First X months of 2012</v>
      </c>
      <c r="B36" s="36"/>
      <c r="C36" s="99" t="str">
        <f>IF(OR(In_Sales="",B39=""),"",(In_Sales-B39)/B39)</f>
        <v/>
      </c>
      <c r="D36" s="36"/>
      <c r="E36" s="110" t="str">
        <f t="shared" si="1"/>
        <v/>
      </c>
      <c r="F36" s="108" t="str">
        <f>IF(OR(In_EBIT="",D39=""),"",In_EBIT/D39-1)</f>
        <v/>
      </c>
      <c r="G36" s="19"/>
      <c r="H36" s="18"/>
      <c r="I36" s="138"/>
      <c r="J36" s="138"/>
      <c r="K36" s="97"/>
      <c r="L36" s="36"/>
      <c r="M36" s="36"/>
      <c r="N36" s="36"/>
      <c r="O36" s="36"/>
      <c r="P36" s="14"/>
      <c r="Q36" s="83" t="str">
        <f t="shared" si="2"/>
        <v/>
      </c>
      <c r="R36" s="109"/>
      <c r="S36" s="36"/>
      <c r="T36" s="36"/>
      <c r="U36" s="39" t="str">
        <f t="shared" si="3"/>
        <v/>
      </c>
      <c r="V36" s="99" t="str">
        <f t="shared" si="4"/>
        <v/>
      </c>
      <c r="W36" s="38" t="str">
        <f t="shared" si="5"/>
        <v/>
      </c>
      <c r="X36" s="99" t="str">
        <f t="shared" si="6"/>
        <v/>
      </c>
      <c r="Y36" s="99" t="str">
        <f>IF(L39="","",(In_EBIT*(1-Adj_Effective_T))/(L39+K39-N39-O39))</f>
        <v/>
      </c>
    </row>
    <row r="37" spans="1:25" ht="29.1" customHeight="1" outlineLevel="1">
      <c r="A37" s="101" t="str">
        <f>CONCATENATE("Last 10k of ",$C$9-8)</f>
        <v>Last 10k of 2011</v>
      </c>
      <c r="B37" s="19"/>
      <c r="C37" s="99" t="str">
        <f>IF(OR(In_Sales="",B40=""),"",(In_Sales-B40)/B40)</f>
        <v/>
      </c>
      <c r="D37" s="37"/>
      <c r="E37" s="99" t="str">
        <f t="shared" si="1"/>
        <v/>
      </c>
      <c r="F37" s="99" t="str">
        <f>IF(OR(In_EBIT="",$D40=""),"",(In_EBIT-D40)/D40)</f>
        <v/>
      </c>
      <c r="G37" s="19"/>
      <c r="H37" s="18"/>
      <c r="I37" s="138"/>
      <c r="J37" s="138"/>
      <c r="K37" s="96"/>
      <c r="L37" s="37"/>
      <c r="M37" s="37"/>
      <c r="N37" s="37"/>
      <c r="O37" s="37"/>
      <c r="P37" s="14"/>
      <c r="Q37" s="83" t="str">
        <f t="shared" si="2"/>
        <v/>
      </c>
      <c r="R37" s="99" t="str">
        <f>IF(In_Sales="","",NonCash_WC/In_Sales)</f>
        <v/>
      </c>
      <c r="S37" s="37"/>
      <c r="T37" s="37"/>
      <c r="U37" s="39" t="str">
        <f t="shared" si="3"/>
        <v/>
      </c>
      <c r="V37" s="99" t="str">
        <f t="shared" si="4"/>
        <v/>
      </c>
      <c r="W37" s="38" t="str">
        <f t="shared" si="5"/>
        <v/>
      </c>
      <c r="X37" s="99" t="str">
        <f t="shared" si="6"/>
        <v/>
      </c>
      <c r="Y37" s="99" t="str">
        <f>IF(L40="","",(In_EBIT*(1-Adj_Effective_T))/(L40+K40-N40-O40))</f>
        <v/>
      </c>
    </row>
    <row r="38" spans="1:25" ht="29.1" customHeight="1">
      <c r="A38" s="102" t="str">
        <f>CONCATENATE("LTM of ",$C$9-8)</f>
        <v>LTM of 2011</v>
      </c>
      <c r="B38" s="20" t="str">
        <f>IF(B37="","",IF(M_beyond10K=12,B37,B37-B39+B36))</f>
        <v/>
      </c>
      <c r="C38" s="27" t="str">
        <f>IF(OR(In_Sales="",B41=""),"",In_Sales/B41-1)</f>
        <v/>
      </c>
      <c r="D38" s="20" t="str">
        <f>IF(D37="","",IF(M_beyond10K=12,D37,D37-D39+D36))</f>
        <v/>
      </c>
      <c r="E38" s="27" t="str">
        <f t="shared" si="1"/>
        <v/>
      </c>
      <c r="F38" s="41" t="str">
        <f>IF(D41="","",In_EBIT/D41-1)</f>
        <v/>
      </c>
      <c r="G38" s="20" t="str">
        <f>IF(In_Sales="","",IF(F$9=12,G37,G37-G39+G36))</f>
        <v/>
      </c>
      <c r="H38" s="27" t="str">
        <f>IF(B38="","",IF(F$9=12,H37,H37*((12-$F$9)/12)+H36*($F$9/12)))</f>
        <v/>
      </c>
      <c r="I38" s="20" t="str">
        <f t="shared" ref="I38:O38" si="14">IF(In_Sales="","",IF(M_beyond10K=12,I37,I36))</f>
        <v/>
      </c>
      <c r="J38" s="20" t="str">
        <f t="shared" si="14"/>
        <v/>
      </c>
      <c r="K38" s="20" t="str">
        <f t="shared" si="14"/>
        <v/>
      </c>
      <c r="L38" s="20" t="str">
        <f t="shared" si="14"/>
        <v/>
      </c>
      <c r="M38" s="20" t="str">
        <f t="shared" si="14"/>
        <v/>
      </c>
      <c r="N38" s="20" t="str">
        <f t="shared" si="14"/>
        <v/>
      </c>
      <c r="O38" s="20" t="str">
        <f t="shared" si="14"/>
        <v/>
      </c>
      <c r="P38" s="137" t="str">
        <f>IF(In_Sales="","",In_Debt+In_Equity)</f>
        <v/>
      </c>
      <c r="Q38" s="20" t="str">
        <f t="shared" si="2"/>
        <v/>
      </c>
      <c r="R38" s="27" t="str">
        <f>IF(In_Sales="","",NonCash_WC/In_Sales)</f>
        <v/>
      </c>
      <c r="S38" s="20" t="str">
        <f>IF(In_Sales="","",IF(M_beyond10K=12,S37,S37-S39+S36))</f>
        <v/>
      </c>
      <c r="T38" s="20" t="str">
        <f>IF(In_Sales="","",IF(M_beyond10K=12,T37,T37-T39+T36))</f>
        <v/>
      </c>
      <c r="U38" s="20" t="str">
        <f t="shared" si="3"/>
        <v/>
      </c>
      <c r="V38" s="27" t="str">
        <f t="shared" si="4"/>
        <v/>
      </c>
      <c r="W38" s="20" t="str">
        <f t="shared" si="5"/>
        <v/>
      </c>
      <c r="X38" s="27" t="str">
        <f t="shared" si="6"/>
        <v/>
      </c>
      <c r="Y38" s="27" t="str">
        <f>IF(P41="","",(In_EBIT*(1-Adj_Effective_T))/(P41-N41-O41))</f>
        <v/>
      </c>
    </row>
    <row r="39" spans="1:25" ht="29.1" customHeight="1" outlineLevel="1">
      <c r="A39" s="100" t="str">
        <f>CONCATENATE("First X months of ",$C$9-8)</f>
        <v>First X months of 2011</v>
      </c>
      <c r="B39" s="36"/>
      <c r="C39" s="99" t="str">
        <f>IF(OR(In_Sales="",B42=""),"",(In_Sales-B42)/B42)</f>
        <v/>
      </c>
      <c r="D39" s="36"/>
      <c r="E39" s="110" t="str">
        <f t="shared" si="1"/>
        <v/>
      </c>
      <c r="F39" s="108" t="str">
        <f>IF(OR(In_EBIT="",D42=""),"",In_EBIT/D42-1)</f>
        <v/>
      </c>
      <c r="G39" s="19"/>
      <c r="H39" s="18"/>
      <c r="I39" s="138"/>
      <c r="J39" s="138"/>
      <c r="K39" s="97"/>
      <c r="L39" s="36"/>
      <c r="M39" s="36"/>
      <c r="N39" s="36"/>
      <c r="O39" s="36"/>
      <c r="P39" s="14"/>
      <c r="Q39" s="83" t="str">
        <f t="shared" si="2"/>
        <v/>
      </c>
      <c r="R39" s="109"/>
      <c r="S39" s="36"/>
      <c r="T39" s="36"/>
      <c r="U39" s="39" t="str">
        <f t="shared" si="3"/>
        <v/>
      </c>
      <c r="V39" s="99" t="str">
        <f t="shared" si="4"/>
        <v/>
      </c>
      <c r="W39" s="38" t="str">
        <f t="shared" si="5"/>
        <v/>
      </c>
      <c r="X39" s="99" t="str">
        <f t="shared" si="6"/>
        <v/>
      </c>
      <c r="Y39" s="99" t="str">
        <f>IF(L42="","",(In_EBIT*(1-Adj_Effective_T))/(L42+K42-N42-O42))</f>
        <v/>
      </c>
    </row>
    <row r="40" spans="1:25" ht="29.1" customHeight="1" outlineLevel="1">
      <c r="A40" s="101" t="str">
        <f>CONCATENATE("Last 10k of ",$C$9-9)</f>
        <v>Last 10k of 2010</v>
      </c>
      <c r="B40" s="19"/>
      <c r="C40" s="99" t="str">
        <f>IF(OR(In_Sales="",B43=""),"",(In_Sales-B43)/B43)</f>
        <v/>
      </c>
      <c r="D40" s="37"/>
      <c r="E40" s="99" t="str">
        <f t="shared" si="1"/>
        <v/>
      </c>
      <c r="F40" s="99" t="str">
        <f>IF(OR(In_EBIT="",$D43=""),"",(In_EBIT-D43)/D43)</f>
        <v/>
      </c>
      <c r="G40" s="19"/>
      <c r="H40" s="18"/>
      <c r="I40" s="138"/>
      <c r="J40" s="138"/>
      <c r="K40" s="96"/>
      <c r="L40" s="37"/>
      <c r="M40" s="37"/>
      <c r="N40" s="37"/>
      <c r="O40" s="37"/>
      <c r="P40" s="14"/>
      <c r="Q40" s="83" t="str">
        <f t="shared" si="2"/>
        <v/>
      </c>
      <c r="R40" s="99" t="str">
        <f>IF(In_Sales="","",NonCash_WC/In_Sales)</f>
        <v/>
      </c>
      <c r="S40" s="37"/>
      <c r="T40" s="37"/>
      <c r="U40" s="39" t="str">
        <f t="shared" si="3"/>
        <v/>
      </c>
      <c r="V40" s="99" t="str">
        <f t="shared" si="4"/>
        <v/>
      </c>
      <c r="W40" s="38" t="str">
        <f t="shared" si="5"/>
        <v/>
      </c>
      <c r="X40" s="99" t="str">
        <f t="shared" si="6"/>
        <v/>
      </c>
      <c r="Y40" s="99" t="str">
        <f>IF(L43="","",(In_EBIT*(1-Adj_Effective_T))/(L43+K43-N43-O43))</f>
        <v/>
      </c>
    </row>
    <row r="41" spans="1:25" ht="29.1" customHeight="1">
      <c r="A41" s="102" t="str">
        <f>CONCATENATE("LTM of ",$C$9-9)</f>
        <v>LTM of 2010</v>
      </c>
      <c r="B41" s="20" t="str">
        <f>IF(B40="","",IF(M_beyond10K=12,B40,B40-B42+B39))</f>
        <v/>
      </c>
      <c r="C41" s="27" t="str">
        <f>IF(OR(In_Sales="",B44=""),"",In_Sales/B44-1)</f>
        <v/>
      </c>
      <c r="D41" s="20" t="str">
        <f>IF(D40="","",IF(M_beyond10K=12,D40,D40-D42+D39))</f>
        <v/>
      </c>
      <c r="E41" s="27" t="str">
        <f t="shared" si="1"/>
        <v/>
      </c>
      <c r="F41" s="41" t="str">
        <f>IF(D44="","",In_EBIT/D44-1)</f>
        <v/>
      </c>
      <c r="G41" s="20" t="str">
        <f>IF(In_Sales="","",IF(F$9=12,G40,G40-G42+G39))</f>
        <v/>
      </c>
      <c r="H41" s="27" t="str">
        <f>IF(B41="","",IF(F$9=12,H40,H40*((12-$F$9)/12)+H39*($F$9/12)))</f>
        <v/>
      </c>
      <c r="I41" s="20" t="str">
        <f t="shared" ref="I41:O41" si="15">IF(In_Sales="","",IF(M_beyond10K=12,I40,I39))</f>
        <v/>
      </c>
      <c r="J41" s="20" t="str">
        <f t="shared" si="15"/>
        <v/>
      </c>
      <c r="K41" s="20" t="str">
        <f t="shared" si="15"/>
        <v/>
      </c>
      <c r="L41" s="20" t="str">
        <f t="shared" si="15"/>
        <v/>
      </c>
      <c r="M41" s="20" t="str">
        <f t="shared" si="15"/>
        <v/>
      </c>
      <c r="N41" s="20" t="str">
        <f t="shared" si="15"/>
        <v/>
      </c>
      <c r="O41" s="20" t="str">
        <f t="shared" si="15"/>
        <v/>
      </c>
      <c r="P41" s="137" t="str">
        <f>IF(In_Sales="","",In_Debt+In_Equity)</f>
        <v/>
      </c>
      <c r="Q41" s="20" t="str">
        <f t="shared" si="2"/>
        <v/>
      </c>
      <c r="R41" s="27" t="str">
        <f>IF(In_Sales="","",NonCash_WC/In_Sales)</f>
        <v/>
      </c>
      <c r="S41" s="20" t="str">
        <f>IF(In_Sales="","",IF(M_beyond10K=12,S40,S40-S42+S39))</f>
        <v/>
      </c>
      <c r="T41" s="20" t="str">
        <f>IF(In_Sales="","",IF(M_beyond10K=12,T40,T40-T42+T39))</f>
        <v/>
      </c>
      <c r="U41" s="20" t="str">
        <f t="shared" si="3"/>
        <v/>
      </c>
      <c r="V41" s="27" t="str">
        <f t="shared" si="4"/>
        <v/>
      </c>
      <c r="W41" s="20" t="str">
        <f t="shared" si="5"/>
        <v/>
      </c>
      <c r="X41" s="27" t="str">
        <f t="shared" si="6"/>
        <v/>
      </c>
      <c r="Y41" s="27" t="str">
        <f>IF(P44="","",(In_EBIT*(1-Adj_Effective_T))/(P44-N44-O44))</f>
        <v/>
      </c>
    </row>
    <row r="42" spans="1:25" ht="29.1" customHeight="1">
      <c r="A42" s="103" t="str">
        <f>CONCATENATE("First X months of ",$C$9-9)</f>
        <v>First X months of 2010</v>
      </c>
      <c r="B42" s="19"/>
      <c r="C42" s="109"/>
      <c r="D42" s="19"/>
      <c r="E42" s="99" t="str">
        <f t="shared" si="1"/>
        <v/>
      </c>
      <c r="F42" s="81"/>
      <c r="G42" s="19"/>
      <c r="H42" s="18"/>
      <c r="I42" s="138"/>
      <c r="J42" s="138"/>
      <c r="K42" s="98"/>
      <c r="L42" s="19"/>
      <c r="M42" s="19"/>
      <c r="N42" s="19"/>
      <c r="O42" s="19"/>
      <c r="P42" s="82"/>
      <c r="Q42" s="83" t="str">
        <f t="shared" si="2"/>
        <v/>
      </c>
      <c r="R42" s="109"/>
      <c r="S42" s="19"/>
      <c r="T42" s="19"/>
      <c r="U42" s="83" t="str">
        <f t="shared" si="3"/>
        <v/>
      </c>
      <c r="V42" s="99" t="str">
        <f t="shared" si="4"/>
        <v/>
      </c>
      <c r="W42" s="38" t="str">
        <f t="shared" si="5"/>
        <v/>
      </c>
      <c r="X42" s="99" t="str">
        <f t="shared" si="6"/>
        <v/>
      </c>
      <c r="Y42" s="99" t="str">
        <f>IF(L45="","",(In_EBIT*(1-Adj_Effective_T))/(L45+K45-N45-O45))</f>
        <v/>
      </c>
    </row>
    <row r="43" spans="1:25" ht="29.1" customHeight="1">
      <c r="A43" s="31"/>
      <c r="H43" s="14"/>
      <c r="Y43"/>
    </row>
    <row r="44" spans="1:25" ht="29.1" customHeight="1">
      <c r="A44" s="31"/>
      <c r="C44" s="113"/>
      <c r="D44" s="17"/>
      <c r="E44" s="105"/>
      <c r="F44" s="105"/>
      <c r="H44" s="14"/>
      <c r="R44" s="104"/>
      <c r="Y44"/>
    </row>
    <row r="45" spans="1:25" ht="29.1" customHeight="1">
      <c r="Y45"/>
    </row>
    <row r="46" spans="1:25" ht="29.1" customHeight="1"/>
    <row r="47" spans="1:25" ht="29.1" customHeight="1"/>
    <row r="48" spans="1:25" ht="29.1" customHeight="1"/>
    <row r="49" spans="1:25" ht="29.1" customHeight="1"/>
    <row r="50" spans="1:25" ht="29.1" customHeight="1"/>
    <row r="51" spans="1:25" ht="29.1" customHeight="1"/>
    <row r="52" spans="1:25" ht="29.1" customHeight="1"/>
    <row r="53" spans="1:25" ht="29.1" customHeight="1">
      <c r="Y53"/>
    </row>
    <row r="54" spans="1:25" ht="29.1" customHeight="1">
      <c r="Y54"/>
    </row>
    <row r="55" spans="1:25" ht="29.1" customHeight="1">
      <c r="Y55"/>
    </row>
    <row r="56" spans="1:25" ht="29.1" customHeight="1">
      <c r="Y56"/>
    </row>
    <row r="57" spans="1:25" ht="29.1" customHeight="1">
      <c r="A57" s="86"/>
      <c r="B57" s="87"/>
      <c r="C57" s="87"/>
      <c r="D57" s="87"/>
      <c r="E57" s="87"/>
      <c r="F57" s="87"/>
      <c r="G57" s="87"/>
      <c r="H57" s="14"/>
      <c r="Y57"/>
    </row>
    <row r="58" spans="1:25" ht="29.1" customHeight="1">
      <c r="A58" s="86"/>
      <c r="B58" s="87"/>
      <c r="C58" s="87"/>
      <c r="D58" s="87"/>
      <c r="E58" s="87"/>
      <c r="F58" s="87"/>
      <c r="G58" s="85"/>
      <c r="H58" s="14"/>
      <c r="Y58"/>
    </row>
    <row r="59" spans="1:25" ht="29.1" customHeight="1">
      <c r="A59" s="86"/>
      <c r="B59" s="88"/>
      <c r="C59" s="88"/>
      <c r="D59" s="88"/>
      <c r="E59" s="88"/>
      <c r="F59" s="88"/>
      <c r="G59" s="88"/>
      <c r="H59" s="14"/>
      <c r="Y59"/>
    </row>
    <row r="60" spans="1:25" ht="29.1" customHeight="1">
      <c r="Y60"/>
    </row>
    <row r="61" spans="1:25" ht="29.1" customHeight="1">
      <c r="Y61"/>
    </row>
    <row r="62" spans="1:25" ht="29.1" customHeight="1">
      <c r="Y62"/>
    </row>
    <row r="63" spans="1:25" ht="29.1" customHeight="1">
      <c r="Y63"/>
    </row>
    <row r="64" spans="1:25" ht="29.1" customHeight="1">
      <c r="Y64"/>
    </row>
    <row r="65" spans="1:25" ht="29.1" customHeight="1">
      <c r="Y65"/>
    </row>
    <row r="66" spans="1:25" ht="29.1" customHeight="1">
      <c r="A66" s="31"/>
      <c r="Y66"/>
    </row>
    <row r="67" spans="1:25" ht="29.1" customHeight="1">
      <c r="A67" s="31"/>
      <c r="Y67"/>
    </row>
    <row r="68" spans="1:25" ht="29.1" customHeight="1">
      <c r="A68" s="31"/>
      <c r="Y68"/>
    </row>
    <row r="69" spans="1:25" ht="29.1" customHeight="1">
      <c r="A69" s="31"/>
      <c r="Y69"/>
    </row>
    <row r="70" spans="1:25" ht="29.1" customHeight="1">
      <c r="A70" s="31"/>
      <c r="Y70"/>
    </row>
    <row r="71" spans="1:25" ht="29.1" customHeight="1">
      <c r="A71" s="31"/>
      <c r="Y71"/>
    </row>
    <row r="72" spans="1:25" ht="29.1" customHeight="1">
      <c r="A72" s="31"/>
      <c r="Y72"/>
    </row>
    <row r="73" spans="1:25" ht="29.1" customHeight="1">
      <c r="A73" s="31"/>
      <c r="Y73"/>
    </row>
    <row r="74" spans="1:25" ht="29.1" customHeight="1">
      <c r="A74" s="31"/>
      <c r="Y74"/>
    </row>
    <row r="75" spans="1:25" ht="29.1" customHeight="1">
      <c r="A75" s="31"/>
      <c r="Y75"/>
    </row>
    <row r="76" spans="1:25" ht="29.1" customHeight="1">
      <c r="A76" s="31"/>
      <c r="Y76"/>
    </row>
    <row r="77" spans="1:25" ht="29.1" customHeight="1">
      <c r="A77" s="31"/>
      <c r="Y77"/>
    </row>
    <row r="78" spans="1:25" ht="29.1" customHeight="1">
      <c r="A78" s="31"/>
      <c r="Y78"/>
    </row>
    <row r="79" spans="1:25" ht="29.1" customHeight="1">
      <c r="A79" s="31"/>
      <c r="Y79"/>
    </row>
    <row r="80" spans="1:25" ht="29.1" customHeight="1">
      <c r="A80" s="31"/>
      <c r="Y80"/>
    </row>
    <row r="81" spans="1:25" ht="29.1" customHeight="1">
      <c r="A81" s="31"/>
      <c r="Y81"/>
    </row>
    <row r="82" spans="1:25" ht="29.1" customHeight="1">
      <c r="A82" s="31"/>
      <c r="Y82"/>
    </row>
    <row r="83" spans="1:25" ht="29.1" customHeight="1">
      <c r="A83" s="31"/>
      <c r="Y83"/>
    </row>
    <row r="84" spans="1:25" ht="29.1" customHeight="1">
      <c r="A84" s="31"/>
      <c r="Y84"/>
    </row>
    <row r="85" spans="1:25" ht="29.1" customHeight="1">
      <c r="A85" s="31"/>
      <c r="Y85"/>
    </row>
    <row r="86" spans="1:25" ht="29.1" customHeight="1">
      <c r="A86" s="31"/>
      <c r="Y86"/>
    </row>
    <row r="87" spans="1:25" ht="29.1" customHeight="1">
      <c r="A87" s="31"/>
      <c r="Y87"/>
    </row>
    <row r="88" spans="1:25" ht="29.1" customHeight="1">
      <c r="A88" s="31"/>
      <c r="Y88"/>
    </row>
    <row r="89" spans="1:25" ht="29.1" customHeight="1">
      <c r="A89" s="31"/>
      <c r="Y89"/>
    </row>
    <row r="90" spans="1:25" ht="29.1" customHeight="1">
      <c r="A90" s="31"/>
      <c r="Y90"/>
    </row>
    <row r="91" spans="1:25" ht="29.1" customHeight="1">
      <c r="A91" s="31"/>
      <c r="Y91"/>
    </row>
    <row r="92" spans="1:25" ht="29.1" customHeight="1">
      <c r="A92" s="31"/>
      <c r="Y92"/>
    </row>
    <row r="93" spans="1:25" ht="29.1" customHeight="1">
      <c r="A93" s="31"/>
      <c r="Y93"/>
    </row>
    <row r="94" spans="1:25" ht="29.1" customHeight="1">
      <c r="A94" s="31"/>
      <c r="Y94"/>
    </row>
    <row r="95" spans="1:25" ht="29.1" customHeight="1">
      <c r="A95" s="31"/>
      <c r="Y95"/>
    </row>
    <row r="96" spans="1:25" ht="29.1" customHeight="1">
      <c r="A96" s="31"/>
      <c r="Y96"/>
    </row>
    <row r="97" spans="1:25" ht="29.1" customHeight="1">
      <c r="A97" s="31"/>
      <c r="Y97"/>
    </row>
    <row r="98" spans="1:25" ht="29.1" customHeight="1">
      <c r="A98" s="31"/>
    </row>
    <row r="99" spans="1:25" ht="29.1" customHeight="1">
      <c r="A99" s="31"/>
    </row>
    <row r="100" spans="1:25" ht="29.1" customHeight="1">
      <c r="A100" s="31"/>
    </row>
    <row r="101" spans="1:25" ht="29.1" customHeight="1">
      <c r="A101" s="31"/>
    </row>
    <row r="102" spans="1:25" ht="29.1" customHeight="1">
      <c r="A102" s="31"/>
    </row>
    <row r="103" spans="1:25" ht="29.1" customHeight="1">
      <c r="A103" s="31"/>
    </row>
    <row r="104" spans="1:25" ht="29.1" customHeight="1">
      <c r="A104" s="31"/>
    </row>
    <row r="105" spans="1:25" ht="29.1" customHeight="1">
      <c r="A105" s="31"/>
    </row>
    <row r="106" spans="1:25" ht="29.1" customHeight="1">
      <c r="A106" s="31"/>
    </row>
    <row r="107" spans="1:25"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B4</xm:sqref>
        </x14:dataValidation>
        <x14:dataValidation type="list" allowBlank="1" showInputMessage="1" showErrorMessage="1" xr:uid="{C3096F13-9AED-442F-B64E-6EAC63C9EE7E}">
          <x14:formula1>
            <xm:f>Readme!$A$66:$A$68</xm:f>
          </x14:formula1>
          <xm:sqref>C5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5"/>
  <sheetViews>
    <sheetView topLeftCell="A22" zoomScaleNormal="100" workbookViewId="0">
      <selection activeCell="C68" sqref="C68"/>
    </sheetView>
  </sheetViews>
  <sheetFormatPr defaultColWidth="11" defaultRowHeight="15.75"/>
  <cols>
    <col min="1" max="1" width="23.875" style="117" customWidth="1"/>
    <col min="2" max="11" width="16.875" style="117" customWidth="1"/>
    <col min="12" max="16384" width="11" style="117"/>
  </cols>
  <sheetData>
    <row r="1" spans="1:11">
      <c r="A1" s="163" t="s">
        <v>381</v>
      </c>
      <c r="B1" s="147"/>
    </row>
    <row r="3" spans="1:11">
      <c r="A3" s="21" t="s">
        <v>570</v>
      </c>
    </row>
    <row r="4" spans="1:11">
      <c r="A4" s="128"/>
      <c r="B4" s="133" t="str">
        <f>'Master Inputs'!A14</f>
        <v>LTM of 2019</v>
      </c>
      <c r="C4" s="133" t="str">
        <f>IF('Master Inputs'!B17="","",'Master Inputs'!A17)</f>
        <v>LTM of 2018</v>
      </c>
      <c r="D4" s="133" t="str">
        <f>IF('Master Inputs'!B20="","",'Master Inputs'!A20)</f>
        <v>LTM of 2017</v>
      </c>
      <c r="E4" s="133" t="str">
        <f>IF('Master Inputs'!B23="","",'Master Inputs'!A23)</f>
        <v/>
      </c>
      <c r="F4" s="133" t="str">
        <f>IF('Master Inputs'!B26="","",'Master Inputs'!A26)</f>
        <v/>
      </c>
      <c r="G4" s="133" t="str">
        <f>IF('Master Inputs'!B29="","",'Master Inputs'!A29)</f>
        <v/>
      </c>
      <c r="H4" s="133" t="str">
        <f>IF('Master Inputs'!B32="","",'Master Inputs'!A32)</f>
        <v/>
      </c>
      <c r="I4" s="133" t="str">
        <f>IF('Master Inputs'!B35="","",'Master Inputs'!A35)</f>
        <v/>
      </c>
      <c r="J4" s="133" t="str">
        <f>IF('Master Inputs'!B38="","",'Master Inputs'!A38)</f>
        <v/>
      </c>
      <c r="K4" s="133" t="str">
        <f>IF('Master Inputs'!B41="","",'Master Inputs'!A41)</f>
        <v/>
      </c>
    </row>
    <row r="5" spans="1:11">
      <c r="A5" s="128" t="s">
        <v>361</v>
      </c>
      <c r="B5" s="127">
        <f>IF(B$4="","",'Master Inputs'!$D$14)</f>
        <v>5462831</v>
      </c>
      <c r="C5" s="127">
        <f>IF(C$4="","",'Master Inputs'!$D$17)</f>
        <v>4332223</v>
      </c>
      <c r="D5" s="127">
        <f>IF(D$4="","",'Master Inputs'!$D$20)</f>
        <v>3748435</v>
      </c>
      <c r="E5" s="127" t="str">
        <f>IF(E$4="","",'Master Inputs'!$D$23)</f>
        <v/>
      </c>
      <c r="F5" s="127" t="str">
        <f>IF(F$4="","",'Master Inputs'!$D$26)</f>
        <v/>
      </c>
      <c r="G5" s="127" t="str">
        <f>IF(G$4="","",'Master Inputs'!$D$29)</f>
        <v/>
      </c>
      <c r="H5" s="127" t="str">
        <f>IF(H$4="","",'Master Inputs'!$D$32)</f>
        <v/>
      </c>
      <c r="I5" s="127" t="str">
        <f>IF(I$4="","",'Master Inputs'!$D$35)</f>
        <v/>
      </c>
      <c r="J5" s="127" t="str">
        <f>IF(J$4="","",'Master Inputs'!$D$38)</f>
        <v/>
      </c>
      <c r="K5" s="127" t="str">
        <f>IF(K$4="","",'Master Inputs'!$D$41)</f>
        <v/>
      </c>
    </row>
    <row r="6" spans="1:11">
      <c r="A6" s="128" t="s">
        <v>382</v>
      </c>
      <c r="B6" s="29">
        <f>IF(B$4="","",'Master Inputs'!$Y14)</f>
        <v>0.15485809577598586</v>
      </c>
      <c r="C6" s="29">
        <f>IF(C$4="","",'Master Inputs'!$Y17)</f>
        <v>0.22383038533891142</v>
      </c>
      <c r="D6" s="29" t="str">
        <f>IF(D$4="","",'Master Inputs'!$Y20)</f>
        <v/>
      </c>
      <c r="E6" s="29" t="str">
        <f>IF(E$4="","",'Master Inputs'!$Y23)</f>
        <v/>
      </c>
      <c r="F6" s="29" t="str">
        <f>IF(F$4="","",'Master Inputs'!$Y26)</f>
        <v/>
      </c>
      <c r="G6" s="29" t="str">
        <f>IF(G$4="","",'Master Inputs'!$Y29)</f>
        <v/>
      </c>
      <c r="H6" s="29" t="str">
        <f>IF(H$4="","",'Master Inputs'!$Y32)</f>
        <v/>
      </c>
      <c r="I6" s="29" t="str">
        <f>IF(I$4="","",'Master Inputs'!$Y35)</f>
        <v/>
      </c>
      <c r="J6" s="29" t="str">
        <f>IF(J$4="","",'Master Inputs'!$Y38)</f>
        <v/>
      </c>
      <c r="K6" s="29" t="str">
        <f>IF(K$4="","",'Master Inputs'!$Y41)</f>
        <v/>
      </c>
    </row>
    <row r="7" spans="1:11" ht="16.5" thickBot="1"/>
    <row r="8" spans="1:11">
      <c r="A8" s="16" t="s">
        <v>378</v>
      </c>
      <c r="C8" s="159" t="s">
        <v>15</v>
      </c>
      <c r="D8" s="165" t="str">
        <f>IF(C8="Yes",CONCATENATE("Go to R&amp;D expense Worksheet at ",ADDRESS(ROW(A66),1)),"")</f>
        <v/>
      </c>
      <c r="E8" s="290" t="s">
        <v>412</v>
      </c>
      <c r="F8" s="291"/>
      <c r="G8" s="292"/>
    </row>
    <row r="9" spans="1:11">
      <c r="A9" s="154" t="s">
        <v>587</v>
      </c>
      <c r="C9" s="155">
        <v>1</v>
      </c>
      <c r="D9" s="161"/>
      <c r="E9" s="293" t="s">
        <v>415</v>
      </c>
      <c r="F9" s="122"/>
      <c r="G9" s="294" t="s">
        <v>307</v>
      </c>
    </row>
    <row r="10" spans="1:11">
      <c r="A10" s="15"/>
      <c r="C10" s="260"/>
      <c r="D10" s="162"/>
      <c r="E10" s="295" t="s">
        <v>401</v>
      </c>
      <c r="F10" s="122"/>
      <c r="G10" s="296" t="s">
        <v>261</v>
      </c>
    </row>
    <row r="11" spans="1:11">
      <c r="A11" s="156" t="s">
        <v>390</v>
      </c>
      <c r="C11" s="157">
        <f>B5</f>
        <v>5462831</v>
      </c>
      <c r="D11" s="248"/>
      <c r="E11" s="295"/>
      <c r="F11" s="122"/>
      <c r="G11" s="297"/>
    </row>
    <row r="12" spans="1:11">
      <c r="A12" s="117" t="s">
        <v>388</v>
      </c>
      <c r="C12" s="127">
        <f>AVERAGE(B6:K6)*Cur_Op_Assets</f>
        <v>7423537.653479727</v>
      </c>
      <c r="D12" s="162"/>
      <c r="E12" s="295" t="s">
        <v>305</v>
      </c>
      <c r="F12" s="122"/>
      <c r="G12" s="298">
        <v>0.13100000000000001</v>
      </c>
    </row>
    <row r="13" spans="1:11">
      <c r="A13" s="156" t="s">
        <v>389</v>
      </c>
      <c r="C13" s="157">
        <f>G13*'Master Inputs'!B14</f>
        <v>1545485.2254000001</v>
      </c>
      <c r="D13" s="161"/>
      <c r="E13" s="295" t="s">
        <v>386</v>
      </c>
      <c r="F13" s="122"/>
      <c r="G13" s="298">
        <v>6.9900000000000004E-2</v>
      </c>
    </row>
    <row r="14" spans="1:11">
      <c r="E14" s="295" t="s">
        <v>400</v>
      </c>
      <c r="F14" s="122"/>
      <c r="G14" s="298">
        <v>0.57720000000000005</v>
      </c>
    </row>
    <row r="15" spans="1:11">
      <c r="A15" s="15" t="s">
        <v>569</v>
      </c>
      <c r="D15" s="165"/>
      <c r="E15" s="295" t="s">
        <v>399</v>
      </c>
      <c r="F15" s="122"/>
      <c r="G15" s="298">
        <v>6.5100000000000005E-2</v>
      </c>
    </row>
    <row r="16" spans="1:11">
      <c r="A16" s="117" t="s">
        <v>550</v>
      </c>
      <c r="C16" s="158">
        <f ca="1">INDIRECT(ADDRESS(ROW(C9)+1+C9,COLUMN(C9)))+F91</f>
        <v>5462831</v>
      </c>
      <c r="D16" s="165"/>
      <c r="E16" s="295" t="s">
        <v>347</v>
      </c>
      <c r="F16" s="122"/>
      <c r="G16" s="299">
        <v>1.07</v>
      </c>
    </row>
    <row r="17" spans="1:7">
      <c r="A17" s="117" t="s">
        <v>578</v>
      </c>
      <c r="C17" s="269">
        <f>F90</f>
        <v>0</v>
      </c>
      <c r="D17" s="165"/>
      <c r="E17" s="295" t="s">
        <v>413</v>
      </c>
      <c r="F17" s="122"/>
      <c r="G17" s="298">
        <v>0.20749999999999999</v>
      </c>
    </row>
    <row r="18" spans="1:7" ht="16.5" thickBot="1">
      <c r="D18" s="165"/>
      <c r="E18" s="300" t="s">
        <v>414</v>
      </c>
      <c r="F18" s="301"/>
      <c r="G18" s="302">
        <v>3.3300000000000003E-2</v>
      </c>
    </row>
    <row r="19" spans="1:7">
      <c r="A19" s="21" t="s">
        <v>572</v>
      </c>
    </row>
    <row r="20" spans="1:7">
      <c r="A20" s="117" t="s">
        <v>557</v>
      </c>
      <c r="C20" s="159" t="s">
        <v>147</v>
      </c>
    </row>
    <row r="21" spans="1:7">
      <c r="E21" s="118"/>
    </row>
    <row r="22" spans="1:7">
      <c r="A22" s="117" t="s">
        <v>579</v>
      </c>
      <c r="C22" s="269">
        <f>IF(C20="Average",('Master Inputs'!K14+'Master Inputs'!K17)/2,'Master Inputs'!K17)</f>
        <v>0</v>
      </c>
      <c r="D22" s="112"/>
      <c r="E22" s="112"/>
      <c r="F22" s="112"/>
      <c r="G22" s="112"/>
    </row>
    <row r="23" spans="1:7">
      <c r="A23" s="117" t="s">
        <v>580</v>
      </c>
      <c r="C23" s="269">
        <f>IF(C20="Average",('Master Inputs'!L14+'Master Inputs'!L17)/2,'Master Inputs'!L17)+F92</f>
        <v>34269549</v>
      </c>
      <c r="D23" s="112"/>
      <c r="E23" s="112"/>
      <c r="F23" s="112"/>
      <c r="G23" s="112"/>
    </row>
    <row r="24" spans="1:7">
      <c r="A24" s="117" t="s">
        <v>581</v>
      </c>
      <c r="C24" s="269">
        <f>C22+C23</f>
        <v>34269549</v>
      </c>
      <c r="D24" s="112"/>
      <c r="E24" s="112"/>
      <c r="F24" s="112"/>
      <c r="G24" s="112"/>
    </row>
    <row r="25" spans="1:7">
      <c r="A25" s="117" t="s">
        <v>379</v>
      </c>
      <c r="C25" s="269">
        <f>IF(C20="Average",('Master Inputs'!N14+'Master Inputs'!N17)/2,'Master Inputs'!N17)</f>
        <v>4622554</v>
      </c>
      <c r="D25" s="112"/>
      <c r="E25" s="112"/>
      <c r="F25" s="112"/>
      <c r="G25" s="119"/>
    </row>
    <row r="26" spans="1:7">
      <c r="A26" s="117" t="s">
        <v>380</v>
      </c>
      <c r="C26" s="269">
        <f>IF(C20="Average",('Master Inputs'!O14+'Master Inputs'!O17)/2,'Master Inputs'!O17)</f>
        <v>0</v>
      </c>
      <c r="D26" s="112"/>
      <c r="E26" s="112"/>
      <c r="F26" s="112"/>
      <c r="G26" s="119"/>
    </row>
    <row r="27" spans="1:7">
      <c r="D27" s="112"/>
      <c r="E27" s="112"/>
      <c r="F27" s="112"/>
      <c r="G27" s="112"/>
    </row>
    <row r="28" spans="1:7">
      <c r="A28" s="21" t="s">
        <v>571</v>
      </c>
      <c r="D28" s="112"/>
      <c r="E28" s="112"/>
      <c r="F28" s="112"/>
      <c r="G28" s="112"/>
    </row>
    <row r="29" spans="1:7">
      <c r="A29" s="117" t="s">
        <v>387</v>
      </c>
      <c r="C29" s="155">
        <v>1</v>
      </c>
    </row>
    <row r="31" spans="1:7">
      <c r="A31" s="156" t="s">
        <v>528</v>
      </c>
      <c r="C31" s="221">
        <f>Cur_Effective_T</f>
        <v>0.15957912826148662</v>
      </c>
    </row>
    <row r="32" spans="1:7">
      <c r="A32" s="117" t="s">
        <v>529</v>
      </c>
      <c r="C32" s="141">
        <v>0.25</v>
      </c>
    </row>
    <row r="33" spans="1:11">
      <c r="A33" s="156" t="s">
        <v>365</v>
      </c>
      <c r="C33" s="224">
        <v>0.15</v>
      </c>
    </row>
    <row r="34" spans="1:11">
      <c r="A34" s="156"/>
    </row>
    <row r="35" spans="1:11">
      <c r="A35" s="13" t="s">
        <v>553</v>
      </c>
      <c r="C35" s="164">
        <f>IF(C29=1,C31,IF(C29=2,Marginal_TaxRate,C33))</f>
        <v>0.15957912826148662</v>
      </c>
    </row>
    <row r="37" spans="1:11">
      <c r="A37" s="21" t="s">
        <v>573</v>
      </c>
    </row>
    <row r="38" spans="1:11">
      <c r="A38" s="128"/>
      <c r="B38" s="129" t="str">
        <f>'Master Inputs'!A14</f>
        <v>LTM of 2019</v>
      </c>
      <c r="C38" s="129" t="str">
        <f>IF('Master Inputs'!B17="","",'Master Inputs'!A17)</f>
        <v>LTM of 2018</v>
      </c>
      <c r="D38" s="129" t="str">
        <f>IF('Master Inputs'!B20="","",'Master Inputs'!A20)</f>
        <v>LTM of 2017</v>
      </c>
      <c r="E38" s="129" t="str">
        <f>IF('Master Inputs'!B23="","",'Master Inputs'!A23)</f>
        <v/>
      </c>
      <c r="F38" s="129" t="str">
        <f>IF('Master Inputs'!B26="","",'Master Inputs'!A26)</f>
        <v/>
      </c>
      <c r="G38" s="129" t="str">
        <f>IF('Master Inputs'!B29="","",'Master Inputs'!A29)</f>
        <v/>
      </c>
      <c r="H38" s="129" t="str">
        <f>IF('Master Inputs'!B32="","",'Master Inputs'!A32)</f>
        <v/>
      </c>
      <c r="I38" s="129" t="str">
        <f>IF('Master Inputs'!B35="","",'Master Inputs'!A35)</f>
        <v/>
      </c>
      <c r="J38" s="129" t="str">
        <f>IF('Master Inputs'!B38="","",'Master Inputs'!A38)</f>
        <v/>
      </c>
      <c r="K38" s="129" t="str">
        <f>IF('Master Inputs'!B41="","",'Master Inputs'!A41)</f>
        <v/>
      </c>
    </row>
    <row r="39" spans="1:11">
      <c r="A39" s="128" t="s">
        <v>321</v>
      </c>
      <c r="B39" s="29">
        <f>IF(B38="","",'Master Inputs'!$Y$14)</f>
        <v>0.15485809577598586</v>
      </c>
      <c r="C39" s="29">
        <f>IF(C38="","",'Master Inputs'!$Y$17)</f>
        <v>0.22383038533891142</v>
      </c>
      <c r="D39" s="29" t="str">
        <f>IF(D38="","",'Master Inputs'!$Y$20)</f>
        <v/>
      </c>
      <c r="E39" s="29" t="str">
        <f>IF(E38="","",'Master Inputs'!$Y$23)</f>
        <v/>
      </c>
      <c r="F39" s="29" t="str">
        <f>IF(F38="","",'Master Inputs'!$Y$26)</f>
        <v/>
      </c>
      <c r="G39" s="29" t="str">
        <f>IF(G38="","",'Master Inputs'!$Y$29)</f>
        <v/>
      </c>
      <c r="H39" s="29" t="str">
        <f>IF(H38="","",'Master Inputs'!$Y$32)</f>
        <v/>
      </c>
      <c r="I39" s="29" t="str">
        <f>IF(I38="","",'Master Inputs'!$Y$35)</f>
        <v/>
      </c>
      <c r="J39" s="29" t="str">
        <f>IF(J38="","",'Master Inputs'!$Y$38)</f>
        <v/>
      </c>
      <c r="K39" s="29" t="str">
        <f>IF(K38="","",'Master Inputs'!$Y$41)</f>
        <v/>
      </c>
    </row>
    <row r="41" spans="1:11">
      <c r="A41" s="117" t="s">
        <v>397</v>
      </c>
      <c r="C41" s="29">
        <f ca="1">Adj_Ebit*(1-Adj_Effective_T)/(C24-C25-C26)</f>
        <v>0.15485809577598586</v>
      </c>
    </row>
    <row r="42" spans="1:11">
      <c r="A42" s="117" t="s">
        <v>394</v>
      </c>
      <c r="C42" s="29">
        <f>AVERAGE(B39:K39)</f>
        <v>0.18934424055744864</v>
      </c>
    </row>
    <row r="43" spans="1:11">
      <c r="A43" s="117" t="s">
        <v>398</v>
      </c>
      <c r="C43" s="29">
        <f>G15</f>
        <v>6.5100000000000005E-2</v>
      </c>
    </row>
    <row r="44" spans="1:11">
      <c r="A44" s="117" t="s">
        <v>396</v>
      </c>
      <c r="C44" s="141"/>
    </row>
    <row r="45" spans="1:11">
      <c r="D45" s="94"/>
    </row>
    <row r="46" spans="1:11">
      <c r="B46" s="250" t="s">
        <v>409</v>
      </c>
      <c r="C46" s="250" t="s">
        <v>375</v>
      </c>
      <c r="D46" s="250" t="s">
        <v>410</v>
      </c>
    </row>
    <row r="47" spans="1:11">
      <c r="A47" s="15" t="s">
        <v>364</v>
      </c>
      <c r="B47" s="141">
        <f ca="1">C47*0.9</f>
        <v>0.13937228619838729</v>
      </c>
      <c r="C47" s="257">
        <f ca="1">C41</f>
        <v>0.15485809577598586</v>
      </c>
      <c r="D47" s="141">
        <f ca="1">C47*1.1</f>
        <v>0.17034390535358446</v>
      </c>
    </row>
    <row r="49" spans="1:11">
      <c r="A49" s="21" t="s">
        <v>350</v>
      </c>
    </row>
    <row r="50" spans="1:11">
      <c r="A50" s="128"/>
      <c r="B50" s="129" t="str">
        <f>'Master Inputs'!A14</f>
        <v>LTM of 2019</v>
      </c>
      <c r="C50" s="129" t="str">
        <f>IF('Master Inputs'!B17="","",'Master Inputs'!A17)</f>
        <v>LTM of 2018</v>
      </c>
      <c r="D50" s="129" t="str">
        <f>IF('Master Inputs'!B20="","",'Master Inputs'!A20)</f>
        <v>LTM of 2017</v>
      </c>
      <c r="E50" s="129" t="str">
        <f>IF('Master Inputs'!B23="","",'Master Inputs'!A23)</f>
        <v/>
      </c>
      <c r="F50" s="129" t="str">
        <f>IF('Master Inputs'!B26="","",'Master Inputs'!A26)</f>
        <v/>
      </c>
      <c r="G50" s="129" t="str">
        <f>IF('Master Inputs'!B29="","",'Master Inputs'!A29)</f>
        <v/>
      </c>
      <c r="H50" s="128" t="str">
        <f>IF('Master Inputs'!B32="","",'Master Inputs'!A32)</f>
        <v/>
      </c>
      <c r="I50" s="128" t="str">
        <f>IF('Master Inputs'!B35="","",'Master Inputs'!A35)</f>
        <v/>
      </c>
      <c r="J50" s="128" t="str">
        <f>IF('Master Inputs'!B38="","",'Master Inputs'!A38)</f>
        <v/>
      </c>
      <c r="K50" s="128" t="str">
        <f>IF('Master Inputs'!B41="","",'Master Inputs'!A41)</f>
        <v/>
      </c>
    </row>
    <row r="51" spans="1:11">
      <c r="A51" s="128" t="s">
        <v>362</v>
      </c>
      <c r="B51" s="29">
        <f>IF(B50="","",'Master Inputs'!$R$14)</f>
        <v>-0.20203730936294462</v>
      </c>
      <c r="C51" s="29">
        <f>IF(C50="","",'Master Inputs'!$R$17)</f>
        <v>-0.26257870807786055</v>
      </c>
      <c r="D51" s="29">
        <f>IF(D50="","",'Master Inputs'!$R$20)</f>
        <v>-0.39624770856946973</v>
      </c>
      <c r="E51" s="29" t="str">
        <f>IF(E50="","",'Master Inputs'!$R$23)</f>
        <v/>
      </c>
      <c r="F51" s="29" t="str">
        <f>IF(F50="","",'Master Inputs'!$R$26)</f>
        <v/>
      </c>
      <c r="G51" s="29" t="str">
        <f>IF(G50="","",'Master Inputs'!$R$29)</f>
        <v/>
      </c>
      <c r="H51" s="29" t="str">
        <f>IF(H50="","",'Master Inputs'!$R$32)</f>
        <v/>
      </c>
      <c r="I51" s="29" t="str">
        <f>IF(I50="","",'Master Inputs'!$R$35)</f>
        <v/>
      </c>
      <c r="J51" s="29" t="str">
        <f>IF(J50="","",'Master Inputs'!$R$38)</f>
        <v/>
      </c>
      <c r="K51" s="29" t="str">
        <f>IF(K50="","",'Master Inputs'!$R$41)</f>
        <v/>
      </c>
    </row>
    <row r="52" spans="1:11">
      <c r="E52" s="140"/>
    </row>
    <row r="53" spans="1:11">
      <c r="A53" s="118" t="s">
        <v>232</v>
      </c>
      <c r="C53" s="120"/>
      <c r="E53" s="140"/>
    </row>
    <row r="54" spans="1:11">
      <c r="A54" s="117" t="s">
        <v>363</v>
      </c>
      <c r="C54" s="159">
        <v>2</v>
      </c>
      <c r="E54" s="107"/>
    </row>
    <row r="55" spans="1:11">
      <c r="E55" s="107"/>
    </row>
    <row r="56" spans="1:11">
      <c r="A56" s="117" t="s">
        <v>390</v>
      </c>
      <c r="C56" s="29">
        <f>B51</f>
        <v>-0.20203730936294462</v>
      </c>
      <c r="E56" s="107"/>
    </row>
    <row r="57" spans="1:11">
      <c r="A57" s="117" t="s">
        <v>394</v>
      </c>
      <c r="C57" s="29">
        <f>AVERAGE(B51:K51)</f>
        <v>-0.28695457533675833</v>
      </c>
      <c r="E57" s="112"/>
    </row>
    <row r="58" spans="1:11">
      <c r="A58" s="117" t="s">
        <v>395</v>
      </c>
      <c r="C58" s="141">
        <v>0.3</v>
      </c>
    </row>
    <row r="60" spans="1:11">
      <c r="A60" s="117" t="s">
        <v>360</v>
      </c>
      <c r="C60" s="29">
        <f>IF(C54=1,C56,IF(C54=2,C57,C58))</f>
        <v>-0.28695457533675833</v>
      </c>
    </row>
    <row r="61" spans="1:11">
      <c r="A61" s="117" t="s">
        <v>343</v>
      </c>
      <c r="C61" s="33" t="str">
        <f>IF(Cur_WC_Change&lt;0,"Normalized=&gt;","No Adjustment")</f>
        <v>No Adjustment</v>
      </c>
      <c r="D61" s="29" t="str">
        <f>IF(Cur_WC_Change&lt;0,Cur_Sales_Diff*C60,"")</f>
        <v/>
      </c>
    </row>
    <row r="62" spans="1:11">
      <c r="F62" s="160"/>
    </row>
    <row r="63" spans="1:11">
      <c r="A63" s="118" t="s">
        <v>231</v>
      </c>
      <c r="E63" s="114"/>
    </row>
    <row r="64" spans="1:11">
      <c r="A64" s="117" t="s">
        <v>349</v>
      </c>
      <c r="C64" s="141">
        <v>0.3</v>
      </c>
    </row>
    <row r="66" spans="1:11">
      <c r="A66" s="174" t="s">
        <v>21</v>
      </c>
      <c r="B66" s="175"/>
      <c r="C66" s="176"/>
      <c r="D66" s="176"/>
      <c r="E66" s="176"/>
      <c r="F66" s="176"/>
      <c r="G66" s="176"/>
      <c r="H66" s="176"/>
      <c r="I66" s="176"/>
      <c r="J66" s="176"/>
      <c r="K66" s="177"/>
    </row>
    <row r="67" spans="1:11">
      <c r="A67" s="178" t="s">
        <v>22</v>
      </c>
      <c r="B67" s="178"/>
      <c r="C67" s="178"/>
      <c r="D67" s="178"/>
      <c r="E67" s="178"/>
      <c r="F67" s="178"/>
      <c r="G67" s="178"/>
      <c r="H67" s="178"/>
      <c r="I67" s="178"/>
      <c r="J67" s="178"/>
      <c r="K67" s="178"/>
    </row>
    <row r="68" spans="1:11">
      <c r="A68" s="178" t="s">
        <v>23</v>
      </c>
      <c r="B68" s="178"/>
      <c r="C68" s="178"/>
      <c r="D68" s="178"/>
      <c r="E68" s="178"/>
      <c r="F68" s="178"/>
      <c r="G68" s="178"/>
      <c r="H68" s="178"/>
      <c r="I68" s="178"/>
      <c r="J68" s="178"/>
      <c r="K68" s="178"/>
    </row>
    <row r="69" spans="1:11">
      <c r="A69" s="178"/>
      <c r="B69" s="178"/>
      <c r="C69" s="178"/>
      <c r="D69" s="178"/>
      <c r="E69" s="178"/>
      <c r="F69" s="178"/>
      <c r="G69" s="178"/>
      <c r="H69" s="178"/>
      <c r="I69" s="178"/>
      <c r="J69" s="178"/>
      <c r="K69" s="178"/>
    </row>
    <row r="70" spans="1:11">
      <c r="A70" s="177" t="s">
        <v>24</v>
      </c>
      <c r="B70" s="178"/>
      <c r="C70" s="178"/>
      <c r="D70" s="178"/>
      <c r="E70" s="178"/>
      <c r="F70" s="178"/>
      <c r="G70" s="178"/>
      <c r="H70" s="178"/>
      <c r="I70" s="178"/>
      <c r="J70" s="178"/>
      <c r="K70" s="178"/>
    </row>
    <row r="71" spans="1:11">
      <c r="A71" s="178" t="s">
        <v>25</v>
      </c>
      <c r="B71" s="178"/>
      <c r="C71" s="178"/>
      <c r="D71" s="179">
        <v>3</v>
      </c>
      <c r="E71" s="178" t="s">
        <v>26</v>
      </c>
      <c r="F71" s="178"/>
      <c r="I71" s="178"/>
      <c r="J71" s="178"/>
      <c r="K71" s="178"/>
    </row>
    <row r="72" spans="1:11">
      <c r="A72" s="178"/>
      <c r="B72" s="178"/>
      <c r="C72" s="178"/>
      <c r="D72" s="178"/>
      <c r="E72" s="178"/>
      <c r="F72" s="279"/>
      <c r="G72" s="178"/>
      <c r="H72" s="178"/>
      <c r="I72" s="178"/>
      <c r="J72" s="178"/>
      <c r="K72" s="178"/>
    </row>
    <row r="73" spans="1:11">
      <c r="B73" s="262"/>
      <c r="C73" s="180" t="s">
        <v>29</v>
      </c>
      <c r="D73" s="182" t="s">
        <v>30</v>
      </c>
      <c r="E73" s="183"/>
      <c r="F73" s="180" t="s">
        <v>577</v>
      </c>
      <c r="G73" s="181"/>
      <c r="H73" s="181"/>
      <c r="I73" s="181"/>
      <c r="J73" s="181"/>
      <c r="K73" s="181"/>
    </row>
    <row r="74" spans="1:11">
      <c r="A74" s="263" t="s">
        <v>27</v>
      </c>
      <c r="B74" s="180" t="s">
        <v>576</v>
      </c>
      <c r="C74" s="261">
        <v>1364227</v>
      </c>
      <c r="D74" s="185">
        <f>1</f>
        <v>1</v>
      </c>
      <c r="E74" s="184">
        <f>C74*D74</f>
        <v>1364227</v>
      </c>
      <c r="F74" s="280"/>
      <c r="G74" s="181"/>
      <c r="H74" s="181"/>
      <c r="I74" s="181"/>
      <c r="J74" s="181"/>
      <c r="K74" s="181"/>
    </row>
    <row r="75" spans="1:11">
      <c r="A75" s="264">
        <f>IF($D$71&gt;0,'Master Inputs'!$C$9-1,"")</f>
        <v>2018</v>
      </c>
      <c r="B75" s="264">
        <f>IF(A75="",0,-1)</f>
        <v>-1</v>
      </c>
      <c r="C75" s="261">
        <v>1291054</v>
      </c>
      <c r="D75" s="185">
        <f t="shared" ref="D75:D84" si="0">IF(B75&lt;0,($D$71+B75)/$D$71,0)</f>
        <v>0.66666666666666663</v>
      </c>
      <c r="E75" s="184">
        <f>C75*D75</f>
        <v>860702.66666666663</v>
      </c>
      <c r="F75" s="186">
        <f t="shared" ref="F75:F84" si="1">IF(B75&lt;0,C75/$D$71,0)</f>
        <v>430351.33333333331</v>
      </c>
      <c r="H75" s="181"/>
      <c r="I75" s="181"/>
      <c r="J75" s="181"/>
      <c r="K75" s="181"/>
    </row>
    <row r="76" spans="1:11">
      <c r="A76" s="264">
        <f>IF($D$71&gt;1,'Master Inputs'!$C$9-2,"")</f>
        <v>2017</v>
      </c>
      <c r="B76" s="264">
        <f>IF(A76="",0,-2)</f>
        <v>-2</v>
      </c>
      <c r="C76" s="261">
        <v>1135247</v>
      </c>
      <c r="D76" s="185">
        <f t="shared" si="0"/>
        <v>0.33333333333333331</v>
      </c>
      <c r="E76" s="184">
        <f t="shared" ref="E76:E84" si="2">C76*D76</f>
        <v>378415.66666666663</v>
      </c>
      <c r="F76" s="186">
        <f t="shared" si="1"/>
        <v>378415.66666666669</v>
      </c>
      <c r="G76" s="181"/>
      <c r="H76" s="181"/>
      <c r="I76" s="181"/>
      <c r="J76" s="181"/>
      <c r="K76" s="181"/>
    </row>
    <row r="77" spans="1:11">
      <c r="A77" s="264">
        <f>IF($D$71&gt;2,'Master Inputs'!$C$9-3,"")</f>
        <v>2016</v>
      </c>
      <c r="B77" s="264">
        <f>IF(A77="",0,-3)</f>
        <v>-3</v>
      </c>
      <c r="C77" s="261">
        <v>0</v>
      </c>
      <c r="D77" s="185">
        <f t="shared" si="0"/>
        <v>0</v>
      </c>
      <c r="E77" s="184">
        <f t="shared" si="2"/>
        <v>0</v>
      </c>
      <c r="F77" s="186">
        <f t="shared" si="1"/>
        <v>0</v>
      </c>
      <c r="G77" s="181"/>
      <c r="H77" s="181"/>
      <c r="I77" s="181"/>
      <c r="J77" s="181"/>
      <c r="K77" s="181"/>
    </row>
    <row r="78" spans="1:11">
      <c r="A78" s="264" t="str">
        <f>IF($D$71&gt;3,'Master Inputs'!$C$9-4,"")</f>
        <v/>
      </c>
      <c r="B78" s="264">
        <f>IF(A78="",0,-4)</f>
        <v>0</v>
      </c>
      <c r="C78" s="261">
        <v>0</v>
      </c>
      <c r="D78" s="185">
        <f t="shared" si="0"/>
        <v>0</v>
      </c>
      <c r="E78" s="184">
        <f t="shared" si="2"/>
        <v>0</v>
      </c>
      <c r="F78" s="186">
        <f t="shared" si="1"/>
        <v>0</v>
      </c>
      <c r="G78" s="181"/>
      <c r="H78" s="181"/>
      <c r="I78" s="181"/>
      <c r="J78" s="181"/>
      <c r="K78" s="181"/>
    </row>
    <row r="79" spans="1:11">
      <c r="A79" s="264" t="str">
        <f>IF($D$71&gt;4,'Master Inputs'!$C$9-5,"")</f>
        <v/>
      </c>
      <c r="B79" s="264">
        <f>IF(A79="",0,-5)</f>
        <v>0</v>
      </c>
      <c r="C79" s="261">
        <v>0</v>
      </c>
      <c r="D79" s="185">
        <f t="shared" si="0"/>
        <v>0</v>
      </c>
      <c r="E79" s="184">
        <f t="shared" si="2"/>
        <v>0</v>
      </c>
      <c r="F79" s="186">
        <f t="shared" si="1"/>
        <v>0</v>
      </c>
      <c r="G79" s="181"/>
      <c r="H79" s="181"/>
      <c r="I79" s="181"/>
      <c r="J79" s="181"/>
      <c r="K79" s="181"/>
    </row>
    <row r="80" spans="1:11">
      <c r="A80" s="264" t="str">
        <f>IF($D$71&gt;5,'Master Inputs'!$C$9-6,"")</f>
        <v/>
      </c>
      <c r="B80" s="264">
        <f>IF(A80="",0,-6)</f>
        <v>0</v>
      </c>
      <c r="C80" s="261">
        <v>0</v>
      </c>
      <c r="D80" s="185">
        <f t="shared" si="0"/>
        <v>0</v>
      </c>
      <c r="E80" s="184">
        <f t="shared" si="2"/>
        <v>0</v>
      </c>
      <c r="F80" s="186">
        <f t="shared" si="1"/>
        <v>0</v>
      </c>
      <c r="G80" s="181"/>
      <c r="H80" s="181"/>
      <c r="I80" s="181"/>
      <c r="J80" s="181"/>
      <c r="K80" s="181"/>
    </row>
    <row r="81" spans="1:11">
      <c r="A81" s="264" t="str">
        <f>IF($D$71&gt;6,'Master Inputs'!$C$9-7,"")</f>
        <v/>
      </c>
      <c r="B81" s="264">
        <f>IF(A81="",0,-7)</f>
        <v>0</v>
      </c>
      <c r="C81" s="261">
        <v>0</v>
      </c>
      <c r="D81" s="185">
        <f t="shared" si="0"/>
        <v>0</v>
      </c>
      <c r="E81" s="184">
        <f t="shared" si="2"/>
        <v>0</v>
      </c>
      <c r="F81" s="186">
        <f t="shared" si="1"/>
        <v>0</v>
      </c>
      <c r="G81" s="181"/>
      <c r="H81" s="181"/>
      <c r="I81" s="181"/>
      <c r="J81" s="181"/>
      <c r="K81" s="181"/>
    </row>
    <row r="82" spans="1:11">
      <c r="A82" s="264" t="str">
        <f>IF($D$71&gt;7,'Master Inputs'!$C$9-8,"")</f>
        <v/>
      </c>
      <c r="B82" s="264">
        <f>IF(A82="",0,-8)</f>
        <v>0</v>
      </c>
      <c r="C82" s="261">
        <v>0</v>
      </c>
      <c r="D82" s="185">
        <f t="shared" si="0"/>
        <v>0</v>
      </c>
      <c r="E82" s="184">
        <f t="shared" si="2"/>
        <v>0</v>
      </c>
      <c r="F82" s="186">
        <f t="shared" si="1"/>
        <v>0</v>
      </c>
      <c r="G82" s="181"/>
      <c r="H82" s="181"/>
      <c r="I82" s="181"/>
      <c r="J82" s="181"/>
      <c r="K82" s="181"/>
    </row>
    <row r="83" spans="1:11">
      <c r="A83" s="264" t="str">
        <f>IF($D$71&gt;8,'Master Inputs'!$C$9-9,"")</f>
        <v/>
      </c>
      <c r="B83" s="264">
        <f>IF(A83="",0,-9)</f>
        <v>0</v>
      </c>
      <c r="C83" s="261">
        <v>0</v>
      </c>
      <c r="D83" s="185">
        <f t="shared" si="0"/>
        <v>0</v>
      </c>
      <c r="E83" s="184">
        <f t="shared" si="2"/>
        <v>0</v>
      </c>
      <c r="F83" s="186">
        <f t="shared" si="1"/>
        <v>0</v>
      </c>
      <c r="G83" s="181"/>
      <c r="H83" s="181"/>
      <c r="I83" s="181"/>
      <c r="J83" s="181"/>
      <c r="K83" s="181"/>
    </row>
    <row r="84" spans="1:11" ht="16.5" thickBot="1">
      <c r="A84" s="264" t="str">
        <f>IF($D$71&gt;9,'Master Inputs'!$C$9-10,"")</f>
        <v/>
      </c>
      <c r="B84" s="264">
        <f>IF(A84="",0,-10)</f>
        <v>0</v>
      </c>
      <c r="C84" s="261">
        <v>0</v>
      </c>
      <c r="D84" s="185">
        <f t="shared" si="0"/>
        <v>0</v>
      </c>
      <c r="E84" s="283">
        <f t="shared" si="2"/>
        <v>0</v>
      </c>
      <c r="F84" s="186">
        <f t="shared" si="1"/>
        <v>0</v>
      </c>
      <c r="G84" s="181"/>
      <c r="H84" s="181"/>
      <c r="I84" s="181"/>
      <c r="J84" s="181"/>
      <c r="K84" s="181"/>
    </row>
    <row r="85" spans="1:11" ht="16.5" thickTop="1">
      <c r="B85" s="281"/>
      <c r="C85" s="178" t="s">
        <v>32</v>
      </c>
      <c r="E85" s="289">
        <f>SUM(E74:E84)</f>
        <v>2603345.333333333</v>
      </c>
      <c r="G85" s="178"/>
      <c r="H85" s="178"/>
      <c r="I85" s="178"/>
      <c r="J85" s="178"/>
      <c r="K85" s="178"/>
    </row>
    <row r="86" spans="1:11">
      <c r="A86" s="178"/>
      <c r="B86" s="178"/>
      <c r="C86" s="284" t="s">
        <v>582</v>
      </c>
      <c r="F86" s="288">
        <f>SUM(F75:F84)</f>
        <v>808767</v>
      </c>
      <c r="G86" s="178"/>
      <c r="H86" s="178"/>
      <c r="I86" s="178"/>
      <c r="J86" s="178"/>
      <c r="K86" s="178"/>
    </row>
    <row r="87" spans="1:11">
      <c r="C87" s="117" t="s">
        <v>586</v>
      </c>
      <c r="D87" s="178"/>
      <c r="E87" s="288">
        <f>C74</f>
        <v>1364227</v>
      </c>
      <c r="G87" s="178"/>
      <c r="H87" s="178"/>
      <c r="I87" s="178"/>
      <c r="J87" s="178"/>
      <c r="K87" s="178"/>
    </row>
    <row r="88" spans="1:11">
      <c r="C88" s="178" t="s">
        <v>33</v>
      </c>
      <c r="D88" s="178"/>
      <c r="E88" s="178"/>
      <c r="F88" s="287">
        <f>F90*Marginal_TaxRate</f>
        <v>0</v>
      </c>
      <c r="G88" s="178"/>
      <c r="H88" s="178"/>
      <c r="I88" s="178"/>
      <c r="J88" s="178"/>
      <c r="K88" s="178"/>
    </row>
    <row r="89" spans="1:11">
      <c r="G89" s="178"/>
      <c r="H89" s="178"/>
      <c r="I89" s="178"/>
      <c r="J89" s="178"/>
      <c r="K89" s="178"/>
    </row>
    <row r="90" spans="1:11">
      <c r="B90" s="282" t="s">
        <v>561</v>
      </c>
      <c r="C90" s="15" t="s">
        <v>583</v>
      </c>
      <c r="F90" s="286">
        <f>IF(C8="Yes",E87-F86,0)</f>
        <v>0</v>
      </c>
      <c r="G90" s="178"/>
      <c r="H90" s="178"/>
      <c r="I90" s="178"/>
      <c r="J90" s="178"/>
      <c r="K90" s="178"/>
    </row>
    <row r="91" spans="1:11">
      <c r="C91" s="177" t="s">
        <v>584</v>
      </c>
      <c r="D91" s="178"/>
      <c r="E91" s="178"/>
      <c r="F91" s="285">
        <f>IF(C8="Yes",C74-F86,0)</f>
        <v>0</v>
      </c>
      <c r="G91" s="178"/>
      <c r="H91" s="178"/>
      <c r="I91" s="178"/>
      <c r="J91" s="178"/>
      <c r="K91" s="178"/>
    </row>
    <row r="92" spans="1:11">
      <c r="C92" s="177" t="s">
        <v>585</v>
      </c>
      <c r="D92" s="178"/>
      <c r="F92" s="285">
        <f>IF(C8="Yes",E85-E74+F86,0)</f>
        <v>0</v>
      </c>
      <c r="G92" s="178"/>
      <c r="H92" s="178"/>
      <c r="I92" s="178"/>
      <c r="J92" s="178"/>
      <c r="K92" s="178"/>
    </row>
    <row r="93" spans="1:11">
      <c r="G93" s="178"/>
      <c r="H93" s="178"/>
      <c r="I93" s="178"/>
      <c r="J93" s="178"/>
      <c r="K93" s="178"/>
    </row>
    <row r="94" spans="1:11">
      <c r="G94" s="178"/>
      <c r="H94" s="178"/>
      <c r="I94" s="178"/>
      <c r="J94" s="178"/>
      <c r="K94" s="178"/>
    </row>
    <row r="95" spans="1:11">
      <c r="A95" s="187" t="s">
        <v>144</v>
      </c>
      <c r="B95" s="187"/>
      <c r="C95" s="187"/>
      <c r="D95" s="187"/>
      <c r="E95" s="187"/>
      <c r="F95" s="187"/>
      <c r="G95" s="187"/>
      <c r="H95" s="187"/>
      <c r="I95" s="187"/>
      <c r="J95" s="187"/>
      <c r="K95" s="187"/>
    </row>
    <row r="96" spans="1:11">
      <c r="A96" s="188" t="s">
        <v>34</v>
      </c>
      <c r="B96" s="188" t="s">
        <v>35</v>
      </c>
      <c r="C96" s="178"/>
      <c r="D96" s="178"/>
      <c r="E96" s="178"/>
      <c r="G96" s="178"/>
      <c r="H96" s="178"/>
      <c r="I96" s="178"/>
      <c r="J96" s="178"/>
      <c r="K96" s="178"/>
    </row>
    <row r="97" spans="1:11">
      <c r="A97" s="178" t="s">
        <v>36</v>
      </c>
      <c r="B97" s="178">
        <v>2</v>
      </c>
      <c r="C97" s="178"/>
      <c r="D97" s="178"/>
      <c r="E97" s="178"/>
      <c r="F97" s="178"/>
      <c r="G97" s="178"/>
      <c r="H97" s="178"/>
      <c r="I97" s="178"/>
      <c r="J97" s="178"/>
      <c r="K97" s="178"/>
    </row>
    <row r="98" spans="1:11">
      <c r="A98" s="178" t="s">
        <v>37</v>
      </c>
      <c r="B98" s="178">
        <v>10</v>
      </c>
      <c r="C98" s="178"/>
      <c r="D98" s="178" t="s">
        <v>38</v>
      </c>
      <c r="E98" s="189" t="s">
        <v>39</v>
      </c>
      <c r="F98" s="178"/>
      <c r="G98" s="178"/>
      <c r="H98" s="178"/>
      <c r="I98" s="178"/>
      <c r="J98" s="178"/>
      <c r="K98" s="178"/>
    </row>
    <row r="99" spans="1:11">
      <c r="A99" s="178" t="s">
        <v>40</v>
      </c>
      <c r="B99" s="178">
        <v>10</v>
      </c>
      <c r="C99" s="178"/>
      <c r="D99" s="178" t="s">
        <v>41</v>
      </c>
      <c r="E99" s="189" t="s">
        <v>42</v>
      </c>
      <c r="F99" s="178"/>
      <c r="G99" s="178"/>
      <c r="H99" s="178"/>
      <c r="I99" s="178"/>
      <c r="J99" s="178"/>
      <c r="K99" s="178"/>
    </row>
    <row r="100" spans="1:11">
      <c r="A100" s="178" t="s">
        <v>43</v>
      </c>
      <c r="B100" s="178">
        <v>5</v>
      </c>
      <c r="C100" s="178"/>
      <c r="D100" s="178" t="s">
        <v>44</v>
      </c>
      <c r="E100" s="189" t="s">
        <v>45</v>
      </c>
      <c r="F100" s="178"/>
      <c r="G100" s="178"/>
      <c r="H100" s="178"/>
      <c r="I100" s="178"/>
      <c r="J100" s="178"/>
      <c r="K100" s="178"/>
    </row>
    <row r="101" spans="1:11">
      <c r="A101" s="178" t="s">
        <v>46</v>
      </c>
      <c r="B101" s="178">
        <v>3</v>
      </c>
      <c r="C101" s="178"/>
      <c r="D101" s="178" t="s">
        <v>47</v>
      </c>
      <c r="E101" s="189" t="s">
        <v>48</v>
      </c>
      <c r="F101" s="178"/>
      <c r="G101" s="178"/>
      <c r="H101" s="178"/>
      <c r="I101" s="178"/>
      <c r="J101" s="178"/>
      <c r="K101" s="178"/>
    </row>
    <row r="102" spans="1:11">
      <c r="A102" s="178" t="s">
        <v>49</v>
      </c>
      <c r="B102" s="178">
        <v>10</v>
      </c>
      <c r="C102" s="178"/>
      <c r="D102" s="178" t="s">
        <v>50</v>
      </c>
      <c r="E102" s="189" t="s">
        <v>48</v>
      </c>
      <c r="F102" s="178"/>
      <c r="G102" s="178"/>
      <c r="H102" s="178"/>
      <c r="I102" s="178"/>
      <c r="J102" s="178"/>
      <c r="K102" s="178"/>
    </row>
    <row r="103" spans="1:11">
      <c r="A103" s="178" t="s">
        <v>51</v>
      </c>
      <c r="B103" s="178">
        <v>5</v>
      </c>
      <c r="C103" s="178"/>
      <c r="D103" s="178" t="s">
        <v>52</v>
      </c>
      <c r="E103" s="189" t="s">
        <v>48</v>
      </c>
      <c r="F103" s="178"/>
      <c r="G103" s="178"/>
      <c r="H103" s="178"/>
      <c r="I103" s="178"/>
      <c r="J103" s="178"/>
      <c r="K103" s="178"/>
    </row>
    <row r="104" spans="1:11">
      <c r="A104" s="178" t="s">
        <v>53</v>
      </c>
      <c r="B104" s="178">
        <v>5</v>
      </c>
      <c r="C104" s="178"/>
      <c r="D104" s="178"/>
      <c r="E104" s="178"/>
      <c r="F104" s="178"/>
      <c r="G104" s="178"/>
      <c r="H104" s="178"/>
      <c r="I104" s="178"/>
      <c r="J104" s="178"/>
      <c r="K104" s="178"/>
    </row>
    <row r="105" spans="1:11">
      <c r="A105" s="178" t="s">
        <v>54</v>
      </c>
      <c r="B105" s="178">
        <v>2</v>
      </c>
      <c r="C105" s="178"/>
      <c r="D105" s="178"/>
      <c r="E105" s="178"/>
      <c r="F105" s="178"/>
      <c r="G105" s="178"/>
      <c r="H105" s="178"/>
      <c r="I105" s="178"/>
      <c r="J105" s="178"/>
      <c r="K105" s="178"/>
    </row>
    <row r="106" spans="1:11">
      <c r="A106" s="178" t="s">
        <v>55</v>
      </c>
      <c r="B106" s="178">
        <v>2</v>
      </c>
      <c r="C106" s="178"/>
      <c r="D106" s="178"/>
      <c r="E106" s="178"/>
      <c r="F106" s="178"/>
      <c r="G106" s="178"/>
      <c r="H106" s="178"/>
      <c r="I106" s="178"/>
      <c r="J106" s="178"/>
      <c r="K106" s="178"/>
    </row>
    <row r="107" spans="1:11">
      <c r="A107" s="178" t="s">
        <v>56</v>
      </c>
      <c r="B107" s="178">
        <v>2</v>
      </c>
      <c r="C107" s="178"/>
      <c r="D107" s="178"/>
      <c r="E107" s="178"/>
      <c r="F107" s="178"/>
      <c r="G107" s="178"/>
      <c r="H107" s="178"/>
      <c r="I107" s="178"/>
      <c r="J107" s="178"/>
      <c r="K107" s="178"/>
    </row>
    <row r="108" spans="1:11">
      <c r="A108" s="178" t="s">
        <v>57</v>
      </c>
      <c r="B108" s="178">
        <v>2</v>
      </c>
      <c r="C108" s="178"/>
      <c r="D108" s="178"/>
      <c r="E108" s="178"/>
      <c r="F108" s="178"/>
      <c r="G108" s="178"/>
      <c r="H108" s="178"/>
      <c r="I108" s="178"/>
      <c r="J108" s="178"/>
      <c r="K108" s="178"/>
    </row>
    <row r="109" spans="1:11">
      <c r="A109" s="178" t="s">
        <v>58</v>
      </c>
      <c r="B109" s="178">
        <v>3</v>
      </c>
      <c r="C109" s="178"/>
      <c r="D109" s="178"/>
      <c r="E109" s="178"/>
      <c r="F109" s="178"/>
      <c r="G109" s="178"/>
      <c r="H109" s="178"/>
      <c r="I109" s="178"/>
      <c r="J109" s="178"/>
      <c r="K109" s="178"/>
    </row>
    <row r="110" spans="1:11">
      <c r="A110" s="178" t="s">
        <v>59</v>
      </c>
      <c r="B110" s="178">
        <v>3</v>
      </c>
      <c r="C110" s="178"/>
      <c r="D110" s="178"/>
      <c r="E110" s="178"/>
      <c r="F110" s="178"/>
      <c r="G110" s="178"/>
      <c r="H110" s="178"/>
      <c r="I110" s="178"/>
      <c r="J110" s="178"/>
      <c r="K110" s="178"/>
    </row>
    <row r="111" spans="1:11">
      <c r="A111" s="178" t="s">
        <v>60</v>
      </c>
      <c r="B111" s="178">
        <v>5</v>
      </c>
      <c r="C111" s="178"/>
      <c r="D111" s="178"/>
      <c r="E111" s="178"/>
      <c r="F111" s="178"/>
      <c r="G111" s="178"/>
      <c r="H111" s="178"/>
      <c r="I111" s="178"/>
      <c r="J111" s="178"/>
      <c r="K111" s="178"/>
    </row>
    <row r="112" spans="1:11">
      <c r="A112" s="178" t="s">
        <v>61</v>
      </c>
      <c r="B112" s="178">
        <v>10</v>
      </c>
      <c r="C112" s="178"/>
      <c r="D112" s="178"/>
      <c r="E112" s="178"/>
      <c r="F112" s="178"/>
      <c r="G112" s="178"/>
      <c r="H112" s="178"/>
      <c r="I112" s="178"/>
      <c r="J112" s="178"/>
      <c r="K112" s="178"/>
    </row>
    <row r="113" spans="1:11">
      <c r="A113" s="178" t="s">
        <v>62</v>
      </c>
      <c r="B113" s="178">
        <v>10</v>
      </c>
      <c r="C113" s="178"/>
      <c r="D113" s="178"/>
      <c r="E113" s="178"/>
      <c r="F113" s="178"/>
      <c r="G113" s="178"/>
      <c r="H113" s="178"/>
      <c r="I113" s="178"/>
      <c r="J113" s="178"/>
      <c r="K113" s="178"/>
    </row>
    <row r="114" spans="1:11">
      <c r="A114" s="178" t="s">
        <v>63</v>
      </c>
      <c r="B114" s="178">
        <v>10</v>
      </c>
      <c r="C114" s="178"/>
      <c r="D114" s="178"/>
      <c r="E114" s="178"/>
      <c r="F114" s="178"/>
      <c r="G114" s="178"/>
      <c r="H114" s="178"/>
      <c r="I114" s="178"/>
      <c r="J114" s="178"/>
      <c r="K114" s="178"/>
    </row>
    <row r="115" spans="1:11">
      <c r="A115" s="178" t="s">
        <v>64</v>
      </c>
      <c r="B115" s="178">
        <v>10</v>
      </c>
      <c r="C115" s="178"/>
      <c r="D115" s="178"/>
      <c r="E115" s="178"/>
      <c r="F115" s="178"/>
      <c r="G115" s="178"/>
      <c r="H115" s="178"/>
      <c r="I115" s="178"/>
      <c r="J115" s="178"/>
      <c r="K115" s="178"/>
    </row>
    <row r="116" spans="1:11">
      <c r="A116" s="178" t="s">
        <v>65</v>
      </c>
      <c r="B116" s="178">
        <v>10</v>
      </c>
      <c r="C116" s="178"/>
      <c r="D116" s="178"/>
      <c r="E116" s="178"/>
      <c r="F116" s="178"/>
      <c r="G116" s="178"/>
      <c r="H116" s="178"/>
      <c r="I116" s="178"/>
      <c r="J116" s="178"/>
      <c r="K116" s="178"/>
    </row>
    <row r="117" spans="1:11">
      <c r="A117" s="178" t="s">
        <v>66</v>
      </c>
      <c r="B117" s="178">
        <v>10</v>
      </c>
      <c r="C117" s="178"/>
      <c r="D117" s="178"/>
      <c r="E117" s="178"/>
      <c r="F117" s="178"/>
      <c r="G117" s="178"/>
      <c r="H117" s="178"/>
      <c r="I117" s="178"/>
      <c r="J117" s="178"/>
      <c r="K117" s="178"/>
    </row>
    <row r="118" spans="1:11">
      <c r="A118" s="178" t="s">
        <v>67</v>
      </c>
      <c r="B118" s="178">
        <v>5</v>
      </c>
      <c r="C118" s="178"/>
      <c r="D118" s="178"/>
      <c r="E118" s="178"/>
      <c r="F118" s="178"/>
      <c r="G118" s="178"/>
      <c r="H118" s="178"/>
      <c r="I118" s="178"/>
      <c r="J118" s="178"/>
      <c r="K118" s="178"/>
    </row>
    <row r="119" spans="1:11">
      <c r="A119" s="178" t="s">
        <v>68</v>
      </c>
      <c r="B119" s="178">
        <v>5</v>
      </c>
      <c r="C119" s="178"/>
      <c r="D119" s="178"/>
      <c r="E119" s="178"/>
      <c r="F119" s="178"/>
      <c r="G119" s="178"/>
      <c r="H119" s="178"/>
      <c r="I119" s="178"/>
      <c r="J119" s="178"/>
      <c r="K119" s="178"/>
    </row>
    <row r="120" spans="1:11">
      <c r="A120" s="178" t="s">
        <v>69</v>
      </c>
      <c r="B120" s="178">
        <v>3</v>
      </c>
      <c r="C120" s="178"/>
      <c r="D120" s="178"/>
      <c r="E120" s="178"/>
      <c r="F120" s="178"/>
      <c r="G120" s="178"/>
      <c r="H120" s="178"/>
      <c r="I120" s="178"/>
      <c r="J120" s="178"/>
      <c r="K120" s="178"/>
    </row>
    <row r="121" spans="1:11">
      <c r="A121" s="178" t="s">
        <v>70</v>
      </c>
      <c r="B121" s="178">
        <v>5</v>
      </c>
      <c r="C121" s="178"/>
      <c r="D121" s="178"/>
      <c r="E121" s="178"/>
      <c r="F121" s="178"/>
      <c r="G121" s="178"/>
      <c r="H121" s="178"/>
      <c r="I121" s="178"/>
      <c r="J121" s="178"/>
      <c r="K121" s="178"/>
    </row>
    <row r="122" spans="1:11">
      <c r="A122" s="178" t="s">
        <v>71</v>
      </c>
      <c r="B122" s="178">
        <v>5</v>
      </c>
      <c r="C122" s="178"/>
      <c r="D122" s="178"/>
      <c r="E122" s="178"/>
      <c r="F122" s="178"/>
      <c r="G122" s="178"/>
      <c r="H122" s="178"/>
      <c r="I122" s="178"/>
      <c r="J122" s="178"/>
      <c r="K122" s="178"/>
    </row>
    <row r="123" spans="1:11">
      <c r="A123" s="178" t="s">
        <v>72</v>
      </c>
      <c r="B123" s="178">
        <v>10</v>
      </c>
      <c r="C123" s="178"/>
      <c r="D123" s="178"/>
      <c r="E123" s="178"/>
      <c r="F123" s="178"/>
      <c r="G123" s="178"/>
      <c r="H123" s="178"/>
      <c r="I123" s="178"/>
      <c r="J123" s="178"/>
      <c r="K123" s="178"/>
    </row>
    <row r="124" spans="1:11">
      <c r="A124" s="178" t="s">
        <v>73</v>
      </c>
      <c r="B124" s="178">
        <v>3</v>
      </c>
      <c r="C124" s="178"/>
      <c r="D124" s="178"/>
      <c r="E124" s="178"/>
      <c r="F124" s="178"/>
      <c r="G124" s="178"/>
      <c r="H124" s="178"/>
      <c r="I124" s="178"/>
      <c r="J124" s="178"/>
      <c r="K124" s="178"/>
    </row>
    <row r="125" spans="1:11">
      <c r="A125" s="178" t="s">
        <v>74</v>
      </c>
      <c r="B125" s="178">
        <v>3</v>
      </c>
      <c r="C125" s="178"/>
      <c r="D125" s="178"/>
      <c r="E125" s="178"/>
      <c r="F125" s="178"/>
      <c r="G125" s="178"/>
      <c r="H125" s="178"/>
      <c r="I125" s="178"/>
      <c r="J125" s="178"/>
      <c r="K125" s="178"/>
    </row>
    <row r="126" spans="1:11">
      <c r="A126" s="178" t="s">
        <v>75</v>
      </c>
      <c r="B126" s="178">
        <v>10</v>
      </c>
      <c r="C126" s="178"/>
      <c r="D126" s="178"/>
      <c r="E126" s="178"/>
      <c r="F126" s="178"/>
      <c r="G126" s="178"/>
      <c r="H126" s="178"/>
      <c r="I126" s="178"/>
      <c r="J126" s="178"/>
      <c r="K126" s="178"/>
    </row>
    <row r="127" spans="1:11">
      <c r="A127" s="178" t="s">
        <v>76</v>
      </c>
      <c r="B127" s="178">
        <v>10</v>
      </c>
      <c r="C127" s="178"/>
      <c r="D127" s="178"/>
      <c r="E127" s="178"/>
      <c r="F127" s="178"/>
      <c r="G127" s="178"/>
      <c r="H127" s="178"/>
      <c r="I127" s="178"/>
      <c r="J127" s="178"/>
      <c r="K127" s="178"/>
    </row>
    <row r="128" spans="1:11">
      <c r="A128" s="178" t="s">
        <v>77</v>
      </c>
      <c r="B128" s="178">
        <v>10</v>
      </c>
      <c r="C128" s="178"/>
      <c r="D128" s="178"/>
      <c r="E128" s="178"/>
      <c r="F128" s="178"/>
      <c r="G128" s="178"/>
      <c r="H128" s="178"/>
      <c r="I128" s="178"/>
      <c r="J128" s="178"/>
      <c r="K128" s="178"/>
    </row>
    <row r="129" spans="1:11">
      <c r="A129" s="178" t="s">
        <v>78</v>
      </c>
      <c r="B129" s="178">
        <v>10</v>
      </c>
      <c r="C129" s="178"/>
      <c r="D129" s="178"/>
      <c r="E129" s="178"/>
      <c r="F129" s="178"/>
      <c r="G129" s="178"/>
      <c r="H129" s="178"/>
      <c r="I129" s="178"/>
      <c r="J129" s="178"/>
      <c r="K129" s="178"/>
    </row>
    <row r="130" spans="1:11">
      <c r="A130" s="178" t="s">
        <v>79</v>
      </c>
      <c r="B130" s="178">
        <v>5</v>
      </c>
      <c r="C130" s="178"/>
      <c r="D130" s="178"/>
      <c r="E130" s="178"/>
      <c r="F130" s="178"/>
      <c r="G130" s="178"/>
      <c r="H130" s="178"/>
      <c r="I130" s="178"/>
      <c r="J130" s="178"/>
      <c r="K130" s="178"/>
    </row>
    <row r="131" spans="1:11">
      <c r="A131" s="178" t="s">
        <v>80</v>
      </c>
      <c r="B131" s="178">
        <v>3</v>
      </c>
      <c r="C131" s="178"/>
      <c r="D131" s="178"/>
      <c r="E131" s="178"/>
      <c r="F131" s="178"/>
      <c r="G131" s="178"/>
      <c r="H131" s="178"/>
      <c r="I131" s="178"/>
      <c r="J131" s="178"/>
      <c r="K131" s="178"/>
    </row>
    <row r="132" spans="1:11">
      <c r="A132" s="178" t="s">
        <v>81</v>
      </c>
      <c r="B132" s="178">
        <v>5</v>
      </c>
      <c r="C132" s="178"/>
      <c r="D132" s="178"/>
      <c r="E132" s="178"/>
      <c r="F132" s="178"/>
      <c r="G132" s="178"/>
      <c r="H132" s="178"/>
      <c r="I132" s="178"/>
      <c r="J132" s="178"/>
      <c r="K132" s="178"/>
    </row>
    <row r="133" spans="1:11">
      <c r="A133" s="178" t="s">
        <v>82</v>
      </c>
      <c r="B133" s="178">
        <v>2</v>
      </c>
      <c r="C133" s="178"/>
      <c r="D133" s="178"/>
      <c r="E133" s="178"/>
      <c r="F133" s="178"/>
      <c r="G133" s="178"/>
      <c r="H133" s="178"/>
      <c r="I133" s="178"/>
      <c r="J133" s="178"/>
      <c r="K133" s="178"/>
    </row>
    <row r="134" spans="1:11">
      <c r="A134" s="178" t="s">
        <v>83</v>
      </c>
      <c r="B134" s="178">
        <v>3</v>
      </c>
      <c r="C134" s="178"/>
      <c r="D134" s="178"/>
      <c r="E134" s="178"/>
      <c r="F134" s="178"/>
      <c r="G134" s="178"/>
      <c r="H134" s="178"/>
      <c r="I134" s="178"/>
      <c r="J134" s="178"/>
      <c r="K134" s="178"/>
    </row>
    <row r="135" spans="1:11">
      <c r="A135" s="178" t="s">
        <v>84</v>
      </c>
      <c r="B135" s="178">
        <v>3</v>
      </c>
      <c r="C135" s="178"/>
      <c r="D135" s="178"/>
      <c r="E135" s="178"/>
      <c r="F135" s="178"/>
      <c r="G135" s="178"/>
      <c r="H135" s="178"/>
      <c r="I135" s="178"/>
      <c r="J135" s="178"/>
      <c r="K135" s="178"/>
    </row>
    <row r="136" spans="1:11">
      <c r="A136" s="178" t="s">
        <v>85</v>
      </c>
      <c r="B136" s="178">
        <v>5</v>
      </c>
      <c r="C136" s="178"/>
      <c r="D136" s="178"/>
      <c r="E136" s="178"/>
      <c r="F136" s="178"/>
      <c r="G136" s="178"/>
      <c r="H136" s="178"/>
      <c r="I136" s="178"/>
      <c r="J136" s="178"/>
      <c r="K136" s="178"/>
    </row>
    <row r="137" spans="1:11">
      <c r="A137" s="178" t="s">
        <v>86</v>
      </c>
      <c r="B137" s="178">
        <v>10</v>
      </c>
      <c r="C137" s="178"/>
      <c r="D137" s="178"/>
      <c r="E137" s="178"/>
      <c r="F137" s="178"/>
      <c r="G137" s="178"/>
      <c r="H137" s="178"/>
      <c r="I137" s="178"/>
      <c r="J137" s="178"/>
      <c r="K137" s="178"/>
    </row>
    <row r="138" spans="1:11">
      <c r="A138" s="178" t="s">
        <v>87</v>
      </c>
      <c r="B138" s="178">
        <v>3</v>
      </c>
      <c r="C138" s="178"/>
      <c r="D138" s="178"/>
      <c r="E138" s="178"/>
      <c r="F138" s="178"/>
      <c r="G138" s="178"/>
      <c r="H138" s="178"/>
      <c r="I138" s="178"/>
      <c r="J138" s="178"/>
      <c r="K138" s="178"/>
    </row>
    <row r="139" spans="1:11">
      <c r="A139" s="178" t="s">
        <v>88</v>
      </c>
      <c r="B139" s="178">
        <v>5</v>
      </c>
      <c r="C139" s="178"/>
      <c r="D139" s="178"/>
      <c r="E139" s="178"/>
      <c r="F139" s="178"/>
      <c r="G139" s="178"/>
      <c r="H139" s="178"/>
      <c r="I139" s="178"/>
      <c r="J139" s="178"/>
      <c r="K139" s="178"/>
    </row>
    <row r="140" spans="1:11">
      <c r="A140" s="178" t="s">
        <v>89</v>
      </c>
      <c r="B140" s="178">
        <v>2</v>
      </c>
      <c r="C140" s="178"/>
      <c r="D140" s="178"/>
      <c r="E140" s="178"/>
      <c r="F140" s="178"/>
      <c r="G140" s="178"/>
      <c r="H140" s="178"/>
      <c r="I140" s="178"/>
      <c r="J140" s="178"/>
      <c r="K140" s="178"/>
    </row>
    <row r="141" spans="1:11">
      <c r="A141" s="178" t="s">
        <v>90</v>
      </c>
      <c r="B141" s="178">
        <v>3</v>
      </c>
      <c r="C141" s="178"/>
      <c r="D141" s="178"/>
      <c r="E141" s="178"/>
      <c r="F141" s="178"/>
      <c r="G141" s="178"/>
      <c r="H141" s="178"/>
      <c r="I141" s="178"/>
      <c r="J141" s="178"/>
      <c r="K141" s="178"/>
    </row>
    <row r="142" spans="1:11">
      <c r="A142" s="178" t="s">
        <v>91</v>
      </c>
      <c r="B142" s="178">
        <v>5</v>
      </c>
      <c r="C142" s="178"/>
      <c r="D142" s="178"/>
      <c r="E142" s="178"/>
      <c r="F142" s="178"/>
      <c r="G142" s="178"/>
      <c r="H142" s="178"/>
      <c r="I142" s="178"/>
      <c r="J142" s="178"/>
      <c r="K142" s="178"/>
    </row>
    <row r="143" spans="1:11">
      <c r="A143" s="178" t="s">
        <v>92</v>
      </c>
      <c r="B143" s="178">
        <v>5</v>
      </c>
      <c r="C143" s="178"/>
      <c r="D143" s="178"/>
      <c r="E143" s="178"/>
      <c r="F143" s="178"/>
      <c r="G143" s="178"/>
      <c r="H143" s="178"/>
      <c r="I143" s="178"/>
      <c r="J143" s="178"/>
      <c r="K143" s="178"/>
    </row>
    <row r="144" spans="1:11">
      <c r="A144" s="178" t="s">
        <v>93</v>
      </c>
      <c r="B144" s="178">
        <v>3</v>
      </c>
      <c r="C144" s="178"/>
      <c r="D144" s="178"/>
      <c r="E144" s="178"/>
      <c r="F144" s="178"/>
      <c r="G144" s="178"/>
      <c r="H144" s="178"/>
      <c r="I144" s="178"/>
      <c r="J144" s="178"/>
      <c r="K144" s="178"/>
    </row>
    <row r="145" spans="1:11">
      <c r="A145" s="178" t="s">
        <v>94</v>
      </c>
      <c r="B145" s="178">
        <v>3</v>
      </c>
      <c r="C145" s="178"/>
      <c r="D145" s="178"/>
      <c r="E145" s="178"/>
      <c r="F145" s="178"/>
      <c r="G145" s="178"/>
      <c r="H145" s="178"/>
      <c r="I145" s="178"/>
      <c r="J145" s="178"/>
      <c r="K145" s="178"/>
    </row>
    <row r="146" spans="1:11">
      <c r="A146" s="178" t="s">
        <v>95</v>
      </c>
      <c r="B146" s="178">
        <v>3</v>
      </c>
      <c r="C146" s="178"/>
      <c r="D146" s="178"/>
      <c r="E146" s="178"/>
      <c r="F146" s="178"/>
      <c r="G146" s="178"/>
      <c r="H146" s="178"/>
      <c r="I146" s="178"/>
      <c r="J146" s="178"/>
      <c r="K146" s="178"/>
    </row>
    <row r="147" spans="1:11">
      <c r="A147" s="178" t="s">
        <v>96</v>
      </c>
      <c r="B147" s="178">
        <v>3</v>
      </c>
      <c r="C147" s="178"/>
      <c r="D147" s="178"/>
      <c r="E147" s="178"/>
      <c r="F147" s="178"/>
      <c r="G147" s="178"/>
      <c r="H147" s="178"/>
      <c r="I147" s="178"/>
      <c r="J147" s="178"/>
      <c r="K147" s="178"/>
    </row>
    <row r="148" spans="1:11">
      <c r="A148" s="178" t="s">
        <v>97</v>
      </c>
      <c r="B148" s="178">
        <v>3</v>
      </c>
      <c r="C148" s="178"/>
      <c r="D148" s="178"/>
      <c r="E148" s="178"/>
      <c r="F148" s="178"/>
      <c r="G148" s="178"/>
      <c r="H148" s="178"/>
      <c r="I148" s="178"/>
      <c r="J148" s="178"/>
      <c r="K148" s="178"/>
    </row>
    <row r="149" spans="1:11">
      <c r="A149" s="178" t="s">
        <v>98</v>
      </c>
      <c r="B149" s="178">
        <v>3</v>
      </c>
      <c r="C149" s="178"/>
      <c r="D149" s="178"/>
      <c r="E149" s="178"/>
      <c r="F149" s="178"/>
      <c r="G149" s="178"/>
      <c r="H149" s="178"/>
      <c r="I149" s="178"/>
      <c r="J149" s="178"/>
      <c r="K149" s="178"/>
    </row>
    <row r="150" spans="1:11">
      <c r="A150" s="178" t="s">
        <v>99</v>
      </c>
      <c r="B150" s="178">
        <v>3</v>
      </c>
      <c r="C150" s="178"/>
      <c r="D150" s="178"/>
      <c r="E150" s="178"/>
      <c r="F150" s="178"/>
      <c r="G150" s="178"/>
      <c r="H150" s="178"/>
      <c r="I150" s="178"/>
      <c r="J150" s="178"/>
      <c r="K150" s="178"/>
    </row>
    <row r="151" spans="1:11">
      <c r="A151" s="178" t="s">
        <v>100</v>
      </c>
      <c r="B151" s="178">
        <v>3</v>
      </c>
      <c r="C151" s="178"/>
      <c r="D151" s="178"/>
      <c r="E151" s="178"/>
      <c r="F151" s="178"/>
      <c r="G151" s="178"/>
      <c r="H151" s="178"/>
      <c r="I151" s="178"/>
      <c r="J151" s="178"/>
      <c r="K151" s="178"/>
    </row>
    <row r="152" spans="1:11">
      <c r="A152" s="178" t="s">
        <v>101</v>
      </c>
      <c r="B152" s="178">
        <v>3</v>
      </c>
      <c r="C152" s="178"/>
      <c r="D152" s="178"/>
      <c r="E152" s="178"/>
      <c r="F152" s="178"/>
      <c r="G152" s="178"/>
      <c r="H152" s="178"/>
      <c r="I152" s="178"/>
      <c r="J152" s="178"/>
      <c r="K152" s="178"/>
    </row>
    <row r="153" spans="1:11">
      <c r="A153" s="178" t="s">
        <v>102</v>
      </c>
      <c r="B153" s="178">
        <v>3</v>
      </c>
      <c r="C153" s="178"/>
      <c r="D153" s="178"/>
      <c r="E153" s="178"/>
      <c r="F153" s="178"/>
      <c r="G153" s="178"/>
      <c r="H153" s="178"/>
      <c r="I153" s="178"/>
      <c r="J153" s="178"/>
      <c r="K153" s="178"/>
    </row>
    <row r="154" spans="1:11">
      <c r="A154" s="178" t="s">
        <v>103</v>
      </c>
      <c r="B154" s="178">
        <v>10</v>
      </c>
      <c r="C154" s="178"/>
      <c r="D154" s="178"/>
      <c r="E154" s="178"/>
      <c r="F154" s="178"/>
      <c r="G154" s="178"/>
      <c r="H154" s="178"/>
      <c r="I154" s="178"/>
      <c r="J154" s="178"/>
      <c r="K154" s="178"/>
    </row>
    <row r="155" spans="1:11">
      <c r="A155" s="178" t="s">
        <v>104</v>
      </c>
      <c r="B155" s="178">
        <v>5</v>
      </c>
      <c r="C155" s="178"/>
      <c r="D155" s="178"/>
      <c r="E155" s="178"/>
      <c r="F155" s="178"/>
      <c r="G155" s="178"/>
      <c r="H155" s="178"/>
      <c r="I155" s="178"/>
      <c r="J155" s="178"/>
      <c r="K155" s="178"/>
    </row>
    <row r="156" spans="1:11">
      <c r="A156" s="178" t="s">
        <v>105</v>
      </c>
      <c r="B156" s="178">
        <v>10</v>
      </c>
      <c r="C156" s="178"/>
      <c r="D156" s="178"/>
      <c r="E156" s="178"/>
      <c r="F156" s="178"/>
      <c r="G156" s="178"/>
      <c r="H156" s="178"/>
      <c r="I156" s="178"/>
      <c r="J156" s="178"/>
      <c r="K156" s="178"/>
    </row>
    <row r="157" spans="1:11">
      <c r="A157" s="178" t="s">
        <v>106</v>
      </c>
      <c r="B157" s="178">
        <v>3</v>
      </c>
      <c r="C157" s="178"/>
      <c r="D157" s="178"/>
      <c r="E157" s="178"/>
      <c r="F157" s="178"/>
      <c r="G157" s="178"/>
      <c r="H157" s="178"/>
      <c r="I157" s="178"/>
      <c r="J157" s="178"/>
      <c r="K157" s="178"/>
    </row>
    <row r="158" spans="1:11">
      <c r="A158" s="178" t="s">
        <v>107</v>
      </c>
      <c r="B158" s="178">
        <v>5</v>
      </c>
      <c r="C158" s="178"/>
      <c r="D158" s="178"/>
      <c r="E158" s="178"/>
      <c r="F158" s="178"/>
      <c r="G158" s="178"/>
      <c r="H158" s="178"/>
      <c r="I158" s="178"/>
      <c r="J158" s="178"/>
      <c r="K158" s="178"/>
    </row>
    <row r="159" spans="1:11">
      <c r="A159" s="178" t="s">
        <v>108</v>
      </c>
      <c r="B159" s="178">
        <v>10</v>
      </c>
      <c r="C159" s="178"/>
      <c r="D159" s="178"/>
      <c r="E159" s="178"/>
      <c r="F159" s="178"/>
      <c r="G159" s="178"/>
      <c r="H159" s="178"/>
      <c r="I159" s="178"/>
      <c r="J159" s="178"/>
      <c r="K159" s="178"/>
    </row>
    <row r="160" spans="1:11">
      <c r="A160" s="178" t="s">
        <v>109</v>
      </c>
      <c r="B160" s="178">
        <v>5</v>
      </c>
      <c r="C160" s="178"/>
      <c r="D160" s="178"/>
      <c r="E160" s="178"/>
      <c r="F160" s="178"/>
      <c r="G160" s="178"/>
      <c r="H160" s="178"/>
      <c r="I160" s="178"/>
      <c r="J160" s="178"/>
      <c r="K160" s="178"/>
    </row>
    <row r="161" spans="1:11">
      <c r="A161" s="178" t="s">
        <v>110</v>
      </c>
      <c r="B161" s="178">
        <v>10</v>
      </c>
      <c r="C161" s="178"/>
      <c r="D161" s="178"/>
      <c r="E161" s="178"/>
      <c r="F161" s="178"/>
      <c r="G161" s="178"/>
      <c r="H161" s="178"/>
      <c r="I161" s="178"/>
      <c r="J161" s="178"/>
      <c r="K161" s="178"/>
    </row>
    <row r="162" spans="1:11">
      <c r="A162" s="178" t="s">
        <v>111</v>
      </c>
      <c r="B162" s="178">
        <v>10</v>
      </c>
      <c r="C162" s="178"/>
      <c r="D162" s="178"/>
      <c r="E162" s="178"/>
      <c r="F162" s="178"/>
      <c r="G162" s="178"/>
      <c r="H162" s="178"/>
      <c r="I162" s="178"/>
      <c r="J162" s="178"/>
      <c r="K162" s="178"/>
    </row>
    <row r="163" spans="1:11">
      <c r="A163" s="178" t="s">
        <v>112</v>
      </c>
      <c r="B163" s="178">
        <v>3</v>
      </c>
      <c r="C163" s="178"/>
      <c r="D163" s="178"/>
      <c r="E163" s="178"/>
      <c r="F163" s="178"/>
      <c r="G163" s="178"/>
      <c r="H163" s="178"/>
      <c r="I163" s="178"/>
      <c r="J163" s="178"/>
      <c r="K163" s="178"/>
    </row>
    <row r="164" spans="1:11">
      <c r="A164" s="178" t="s">
        <v>113</v>
      </c>
      <c r="B164" s="178">
        <v>5</v>
      </c>
      <c r="C164" s="178"/>
      <c r="D164" s="178"/>
      <c r="E164" s="178"/>
      <c r="F164" s="178"/>
      <c r="G164" s="178"/>
      <c r="H164" s="178"/>
      <c r="I164" s="178"/>
      <c r="J164" s="178"/>
      <c r="K164" s="178"/>
    </row>
    <row r="165" spans="1:11">
      <c r="A165" s="178" t="s">
        <v>114</v>
      </c>
      <c r="B165" s="178">
        <v>5</v>
      </c>
      <c r="C165" s="178"/>
      <c r="D165" s="178"/>
      <c r="E165" s="178"/>
      <c r="F165" s="178"/>
      <c r="G165" s="178"/>
      <c r="H165" s="178"/>
      <c r="I165" s="178"/>
      <c r="J165" s="178"/>
      <c r="K165" s="178"/>
    </row>
    <row r="166" spans="1:11">
      <c r="A166" s="178" t="s">
        <v>115</v>
      </c>
      <c r="B166" s="178">
        <v>5</v>
      </c>
      <c r="C166" s="178"/>
      <c r="D166" s="178"/>
      <c r="E166" s="178"/>
      <c r="F166" s="178"/>
      <c r="G166" s="178"/>
      <c r="H166" s="178"/>
      <c r="I166" s="178"/>
      <c r="J166" s="178"/>
      <c r="K166" s="178"/>
    </row>
    <row r="167" spans="1:11">
      <c r="A167" s="178" t="s">
        <v>116</v>
      </c>
      <c r="B167" s="178">
        <v>10</v>
      </c>
      <c r="C167" s="178"/>
      <c r="D167" s="178"/>
      <c r="E167" s="178"/>
      <c r="F167" s="178"/>
      <c r="G167" s="178"/>
      <c r="H167" s="178"/>
      <c r="I167" s="178"/>
      <c r="J167" s="178"/>
      <c r="K167" s="178"/>
    </row>
    <row r="168" spans="1:11">
      <c r="A168" s="178" t="s">
        <v>117</v>
      </c>
      <c r="B168" s="178">
        <v>5</v>
      </c>
      <c r="C168" s="178"/>
      <c r="D168" s="178"/>
      <c r="E168" s="178"/>
      <c r="F168" s="178"/>
      <c r="G168" s="178"/>
      <c r="H168" s="178"/>
      <c r="I168" s="178"/>
      <c r="J168" s="178"/>
      <c r="K168" s="178"/>
    </row>
    <row r="169" spans="1:11">
      <c r="A169" s="178" t="s">
        <v>118</v>
      </c>
      <c r="B169" s="178">
        <v>5</v>
      </c>
      <c r="C169" s="178"/>
      <c r="D169" s="178"/>
      <c r="E169" s="178"/>
      <c r="F169" s="178"/>
      <c r="G169" s="178"/>
      <c r="H169" s="178"/>
      <c r="I169" s="178"/>
      <c r="J169" s="178"/>
      <c r="K169" s="178"/>
    </row>
    <row r="170" spans="1:11">
      <c r="A170" s="178" t="s">
        <v>119</v>
      </c>
      <c r="B170" s="178">
        <v>5</v>
      </c>
      <c r="C170" s="178"/>
      <c r="D170" s="178"/>
      <c r="E170" s="178"/>
      <c r="F170" s="178"/>
      <c r="G170" s="178"/>
      <c r="H170" s="178"/>
      <c r="I170" s="178"/>
      <c r="J170" s="178"/>
      <c r="K170" s="178"/>
    </row>
    <row r="171" spans="1:11">
      <c r="A171" s="178" t="s">
        <v>120</v>
      </c>
      <c r="B171" s="178">
        <v>3</v>
      </c>
      <c r="C171" s="178"/>
      <c r="D171" s="178"/>
      <c r="E171" s="178"/>
      <c r="F171" s="178"/>
      <c r="G171" s="178"/>
      <c r="H171" s="178"/>
      <c r="I171" s="178"/>
      <c r="J171" s="178"/>
      <c r="K171" s="178"/>
    </row>
    <row r="172" spans="1:11">
      <c r="A172" s="178" t="s">
        <v>121</v>
      </c>
      <c r="B172" s="178">
        <v>3</v>
      </c>
      <c r="C172" s="178"/>
      <c r="D172" s="178"/>
      <c r="E172" s="178"/>
      <c r="F172" s="178"/>
      <c r="G172" s="178"/>
      <c r="H172" s="178"/>
      <c r="I172" s="178"/>
      <c r="J172" s="178"/>
      <c r="K172" s="178"/>
    </row>
    <row r="173" spans="1:11">
      <c r="A173" s="178" t="s">
        <v>122</v>
      </c>
      <c r="B173" s="178">
        <v>5</v>
      </c>
      <c r="C173" s="178"/>
      <c r="D173" s="178"/>
      <c r="E173" s="178"/>
      <c r="F173" s="178"/>
      <c r="G173" s="178"/>
      <c r="H173" s="178"/>
      <c r="I173" s="178"/>
      <c r="J173" s="178"/>
      <c r="K173" s="178"/>
    </row>
    <row r="174" spans="1:11">
      <c r="A174" s="178" t="s">
        <v>123</v>
      </c>
      <c r="B174" s="178">
        <v>5</v>
      </c>
      <c r="C174" s="178"/>
      <c r="D174" s="178"/>
      <c r="E174" s="178"/>
      <c r="F174" s="178"/>
      <c r="G174" s="178"/>
      <c r="H174" s="178"/>
      <c r="I174" s="178"/>
      <c r="J174" s="178"/>
      <c r="K174" s="178"/>
    </row>
    <row r="175" spans="1:11">
      <c r="A175" s="178" t="s">
        <v>124</v>
      </c>
      <c r="B175" s="178">
        <v>2</v>
      </c>
      <c r="C175" s="178"/>
      <c r="D175" s="178"/>
      <c r="E175" s="178"/>
      <c r="F175" s="178"/>
      <c r="G175" s="178"/>
      <c r="H175" s="178"/>
      <c r="I175" s="178"/>
      <c r="J175" s="178"/>
      <c r="K175" s="178"/>
    </row>
    <row r="176" spans="1:11">
      <c r="A176" s="178" t="s">
        <v>125</v>
      </c>
      <c r="B176" s="178">
        <v>2</v>
      </c>
      <c r="C176" s="178"/>
      <c r="D176" s="178"/>
      <c r="E176" s="178"/>
      <c r="F176" s="178"/>
      <c r="G176" s="178"/>
      <c r="H176" s="178"/>
      <c r="I176" s="178"/>
      <c r="J176" s="178"/>
      <c r="K176" s="178"/>
    </row>
    <row r="177" spans="1:11">
      <c r="A177" s="178" t="s">
        <v>126</v>
      </c>
      <c r="B177" s="178">
        <v>2</v>
      </c>
      <c r="C177" s="178"/>
      <c r="D177" s="178"/>
      <c r="E177" s="178"/>
      <c r="F177" s="178"/>
      <c r="G177" s="178"/>
      <c r="H177" s="178"/>
      <c r="I177" s="178"/>
      <c r="J177" s="178"/>
      <c r="K177" s="178"/>
    </row>
    <row r="178" spans="1:11">
      <c r="A178" s="178" t="s">
        <v>127</v>
      </c>
      <c r="B178" s="178">
        <v>2</v>
      </c>
      <c r="C178" s="178"/>
      <c r="D178" s="178"/>
      <c r="E178" s="178"/>
      <c r="F178" s="178"/>
      <c r="G178" s="178"/>
      <c r="H178" s="178"/>
      <c r="I178" s="178"/>
      <c r="J178" s="178"/>
      <c r="K178" s="178"/>
    </row>
    <row r="179" spans="1:11">
      <c r="A179" s="178" t="s">
        <v>128</v>
      </c>
      <c r="B179" s="178">
        <v>2</v>
      </c>
      <c r="C179" s="178"/>
      <c r="D179" s="178"/>
      <c r="E179" s="178"/>
      <c r="F179" s="178"/>
      <c r="G179" s="178"/>
      <c r="H179" s="178"/>
      <c r="I179" s="178"/>
      <c r="J179" s="178"/>
      <c r="K179" s="178"/>
    </row>
    <row r="180" spans="1:11">
      <c r="A180" s="178" t="s">
        <v>129</v>
      </c>
      <c r="B180" s="178">
        <v>5</v>
      </c>
      <c r="C180" s="178"/>
      <c r="D180" s="178"/>
      <c r="E180" s="178"/>
      <c r="F180" s="178"/>
      <c r="G180" s="178"/>
      <c r="H180" s="178"/>
      <c r="I180" s="178"/>
      <c r="J180" s="178"/>
      <c r="K180" s="178"/>
    </row>
    <row r="181" spans="1:11">
      <c r="A181" s="178" t="s">
        <v>130</v>
      </c>
      <c r="B181" s="178">
        <v>5</v>
      </c>
      <c r="C181" s="178"/>
      <c r="D181" s="178"/>
      <c r="E181" s="178"/>
      <c r="F181" s="178"/>
      <c r="G181" s="178"/>
      <c r="H181" s="178"/>
      <c r="I181" s="178"/>
      <c r="J181" s="178"/>
      <c r="K181" s="178"/>
    </row>
    <row r="182" spans="1:11">
      <c r="A182" s="178" t="s">
        <v>131</v>
      </c>
      <c r="B182" s="178">
        <v>3</v>
      </c>
      <c r="C182" s="178"/>
      <c r="D182" s="178"/>
      <c r="E182" s="178"/>
      <c r="F182" s="178"/>
      <c r="G182" s="178"/>
      <c r="H182" s="178"/>
      <c r="I182" s="178"/>
      <c r="J182" s="178"/>
      <c r="K182" s="178"/>
    </row>
    <row r="183" spans="1:11">
      <c r="A183" s="178" t="s">
        <v>132</v>
      </c>
      <c r="B183" s="178">
        <v>5</v>
      </c>
      <c r="C183" s="178"/>
      <c r="D183" s="178"/>
      <c r="E183" s="178"/>
      <c r="F183" s="178"/>
      <c r="G183" s="178"/>
      <c r="H183" s="178"/>
      <c r="I183" s="178"/>
      <c r="J183" s="178"/>
      <c r="K183" s="178"/>
    </row>
    <row r="184" spans="1:11">
      <c r="A184" s="178" t="s">
        <v>133</v>
      </c>
      <c r="B184" s="178">
        <v>5</v>
      </c>
      <c r="C184" s="178"/>
      <c r="D184" s="178"/>
      <c r="E184" s="178"/>
      <c r="F184" s="178"/>
      <c r="G184" s="178"/>
      <c r="H184" s="178"/>
      <c r="I184" s="178"/>
      <c r="J184" s="178"/>
      <c r="K184" s="178"/>
    </row>
    <row r="185" spans="1:11">
      <c r="A185" s="178" t="s">
        <v>134</v>
      </c>
      <c r="B185" s="178">
        <v>10</v>
      </c>
      <c r="C185" s="178"/>
      <c r="D185" s="178"/>
      <c r="E185" s="178"/>
      <c r="F185" s="178"/>
      <c r="G185" s="178"/>
      <c r="H185" s="178"/>
      <c r="I185" s="178"/>
      <c r="J185" s="178"/>
      <c r="K185" s="178"/>
    </row>
    <row r="186" spans="1:11">
      <c r="A186" s="178" t="s">
        <v>135</v>
      </c>
      <c r="B186" s="178">
        <v>5</v>
      </c>
      <c r="C186" s="178"/>
      <c r="D186" s="178"/>
      <c r="E186" s="178"/>
      <c r="F186" s="178"/>
      <c r="G186" s="178"/>
      <c r="H186" s="178"/>
      <c r="I186" s="178"/>
      <c r="J186" s="178"/>
      <c r="K186" s="178"/>
    </row>
    <row r="187" spans="1:11">
      <c r="A187" s="178" t="s">
        <v>136</v>
      </c>
      <c r="B187" s="178">
        <v>5</v>
      </c>
      <c r="C187" s="178"/>
      <c r="D187" s="178"/>
      <c r="E187" s="178"/>
      <c r="F187" s="178"/>
      <c r="G187" s="178"/>
      <c r="H187" s="178"/>
      <c r="I187" s="178"/>
      <c r="J187" s="178"/>
      <c r="K187" s="178"/>
    </row>
    <row r="188" spans="1:11">
      <c r="A188" s="178" t="s">
        <v>137</v>
      </c>
      <c r="B188" s="178">
        <v>2</v>
      </c>
      <c r="C188" s="178"/>
      <c r="D188" s="178"/>
      <c r="E188" s="178"/>
      <c r="F188" s="178"/>
      <c r="G188" s="178"/>
      <c r="H188" s="178"/>
      <c r="I188" s="178"/>
      <c r="J188" s="178"/>
      <c r="K188" s="178"/>
    </row>
    <row r="189" spans="1:11">
      <c r="A189" s="178" t="s">
        <v>138</v>
      </c>
      <c r="B189" s="178">
        <v>5</v>
      </c>
      <c r="C189" s="178"/>
      <c r="D189" s="178"/>
      <c r="E189" s="178"/>
      <c r="F189" s="178"/>
      <c r="G189" s="178"/>
      <c r="H189" s="178"/>
      <c r="I189" s="178"/>
      <c r="J189" s="178"/>
      <c r="K189" s="178"/>
    </row>
    <row r="190" spans="1:11">
      <c r="A190" s="178" t="s">
        <v>139</v>
      </c>
      <c r="B190" s="178">
        <v>5</v>
      </c>
      <c r="C190" s="178"/>
      <c r="D190" s="178"/>
      <c r="E190" s="178"/>
      <c r="F190" s="178"/>
      <c r="G190" s="178"/>
      <c r="H190" s="178"/>
      <c r="I190" s="178"/>
      <c r="J190" s="178"/>
      <c r="K190" s="178"/>
    </row>
    <row r="191" spans="1:11">
      <c r="A191" s="178" t="s">
        <v>140</v>
      </c>
      <c r="B191" s="178">
        <v>3</v>
      </c>
      <c r="C191" s="178"/>
      <c r="D191" s="178"/>
      <c r="E191" s="178"/>
      <c r="F191" s="178"/>
      <c r="G191" s="178"/>
      <c r="H191" s="178"/>
      <c r="I191" s="178"/>
      <c r="J191" s="178"/>
      <c r="K191" s="178"/>
    </row>
    <row r="192" spans="1:11">
      <c r="A192" s="178" t="s">
        <v>141</v>
      </c>
      <c r="B192" s="178">
        <v>5</v>
      </c>
      <c r="C192" s="178"/>
      <c r="D192" s="178"/>
      <c r="E192" s="178"/>
      <c r="F192" s="178"/>
      <c r="G192" s="178"/>
      <c r="H192" s="178"/>
      <c r="I192" s="178"/>
      <c r="J192" s="178"/>
      <c r="K192" s="178"/>
    </row>
    <row r="193" spans="1:11">
      <c r="A193" s="178" t="s">
        <v>142</v>
      </c>
      <c r="B193" s="178">
        <v>10</v>
      </c>
      <c r="C193" s="178"/>
      <c r="D193" s="178"/>
      <c r="E193" s="178"/>
      <c r="F193" s="178"/>
      <c r="G193" s="178"/>
      <c r="H193" s="178"/>
      <c r="I193" s="178"/>
      <c r="J193" s="178"/>
      <c r="K193" s="178"/>
    </row>
    <row r="194" spans="1:11">
      <c r="A194" s="178" t="s">
        <v>143</v>
      </c>
      <c r="B194" s="178">
        <v>10</v>
      </c>
      <c r="C194" s="178"/>
      <c r="D194" s="178"/>
      <c r="E194" s="178"/>
      <c r="F194" s="178"/>
      <c r="G194" s="178"/>
      <c r="H194" s="178"/>
      <c r="I194" s="178"/>
      <c r="J194" s="178"/>
      <c r="K194" s="178"/>
    </row>
    <row r="195" spans="1:11">
      <c r="A195" s="178"/>
      <c r="B195" s="178"/>
      <c r="C195" s="178"/>
      <c r="D195" s="178"/>
      <c r="E195" s="178"/>
      <c r="F195" s="178"/>
      <c r="G195" s="178"/>
      <c r="H195" s="178"/>
      <c r="I195" s="178"/>
      <c r="J195" s="178"/>
      <c r="K195" s="178"/>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C54 E53 C9 C29</xm:sqref>
        </x14:dataValidation>
        <x14:dataValidation type="list" allowBlank="1" showInputMessage="1" showErrorMessage="1" xr:uid="{CD73F680-A90E-4B50-9912-810E4742ED96}">
          <x14:formula1>
            <xm:f>Readme!$A$34:$A$35</xm:f>
          </x14:formula1>
          <xm:sqref>C20</xm:sqref>
        </x14:dataValidation>
        <x14:dataValidation type="list" allowBlank="1" showInputMessage="1" showErrorMessage="1" xr:uid="{00000000-0002-0000-0000-000000000000}">
          <x14:formula1>
            <xm:f>Readme!$C$29:$C$30</xm:f>
          </x14:formula1>
          <xm:sqref>C8</xm:sqref>
        </x14:dataValidation>
        <x14:dataValidation type="list" allowBlank="1" showInputMessage="1" showErrorMessage="1" xr:uid="{00000000-0002-0000-0000-000005000000}">
          <x14:formula1>
            <xm:f>Readme!$C$43:$C$50</xm:f>
          </x14:formula1>
          <xm:sqref>G9</xm:sqref>
        </x14:dataValidation>
        <x14:dataValidation type="list" allowBlank="1" showInputMessage="1" showErrorMessage="1" xr:uid="{00000000-0002-0000-0000-000002000000}">
          <x14:formula1>
            <xm:f>Readme!$E$29:$E$125</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tabSelected="1" workbookViewId="0">
      <selection activeCell="E14" sqref="E14"/>
    </sheetView>
  </sheetViews>
  <sheetFormatPr defaultRowHeight="15.75"/>
  <cols>
    <col min="1" max="1" width="7.375" style="120" customWidth="1"/>
    <col min="2" max="2" width="72.375" style="117" customWidth="1"/>
    <col min="3" max="3" width="14.125" style="117" customWidth="1"/>
    <col min="4" max="5" width="16.625" style="117" customWidth="1"/>
    <col min="6" max="6" width="14.625" style="117" customWidth="1"/>
    <col min="7" max="7" width="80.625" style="117" customWidth="1"/>
    <col min="8" max="10" width="16.625" style="117" customWidth="1"/>
    <col min="11" max="16384" width="9" style="117"/>
  </cols>
  <sheetData>
    <row r="1" spans="1:7">
      <c r="A1" s="163" t="s">
        <v>366</v>
      </c>
      <c r="B1" s="147"/>
    </row>
    <row r="3" spans="1:7">
      <c r="B3" s="21" t="s">
        <v>407</v>
      </c>
      <c r="D3" s="120" t="s">
        <v>409</v>
      </c>
      <c r="E3" s="120" t="s">
        <v>375</v>
      </c>
      <c r="F3" s="125" t="s">
        <v>410</v>
      </c>
    </row>
    <row r="4" spans="1:7">
      <c r="B4" s="117" t="s">
        <v>565</v>
      </c>
      <c r="D4" s="29">
        <f>IF(D38&lt;&gt;"",D38,E42)</f>
        <v>0.14000000000000001</v>
      </c>
      <c r="E4" s="29">
        <f>IF(D22&lt;&gt;"",D22,E26)</f>
        <v>0.18</v>
      </c>
      <c r="F4" s="29">
        <f>IF(D53&lt;&gt;"",D53,E57)</f>
        <v>0.22</v>
      </c>
    </row>
    <row r="5" spans="1:7">
      <c r="B5" s="117" t="s">
        <v>411</v>
      </c>
      <c r="D5" s="29">
        <f ca="1">IF(D39&lt;&gt;"",D39,D43)</f>
        <v>0.90405347746572307</v>
      </c>
      <c r="E5" s="29">
        <f ca="1">IF(D23&lt;&gt;"",D23,D27)</f>
        <v>1.1623544710273581</v>
      </c>
      <c r="F5" s="29">
        <f ca="1">IF(D54&lt;&gt;"",D54,D58)</f>
        <v>1.4206554645889933</v>
      </c>
    </row>
    <row r="6" spans="1:7">
      <c r="B6" s="117" t="s">
        <v>541</v>
      </c>
      <c r="D6" s="29">
        <f>D47</f>
        <v>0.3680219085738361</v>
      </c>
      <c r="E6" s="29">
        <f>D31</f>
        <v>0.3680219085738361</v>
      </c>
      <c r="F6" s="29">
        <f>D62</f>
        <v>0.3680219085738361</v>
      </c>
    </row>
    <row r="7" spans="1:7">
      <c r="B7" s="117" t="s">
        <v>355</v>
      </c>
      <c r="D7" s="148">
        <v>5</v>
      </c>
      <c r="E7" s="121">
        <f>Scenarios!D111</f>
        <v>7</v>
      </c>
      <c r="F7" s="148">
        <v>9</v>
      </c>
    </row>
    <row r="9" spans="1:7">
      <c r="B9" s="117" t="s">
        <v>507</v>
      </c>
      <c r="D9" s="29">
        <f ca="1">Bear_ROC-WACC_CAP</f>
        <v>4.9372286198387294E-2</v>
      </c>
      <c r="E9" s="29">
        <f ca="1">Base_ROC-WACC_CAP</f>
        <v>6.4858095775985863E-2</v>
      </c>
      <c r="F9" s="29">
        <f ca="1">Bull_ROC-WACC_CAP</f>
        <v>8.0343905353584461E-2</v>
      </c>
    </row>
    <row r="10" spans="1:7">
      <c r="B10" s="112" t="s">
        <v>540</v>
      </c>
      <c r="D10" s="29">
        <f>D46-Stable_WACC</f>
        <v>0</v>
      </c>
      <c r="E10" s="29">
        <f>D30-Stable_WACC</f>
        <v>0</v>
      </c>
      <c r="F10" s="29">
        <f>D61-Stable_WACC</f>
        <v>0</v>
      </c>
    </row>
    <row r="12" spans="1:7">
      <c r="B12" s="254" t="s">
        <v>408</v>
      </c>
      <c r="D12" s="141">
        <f>(1-E12)/2</f>
        <v>0.19444444444444442</v>
      </c>
      <c r="E12" s="29">
        <f>AVERAGE(F27,E31,E111)</f>
        <v>0.61111111111111116</v>
      </c>
      <c r="F12" s="29">
        <f>1-E12-D12</f>
        <v>0.19444444444444442</v>
      </c>
      <c r="G12" s="122"/>
    </row>
    <row r="13" spans="1:7">
      <c r="B13" s="251" t="s">
        <v>535</v>
      </c>
      <c r="D13" s="190">
        <f ca="1">'Bear Model'!E42</f>
        <v>151.19442673287003</v>
      </c>
      <c r="E13" s="127">
        <f ca="1">IF(Price_Currency&lt;&gt;CF_Currency,'Base Model'!E42,'Base Model'!E41)</f>
        <v>181.88657513849091</v>
      </c>
      <c r="F13" s="190">
        <f ca="1">'Bull Model'!E42</f>
        <v>236.33611325656187</v>
      </c>
      <c r="G13" s="122"/>
    </row>
    <row r="14" spans="1:7" ht="16.5" thickBot="1">
      <c r="B14" s="252" t="s">
        <v>531</v>
      </c>
      <c r="D14" s="318">
        <f ca="1">E14/Current_Price-1</f>
        <v>-0.16960789143998911</v>
      </c>
      <c r="E14" s="253">
        <f ca="1">E12*E13+D12*D13+F12*F13</f>
        <v>186.50606758257845</v>
      </c>
      <c r="F14" s="107"/>
      <c r="G14" s="122"/>
    </row>
    <row r="15" spans="1:7" ht="16.5" thickTop="1"/>
    <row r="16" spans="1:7">
      <c r="A16" s="94">
        <v>1</v>
      </c>
      <c r="B16" s="21" t="s">
        <v>549</v>
      </c>
    </row>
    <row r="17" spans="1:6">
      <c r="B17" s="117" t="s">
        <v>548</v>
      </c>
      <c r="D17" s="224">
        <f>Riskfree_rate</f>
        <v>1.7469999999999999E-2</v>
      </c>
    </row>
    <row r="19" spans="1:6">
      <c r="A19" s="219" t="s">
        <v>566</v>
      </c>
      <c r="B19" s="256" t="s">
        <v>505</v>
      </c>
    </row>
    <row r="20" spans="1:6">
      <c r="A20" s="219"/>
      <c r="B20" s="220" t="s">
        <v>537</v>
      </c>
    </row>
    <row r="21" spans="1:6">
      <c r="A21" s="219"/>
      <c r="B21" s="15" t="s">
        <v>560</v>
      </c>
    </row>
    <row r="22" spans="1:6">
      <c r="A22" s="219"/>
      <c r="B22" s="117" t="s">
        <v>563</v>
      </c>
      <c r="C22" s="114" t="str">
        <f>IF(AND($D$22&lt;&gt;"",$D$23&lt;&gt;""),"Error, pick 1 only","")</f>
        <v/>
      </c>
      <c r="D22" s="141">
        <v>0.18</v>
      </c>
    </row>
    <row r="23" spans="1:6">
      <c r="A23" s="219"/>
      <c r="B23" s="117" t="s">
        <v>564</v>
      </c>
      <c r="C23" s="114" t="str">
        <f>IF(AND($D$22&lt;&gt;"",$D$23&lt;&gt;""),"Error, pick 1 only","")</f>
        <v/>
      </c>
      <c r="D23" s="141"/>
    </row>
    <row r="24" spans="1:6">
      <c r="B24" s="271"/>
    </row>
    <row r="25" spans="1:6">
      <c r="B25" s="15" t="s">
        <v>561</v>
      </c>
      <c r="D25" s="272" t="s">
        <v>558</v>
      </c>
      <c r="E25" s="272" t="s">
        <v>559</v>
      </c>
    </row>
    <row r="26" spans="1:6">
      <c r="B26" s="216" t="s">
        <v>562</v>
      </c>
      <c r="D26" s="29">
        <f>IF(D22&lt;&gt;"",D22,"")</f>
        <v>0.18</v>
      </c>
      <c r="E26" s="29" t="str">
        <f>IF(D23&lt;&gt;"",Base_ROC*D23,"")</f>
        <v/>
      </c>
      <c r="F26" s="303" t="s">
        <v>588</v>
      </c>
    </row>
    <row r="27" spans="1:6" ht="16.5" thickBot="1">
      <c r="B27" s="270" t="s">
        <v>193</v>
      </c>
      <c r="D27" s="29">
        <f ca="1">IF(D22&lt;&gt;"",D22/Base_ROC,"")</f>
        <v>1.1623544710273581</v>
      </c>
      <c r="E27" s="29" t="str">
        <f>IF(D23&lt;&gt;"",D23,"")</f>
        <v/>
      </c>
      <c r="F27" s="149">
        <v>0.5</v>
      </c>
    </row>
    <row r="28" spans="1:6" ht="16.5" thickTop="1">
      <c r="A28" s="219"/>
      <c r="B28" s="271"/>
    </row>
    <row r="29" spans="1:6">
      <c r="A29" s="94"/>
      <c r="B29" s="220" t="s">
        <v>200</v>
      </c>
      <c r="D29" s="160"/>
      <c r="E29" s="160"/>
    </row>
    <row r="30" spans="1:6">
      <c r="B30" s="117" t="s">
        <v>538</v>
      </c>
      <c r="D30" s="224">
        <f>WACC_Stable</f>
        <v>4.7469999999999998E-2</v>
      </c>
      <c r="E30" s="94" t="s">
        <v>588</v>
      </c>
    </row>
    <row r="31" spans="1:6" ht="16.5" thickBot="1">
      <c r="A31" s="94"/>
      <c r="B31" s="15" t="s">
        <v>539</v>
      </c>
      <c r="D31" s="30">
        <f>Terminal_Ebit_g/D30</f>
        <v>0.3680219085738361</v>
      </c>
      <c r="E31" s="149">
        <v>0.66666666666666674</v>
      </c>
    </row>
    <row r="32" spans="1:6" ht="16.5" thickTop="1">
      <c r="A32" s="94"/>
    </row>
    <row r="33" spans="1:6">
      <c r="A33" s="219" t="s">
        <v>568</v>
      </c>
      <c r="B33" s="256" t="s">
        <v>404</v>
      </c>
    </row>
    <row r="34" spans="1:6">
      <c r="A34" s="94"/>
      <c r="B34" s="220" t="s">
        <v>537</v>
      </c>
      <c r="D34" s="107"/>
    </row>
    <row r="35" spans="1:6">
      <c r="A35" s="94"/>
      <c r="B35" s="320" t="s">
        <v>532</v>
      </c>
      <c r="C35" s="320"/>
      <c r="D35" s="320"/>
    </row>
    <row r="36" spans="1:6">
      <c r="A36" s="94"/>
      <c r="B36" s="320"/>
      <c r="C36" s="320"/>
      <c r="D36" s="320"/>
    </row>
    <row r="37" spans="1:6">
      <c r="B37" s="15" t="s">
        <v>560</v>
      </c>
    </row>
    <row r="38" spans="1:6">
      <c r="B38" s="117" t="s">
        <v>563</v>
      </c>
      <c r="C38" s="114" t="str">
        <f>IF(AND($D$38&lt;&gt;"",$D$39&lt;&gt;""),"Error, pick 1 only","")</f>
        <v/>
      </c>
      <c r="D38" s="141">
        <v>0.14000000000000001</v>
      </c>
    </row>
    <row r="39" spans="1:6">
      <c r="B39" s="117" t="s">
        <v>564</v>
      </c>
      <c r="C39" s="114" t="str">
        <f>IF(AND($D$38&lt;&gt;"",$D$39&lt;&gt;""),"Error, pick 1 only","")</f>
        <v/>
      </c>
      <c r="D39" s="141"/>
    </row>
    <row r="41" spans="1:6">
      <c r="A41" s="94"/>
      <c r="B41" s="15" t="s">
        <v>561</v>
      </c>
      <c r="D41" s="272" t="s">
        <v>558</v>
      </c>
      <c r="E41" s="272" t="s">
        <v>559</v>
      </c>
      <c r="F41" s="112"/>
    </row>
    <row r="42" spans="1:6">
      <c r="A42" s="94"/>
      <c r="B42" s="216" t="s">
        <v>562</v>
      </c>
      <c r="D42" s="29">
        <f>IF(D38&lt;&gt;"",D38,"")</f>
        <v>0.14000000000000001</v>
      </c>
      <c r="E42" s="29" t="str">
        <f>IF(D39&lt;&gt;"",Base_ROC*D39,"")</f>
        <v/>
      </c>
      <c r="F42" s="112"/>
    </row>
    <row r="43" spans="1:6">
      <c r="B43" s="270" t="s">
        <v>193</v>
      </c>
      <c r="D43" s="29">
        <f ca="1">IF(D38&lt;&gt;"",D38/Base_ROC,"")</f>
        <v>0.90405347746572307</v>
      </c>
      <c r="E43" s="29" t="str">
        <f>IF(D39&lt;&gt;"",D39,"")</f>
        <v/>
      </c>
      <c r="F43" s="107"/>
    </row>
    <row r="44" spans="1:6">
      <c r="A44" s="94"/>
      <c r="F44" s="112"/>
    </row>
    <row r="45" spans="1:6">
      <c r="A45" s="94"/>
      <c r="B45" s="220" t="s">
        <v>200</v>
      </c>
      <c r="D45" s="160"/>
      <c r="E45" s="160"/>
      <c r="F45" s="112"/>
    </row>
    <row r="46" spans="1:6">
      <c r="A46" s="94"/>
      <c r="B46" s="117" t="s">
        <v>538</v>
      </c>
      <c r="D46" s="224">
        <f>WACC!C18</f>
        <v>4.7469999999999998E-2</v>
      </c>
      <c r="F46" s="231"/>
    </row>
    <row r="47" spans="1:6" ht="16.5" thickBot="1">
      <c r="A47" s="94"/>
      <c r="B47" s="15" t="s">
        <v>539</v>
      </c>
      <c r="D47" s="30">
        <f>Terminal_Ebit_g/D46</f>
        <v>0.3680219085738361</v>
      </c>
      <c r="F47" s="107"/>
    </row>
    <row r="48" spans="1:6" ht="16.5" thickTop="1">
      <c r="E48" s="112"/>
      <c r="F48" s="112"/>
    </row>
    <row r="49" spans="1:6">
      <c r="A49" s="219" t="s">
        <v>567</v>
      </c>
      <c r="B49" s="222" t="s">
        <v>406</v>
      </c>
      <c r="F49" s="112"/>
    </row>
    <row r="50" spans="1:6">
      <c r="B50" s="320" t="s">
        <v>533</v>
      </c>
      <c r="C50" s="320"/>
      <c r="D50" s="320"/>
      <c r="F50" s="112"/>
    </row>
    <row r="51" spans="1:6">
      <c r="A51" s="223"/>
      <c r="B51" s="320"/>
      <c r="C51" s="320"/>
      <c r="D51" s="320"/>
      <c r="F51" s="112"/>
    </row>
    <row r="52" spans="1:6">
      <c r="B52" s="15" t="s">
        <v>560</v>
      </c>
      <c r="F52" s="112"/>
    </row>
    <row r="53" spans="1:6">
      <c r="B53" s="117" t="s">
        <v>563</v>
      </c>
      <c r="C53" s="114" t="str">
        <f>IF(AND($D$53&lt;&gt;"",$D$54&lt;&gt;""),"Error, pick 1 only","")</f>
        <v/>
      </c>
      <c r="D53" s="141">
        <v>0.22</v>
      </c>
      <c r="F53" s="112"/>
    </row>
    <row r="54" spans="1:6">
      <c r="B54" s="117" t="s">
        <v>564</v>
      </c>
      <c r="C54" s="114" t="str">
        <f>IF(AND($D$53&lt;&gt;"",$D$54&lt;&gt;""),"Error, pick 1 only","")</f>
        <v/>
      </c>
      <c r="D54" s="141"/>
      <c r="F54" s="112"/>
    </row>
    <row r="55" spans="1:6">
      <c r="F55" s="112"/>
    </row>
    <row r="56" spans="1:6">
      <c r="B56" s="15" t="s">
        <v>561</v>
      </c>
      <c r="D56" s="272" t="s">
        <v>558</v>
      </c>
      <c r="E56" s="272" t="s">
        <v>559</v>
      </c>
      <c r="F56" s="112"/>
    </row>
    <row r="57" spans="1:6">
      <c r="B57" s="216" t="s">
        <v>562</v>
      </c>
      <c r="D57" s="29">
        <f>IF(D53&lt;&gt;"",D53,"")</f>
        <v>0.22</v>
      </c>
      <c r="E57" s="29" t="str">
        <f>IF(D54&lt;&gt;"",Base_ROC*D54,"")</f>
        <v/>
      </c>
      <c r="F57" s="112"/>
    </row>
    <row r="58" spans="1:6">
      <c r="A58" s="94"/>
      <c r="B58" s="270" t="s">
        <v>193</v>
      </c>
      <c r="D58" s="29">
        <f ca="1">IF(D53&lt;&gt;"",D53/Base_ROC,"")</f>
        <v>1.4206554645889933</v>
      </c>
      <c r="E58" s="29" t="str">
        <f>IF(D54&lt;&gt;"",D54,"")</f>
        <v/>
      </c>
      <c r="F58" s="107"/>
    </row>
    <row r="59" spans="1:6">
      <c r="A59" s="218"/>
      <c r="F59" s="112"/>
    </row>
    <row r="60" spans="1:6">
      <c r="A60" s="94"/>
      <c r="B60" s="220" t="s">
        <v>200</v>
      </c>
      <c r="C60" s="160"/>
      <c r="D60" s="160"/>
      <c r="F60" s="112"/>
    </row>
    <row r="61" spans="1:6">
      <c r="A61" s="94"/>
      <c r="B61" s="117" t="s">
        <v>538</v>
      </c>
      <c r="C61" s="114"/>
      <c r="D61" s="224">
        <f>WACC_Stable</f>
        <v>4.7469999999999998E-2</v>
      </c>
      <c r="F61" s="231"/>
    </row>
    <row r="62" spans="1:6" ht="16.5" thickBot="1">
      <c r="A62" s="94"/>
      <c r="B62" s="15" t="s">
        <v>539</v>
      </c>
      <c r="D62" s="30">
        <f>Terminal_Ebit_g/D61</f>
        <v>0.3680219085738361</v>
      </c>
      <c r="F62" s="107"/>
    </row>
    <row r="63" spans="1:6" ht="16.5" thickTop="1">
      <c r="F63" s="112"/>
    </row>
    <row r="64" spans="1:6">
      <c r="A64" s="94">
        <v>3</v>
      </c>
      <c r="B64" s="21" t="s">
        <v>402</v>
      </c>
      <c r="F64" s="112"/>
    </row>
    <row r="65" spans="1:6">
      <c r="A65" s="94"/>
      <c r="B65" s="117" t="s">
        <v>356</v>
      </c>
    </row>
    <row r="66" spans="1:6">
      <c r="A66" s="94"/>
      <c r="B66" s="118" t="s">
        <v>455</v>
      </c>
      <c r="E66" s="231"/>
    </row>
    <row r="67" spans="1:6">
      <c r="A67" s="117"/>
      <c r="B67" s="15" t="s">
        <v>456</v>
      </c>
      <c r="C67" s="225">
        <f>(SUM(C68:C74)/28)</f>
        <v>0.21428571428571427</v>
      </c>
      <c r="D67" s="123" t="str">
        <f>IF(C67&gt;80%,"Very High",IF(C67&gt;60%,"High",IF(C67&gt;40%,"Medium",IF(C67&gt;20%,"Low","Very Low"))))</f>
        <v>Low</v>
      </c>
      <c r="E67" s="107"/>
    </row>
    <row r="68" spans="1:6">
      <c r="A68" s="117"/>
      <c r="B68" s="117" t="s">
        <v>457</v>
      </c>
      <c r="C68" s="226">
        <f t="shared" ref="C68:C74" si="0">IF(D68="Strongly agree",4,IF(D68="agree",3,IF(D68="disagree",1,IF(D68="Strongly disagree",0,2))))</f>
        <v>0</v>
      </c>
      <c r="D68" s="159" t="s">
        <v>458</v>
      </c>
      <c r="E68" s="112"/>
    </row>
    <row r="69" spans="1:6">
      <c r="A69" s="117"/>
      <c r="B69" s="117" t="s">
        <v>459</v>
      </c>
      <c r="C69" s="226">
        <f t="shared" si="0"/>
        <v>0</v>
      </c>
      <c r="D69" s="159" t="s">
        <v>458</v>
      </c>
      <c r="E69" s="112"/>
    </row>
    <row r="70" spans="1:6">
      <c r="A70" s="117"/>
      <c r="B70" s="117" t="s">
        <v>461</v>
      </c>
      <c r="C70" s="226">
        <f t="shared" si="0"/>
        <v>2</v>
      </c>
      <c r="D70" s="159" t="s">
        <v>469</v>
      </c>
      <c r="E70" s="112"/>
    </row>
    <row r="71" spans="1:6">
      <c r="A71" s="117"/>
      <c r="B71" s="117" t="s">
        <v>462</v>
      </c>
      <c r="C71" s="226">
        <f t="shared" si="0"/>
        <v>1</v>
      </c>
      <c r="D71" s="159" t="s">
        <v>325</v>
      </c>
      <c r="E71" s="112"/>
    </row>
    <row r="72" spans="1:6">
      <c r="A72" s="117"/>
      <c r="B72" s="117" t="s">
        <v>463</v>
      </c>
      <c r="C72" s="226">
        <f t="shared" si="0"/>
        <v>0</v>
      </c>
      <c r="D72" s="159" t="s">
        <v>458</v>
      </c>
      <c r="E72" s="112"/>
    </row>
    <row r="73" spans="1:6">
      <c r="A73" s="117"/>
      <c r="B73" s="117" t="s">
        <v>464</v>
      </c>
      <c r="C73" s="226">
        <f t="shared" si="0"/>
        <v>1</v>
      </c>
      <c r="D73" s="159" t="s">
        <v>325</v>
      </c>
      <c r="E73" s="112"/>
    </row>
    <row r="74" spans="1:6">
      <c r="A74" s="117"/>
      <c r="B74" s="117" t="s">
        <v>465</v>
      </c>
      <c r="C74" s="226">
        <f t="shared" si="0"/>
        <v>2</v>
      </c>
      <c r="D74" s="159" t="s">
        <v>469</v>
      </c>
      <c r="E74" s="231"/>
      <c r="F74" s="231"/>
    </row>
    <row r="75" spans="1:6">
      <c r="A75" s="117"/>
      <c r="E75" s="231"/>
      <c r="F75" s="107"/>
    </row>
    <row r="76" spans="1:6">
      <c r="A76" s="117"/>
      <c r="B76" s="15" t="s">
        <v>466</v>
      </c>
      <c r="C76" s="225">
        <f>(SUM(C77:C82)/24)</f>
        <v>0.20833333333333334</v>
      </c>
      <c r="D76" s="123" t="str">
        <f>IF(C76&gt;80%,"Very High",IF(C76&gt;60%,"High",IF(C76&gt;40%,"Medium",IF(C76&gt;20%,"Low","Very Low"))))</f>
        <v>Low</v>
      </c>
      <c r="E76" s="107"/>
    </row>
    <row r="77" spans="1:6">
      <c r="A77" s="117"/>
      <c r="B77" s="117" t="s">
        <v>467</v>
      </c>
      <c r="C77" s="226">
        <f t="shared" ref="C77:C82" si="1">IF(D77="Strongly agree",4,IF(D77="agree",3,IF(D77="disagree",1,IF(D77="Strongly disagree",0,2))))</f>
        <v>0</v>
      </c>
      <c r="D77" s="159" t="s">
        <v>458</v>
      </c>
      <c r="E77" s="112"/>
    </row>
    <row r="78" spans="1:6">
      <c r="A78" s="117"/>
      <c r="B78" s="117" t="s">
        <v>468</v>
      </c>
      <c r="C78" s="226">
        <f t="shared" si="1"/>
        <v>0</v>
      </c>
      <c r="D78" s="159" t="s">
        <v>458</v>
      </c>
      <c r="E78" s="112"/>
    </row>
    <row r="79" spans="1:6">
      <c r="A79" s="94"/>
      <c r="B79" s="117" t="s">
        <v>470</v>
      </c>
      <c r="C79" s="226">
        <f t="shared" si="1"/>
        <v>1</v>
      </c>
      <c r="D79" s="159" t="s">
        <v>325</v>
      </c>
      <c r="E79" s="112"/>
    </row>
    <row r="80" spans="1:6">
      <c r="A80" s="117"/>
      <c r="B80" s="117" t="s">
        <v>471</v>
      </c>
      <c r="C80" s="226">
        <f t="shared" si="1"/>
        <v>0</v>
      </c>
      <c r="D80" s="159" t="s">
        <v>458</v>
      </c>
      <c r="E80" s="112"/>
    </row>
    <row r="81" spans="1:5">
      <c r="A81" s="117"/>
      <c r="B81" s="117" t="s">
        <v>472</v>
      </c>
      <c r="C81" s="226">
        <f t="shared" si="1"/>
        <v>4</v>
      </c>
      <c r="D81" s="159" t="s">
        <v>460</v>
      </c>
      <c r="E81" s="112"/>
    </row>
    <row r="82" spans="1:5">
      <c r="A82" s="117"/>
      <c r="B82" s="117" t="s">
        <v>473</v>
      </c>
      <c r="C82" s="226">
        <f t="shared" si="1"/>
        <v>0</v>
      </c>
      <c r="D82" s="159" t="s">
        <v>458</v>
      </c>
      <c r="E82" s="112"/>
    </row>
    <row r="83" spans="1:5">
      <c r="A83" s="117"/>
      <c r="E83" s="231"/>
    </row>
    <row r="84" spans="1:5">
      <c r="A84" s="117"/>
      <c r="B84" s="15" t="s">
        <v>474</v>
      </c>
      <c r="C84" s="225">
        <f>(SUM(C85:C92)/32)</f>
        <v>0.28125</v>
      </c>
      <c r="D84" s="123" t="str">
        <f>IF(C84&gt;80%,"Very High",IF(C84&gt;60%,"High",IF(C84&gt;40%,"Medium",IF(C84&gt;20%,"Low","Very Low"))))</f>
        <v>Low</v>
      </c>
      <c r="E84" s="107"/>
    </row>
    <row r="85" spans="1:5">
      <c r="A85" s="117"/>
      <c r="B85" s="117" t="s">
        <v>475</v>
      </c>
      <c r="C85" s="226">
        <f t="shared" ref="C85:C92" si="2">IF(D85="Strongly agree",4,IF(D85="agree",3,IF(D85="disagree",1,IF(D85="Strongly disagree",0,2))))</f>
        <v>0</v>
      </c>
      <c r="D85" s="159" t="s">
        <v>458</v>
      </c>
      <c r="E85" s="112"/>
    </row>
    <row r="86" spans="1:5">
      <c r="A86" s="117"/>
      <c r="B86" s="117" t="s">
        <v>476</v>
      </c>
      <c r="C86" s="226">
        <f t="shared" si="2"/>
        <v>0</v>
      </c>
      <c r="D86" s="159" t="s">
        <v>458</v>
      </c>
      <c r="E86" s="112"/>
    </row>
    <row r="87" spans="1:5">
      <c r="A87" s="117"/>
      <c r="B87" s="117" t="s">
        <v>477</v>
      </c>
      <c r="C87" s="226">
        <f t="shared" si="2"/>
        <v>1</v>
      </c>
      <c r="D87" s="159" t="s">
        <v>325</v>
      </c>
      <c r="E87" s="112"/>
    </row>
    <row r="88" spans="1:5">
      <c r="A88" s="117"/>
      <c r="B88" s="117" t="s">
        <v>478</v>
      </c>
      <c r="C88" s="226">
        <f t="shared" si="2"/>
        <v>0</v>
      </c>
      <c r="D88" s="159" t="s">
        <v>458</v>
      </c>
      <c r="E88" s="112"/>
    </row>
    <row r="89" spans="1:5">
      <c r="A89" s="117"/>
      <c r="B89" s="216" t="s">
        <v>479</v>
      </c>
      <c r="C89" s="226">
        <f t="shared" si="2"/>
        <v>0</v>
      </c>
      <c r="D89" s="159" t="s">
        <v>458</v>
      </c>
      <c r="E89" s="112"/>
    </row>
    <row r="90" spans="1:5">
      <c r="A90" s="117"/>
      <c r="B90" s="216" t="s">
        <v>480</v>
      </c>
      <c r="C90" s="226">
        <f t="shared" si="2"/>
        <v>0</v>
      </c>
      <c r="D90" s="159" t="s">
        <v>458</v>
      </c>
      <c r="E90" s="112"/>
    </row>
    <row r="91" spans="1:5">
      <c r="A91" s="117"/>
      <c r="B91" s="216" t="s">
        <v>481</v>
      </c>
      <c r="C91" s="226">
        <f t="shared" si="2"/>
        <v>4</v>
      </c>
      <c r="D91" s="159" t="s">
        <v>460</v>
      </c>
      <c r="E91" s="112"/>
    </row>
    <row r="92" spans="1:5">
      <c r="A92" s="117"/>
      <c r="B92" s="216" t="s">
        <v>482</v>
      </c>
      <c r="C92" s="226">
        <f t="shared" si="2"/>
        <v>4</v>
      </c>
      <c r="D92" s="159" t="s">
        <v>460</v>
      </c>
      <c r="E92" s="112"/>
    </row>
    <row r="93" spans="1:5">
      <c r="A93" s="117"/>
      <c r="E93" s="231"/>
    </row>
    <row r="94" spans="1:5">
      <c r="A94" s="117"/>
      <c r="B94" s="15" t="s">
        <v>483</v>
      </c>
      <c r="C94" s="225">
        <f>(SUM(C95:C97)/12)</f>
        <v>0.16666666666666666</v>
      </c>
      <c r="D94" s="123" t="str">
        <f>IF(C94&gt;80%,"Very High",IF(C94&gt;60%,"High",IF(C94&gt;40%,"Medium",IF(C94&gt;20%,"Low","Very Low"))))</f>
        <v>Very Low</v>
      </c>
      <c r="E94" s="107"/>
    </row>
    <row r="95" spans="1:5">
      <c r="A95" s="117"/>
      <c r="B95" s="117" t="s">
        <v>484</v>
      </c>
      <c r="C95" s="226">
        <f>IF(D95="Strongly agree",4,IF(D95="agree",3,IF(D95="disagree",1,IF(D95="Strongly disagree",0,2))))</f>
        <v>0</v>
      </c>
      <c r="D95" s="159" t="s">
        <v>458</v>
      </c>
      <c r="E95" s="112"/>
    </row>
    <row r="96" spans="1:5">
      <c r="A96" s="117"/>
      <c r="B96" s="117" t="s">
        <v>485</v>
      </c>
      <c r="C96" s="226">
        <f>IF(D96="Strongly agree",4,IF(D96="agree",3,IF(D96="disagree",1,IF(D96="Strongly disagree",0,2))))</f>
        <v>0</v>
      </c>
      <c r="D96" s="159" t="s">
        <v>458</v>
      </c>
      <c r="E96" s="112"/>
    </row>
    <row r="97" spans="1:5">
      <c r="A97" s="117"/>
      <c r="B97" s="117" t="s">
        <v>486</v>
      </c>
      <c r="C97" s="226">
        <f>IF(D97="Strongly agree",4,IF(D97="agree",3,IF(D97="disagree",1,IF(D97="Strongly disagree",0,2))))</f>
        <v>2</v>
      </c>
      <c r="D97" s="159" t="s">
        <v>469</v>
      </c>
      <c r="E97" s="112"/>
    </row>
    <row r="98" spans="1:5">
      <c r="A98" s="117"/>
      <c r="E98" s="231"/>
    </row>
    <row r="99" spans="1:5">
      <c r="A99" s="117"/>
      <c r="B99" s="15" t="s">
        <v>487</v>
      </c>
      <c r="C99" s="225">
        <f>(SUM(C100:C108)/36)</f>
        <v>0.44444444444444442</v>
      </c>
      <c r="D99" s="123" t="str">
        <f>IF(C99&gt;80%,"Very High",IF(C99&gt;60%,"High",IF(C99&gt;40%,"Medium",IF(C99&gt;20%,"Low","Very Low"))))</f>
        <v>Medium</v>
      </c>
      <c r="E99" s="107"/>
    </row>
    <row r="100" spans="1:5">
      <c r="A100" s="117"/>
      <c r="B100" s="117" t="s">
        <v>488</v>
      </c>
      <c r="C100" s="226">
        <f t="shared" ref="C100:C108" si="3">IF(D100="Strongly agree",4,IF(D100="agree",3,IF(D100="disagree",1,IF(D100="Strongly disagree",0,2))))</f>
        <v>3</v>
      </c>
      <c r="D100" s="159" t="s">
        <v>324</v>
      </c>
      <c r="E100" s="112"/>
    </row>
    <row r="101" spans="1:5">
      <c r="A101" s="117"/>
      <c r="B101" s="117" t="s">
        <v>489</v>
      </c>
      <c r="C101" s="226">
        <f t="shared" si="3"/>
        <v>0</v>
      </c>
      <c r="D101" s="159" t="s">
        <v>458</v>
      </c>
      <c r="E101" s="112"/>
    </row>
    <row r="102" spans="1:5">
      <c r="A102" s="117"/>
      <c r="B102" s="117" t="s">
        <v>490</v>
      </c>
      <c r="C102" s="226">
        <f t="shared" si="3"/>
        <v>3</v>
      </c>
      <c r="D102" s="159" t="s">
        <v>324</v>
      </c>
      <c r="E102" s="112"/>
    </row>
    <row r="103" spans="1:5">
      <c r="A103" s="117"/>
      <c r="B103" s="117" t="s">
        <v>491</v>
      </c>
      <c r="C103" s="226">
        <f t="shared" si="3"/>
        <v>3</v>
      </c>
      <c r="D103" s="159" t="s">
        <v>324</v>
      </c>
    </row>
    <row r="104" spans="1:5">
      <c r="A104" s="117"/>
      <c r="B104" s="117" t="s">
        <v>492</v>
      </c>
      <c r="C104" s="226">
        <f t="shared" si="3"/>
        <v>2</v>
      </c>
      <c r="D104" s="159" t="s">
        <v>469</v>
      </c>
    </row>
    <row r="105" spans="1:5">
      <c r="A105" s="117"/>
      <c r="B105" s="217" t="s">
        <v>493</v>
      </c>
      <c r="C105" s="226">
        <f t="shared" si="3"/>
        <v>1</v>
      </c>
      <c r="D105" s="159" t="s">
        <v>325</v>
      </c>
    </row>
    <row r="106" spans="1:5">
      <c r="A106" s="117"/>
      <c r="B106" s="117" t="s">
        <v>494</v>
      </c>
      <c r="C106" s="226">
        <f t="shared" si="3"/>
        <v>4</v>
      </c>
      <c r="D106" s="159" t="s">
        <v>460</v>
      </c>
    </row>
    <row r="107" spans="1:5">
      <c r="A107" s="117"/>
      <c r="B107" s="117" t="s">
        <v>495</v>
      </c>
      <c r="C107" s="226">
        <f t="shared" si="3"/>
        <v>0</v>
      </c>
      <c r="D107" s="159" t="s">
        <v>458</v>
      </c>
    </row>
    <row r="108" spans="1:5">
      <c r="A108" s="117"/>
      <c r="B108" s="117" t="s">
        <v>496</v>
      </c>
      <c r="C108" s="226">
        <f t="shared" si="3"/>
        <v>0</v>
      </c>
      <c r="D108" s="159" t="s">
        <v>458</v>
      </c>
    </row>
    <row r="109" spans="1:5">
      <c r="A109" s="117"/>
    </row>
    <row r="110" spans="1:5">
      <c r="A110" s="94"/>
      <c r="B110" s="15" t="s">
        <v>497</v>
      </c>
      <c r="C110" s="225">
        <f>AVERAGE(C76,C84,C94,C67,C99)</f>
        <v>0.2629960317460317</v>
      </c>
      <c r="D110" s="123" t="str">
        <f>IF(C110&gt;80%,"Very High",IF(C110&gt;60%,"High",IF(C110&gt;40%,"Medium",IF(C110&gt;20%,"Low","Very Low"))))</f>
        <v>Low</v>
      </c>
      <c r="E110" s="94" t="s">
        <v>588</v>
      </c>
    </row>
    <row r="111" spans="1:5" ht="16.5" thickBot="1">
      <c r="A111" s="94"/>
      <c r="B111" s="117" t="s">
        <v>357</v>
      </c>
      <c r="D111" s="123">
        <f>ROUND((1-C110)*10,0)</f>
        <v>7</v>
      </c>
      <c r="E111" s="149">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topLeftCell="A31" zoomScale="111" workbookViewId="0">
      <selection activeCell="C14" sqref="C14"/>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41" t="s">
        <v>405</v>
      </c>
      <c r="B1" s="242"/>
    </row>
    <row r="3" spans="1:6" ht="15" customHeight="1">
      <c r="A3" s="202" t="s">
        <v>434</v>
      </c>
    </row>
    <row r="4" spans="1:6" ht="15" customHeight="1">
      <c r="A4" s="23" t="s">
        <v>436</v>
      </c>
      <c r="B4" s="265">
        <v>1.7469999999999999E-2</v>
      </c>
      <c r="C4" s="153" t="s">
        <v>435</v>
      </c>
      <c r="D4" s="2" t="s">
        <v>204</v>
      </c>
    </row>
    <row r="5" spans="1:6" ht="15" customHeight="1">
      <c r="A5" s="23" t="s">
        <v>441</v>
      </c>
      <c r="B5" s="132">
        <v>5.8833999999999996E-3</v>
      </c>
      <c r="E5" s="111" t="s">
        <v>191</v>
      </c>
      <c r="F5" s="80"/>
    </row>
    <row r="6" spans="1:6" ht="15" customHeight="1">
      <c r="E6" s="213" t="s">
        <v>164</v>
      </c>
      <c r="F6" s="213" t="s">
        <v>165</v>
      </c>
    </row>
    <row r="7" spans="1:6" ht="15" customHeight="1">
      <c r="A7" s="243" t="s">
        <v>206</v>
      </c>
      <c r="B7" s="1"/>
      <c r="C7" s="1"/>
      <c r="D7" s="45"/>
      <c r="E7" s="213" t="s">
        <v>178</v>
      </c>
      <c r="F7" s="214">
        <v>0.01</v>
      </c>
    </row>
    <row r="8" spans="1:6" ht="15" customHeight="1">
      <c r="A8" s="245" t="s">
        <v>516</v>
      </c>
      <c r="B8" s="1"/>
      <c r="C8" s="2" t="s">
        <v>518</v>
      </c>
      <c r="E8" s="213" t="s">
        <v>177</v>
      </c>
      <c r="F8" s="214">
        <v>1.0999999999999999E-2</v>
      </c>
    </row>
    <row r="9" spans="1:6" ht="15" customHeight="1">
      <c r="A9" s="1" t="s">
        <v>519</v>
      </c>
      <c r="B9" s="212"/>
      <c r="C9" s="27">
        <f ca="1">E50</f>
        <v>8.9650055078808188E-2</v>
      </c>
      <c r="E9" s="213" t="s">
        <v>176</v>
      </c>
      <c r="F9" s="214">
        <v>1.2500000000000001E-2</v>
      </c>
    </row>
    <row r="10" spans="1:6" ht="15" customHeight="1">
      <c r="A10" s="1" t="s">
        <v>551</v>
      </c>
      <c r="B10" s="212"/>
      <c r="C10" s="18">
        <v>0.09</v>
      </c>
      <c r="E10" s="213" t="s">
        <v>179</v>
      </c>
      <c r="F10" s="214">
        <v>8.0000000000000002E-3</v>
      </c>
    </row>
    <row r="11" spans="1:6" ht="15" customHeight="1">
      <c r="E11" s="213" t="s">
        <v>180</v>
      </c>
      <c r="F11" s="214">
        <v>6.0000000000000001E-3</v>
      </c>
    </row>
    <row r="12" spans="1:6" ht="15" customHeight="1">
      <c r="A12" s="13" t="s">
        <v>520</v>
      </c>
      <c r="B12" s="1"/>
      <c r="C12" s="27">
        <f>IF(C8="Cost of Capital",C9,C10)</f>
        <v>0.09</v>
      </c>
      <c r="E12" s="213" t="s">
        <v>172</v>
      </c>
      <c r="F12" s="214">
        <v>3.7499999999999999E-2</v>
      </c>
    </row>
    <row r="13" spans="1:6" ht="15" customHeight="1">
      <c r="A13" s="13"/>
      <c r="B13" s="1"/>
      <c r="C13" s="244"/>
      <c r="E13" s="213" t="s">
        <v>171</v>
      </c>
      <c r="F13" s="214">
        <v>4.4999999999999998E-2</v>
      </c>
    </row>
    <row r="14" spans="1:6" ht="15" customHeight="1">
      <c r="A14" s="245" t="s">
        <v>521</v>
      </c>
      <c r="B14" s="1"/>
      <c r="C14" s="215" t="s">
        <v>518</v>
      </c>
      <c r="E14" s="213" t="s">
        <v>170</v>
      </c>
      <c r="F14" s="214">
        <v>5.5E-2</v>
      </c>
    </row>
    <row r="15" spans="1:6" ht="15" customHeight="1">
      <c r="A15" s="1" t="s">
        <v>522</v>
      </c>
      <c r="B15" s="212"/>
      <c r="C15" s="164">
        <f ca="1">D67</f>
        <v>8.0947005000000002E-2</v>
      </c>
      <c r="E15" s="213" t="s">
        <v>174</v>
      </c>
      <c r="F15" s="214">
        <v>2.5000000000000001E-2</v>
      </c>
    </row>
    <row r="16" spans="1:6" ht="15" customHeight="1">
      <c r="A16" s="1" t="s">
        <v>551</v>
      </c>
      <c r="B16" s="212"/>
      <c r="C16" s="246">
        <f>Riskfree_rate+0.03</f>
        <v>4.7469999999999998E-2</v>
      </c>
      <c r="E16" s="213" t="s">
        <v>173</v>
      </c>
      <c r="F16" s="214">
        <v>0.03</v>
      </c>
    </row>
    <row r="17" spans="1:10" ht="15" customHeight="1">
      <c r="A17" s="1"/>
      <c r="B17" s="212"/>
      <c r="C17" s="244"/>
      <c r="E17" s="213" t="s">
        <v>175</v>
      </c>
      <c r="F17" s="214">
        <v>1.6E-2</v>
      </c>
    </row>
    <row r="18" spans="1:10" ht="15" customHeight="1">
      <c r="A18" s="22" t="s">
        <v>426</v>
      </c>
      <c r="C18" s="27">
        <f>IF(C14="Cost of Capital",C15,C16)</f>
        <v>4.7469999999999998E-2</v>
      </c>
      <c r="D18" s="45"/>
      <c r="E18" s="213" t="s">
        <v>169</v>
      </c>
      <c r="F18" s="214">
        <v>0.105</v>
      </c>
    </row>
    <row r="19" spans="1:10" ht="15" customHeight="1">
      <c r="E19" s="213" t="s">
        <v>168</v>
      </c>
      <c r="F19" s="214">
        <v>0.08</v>
      </c>
    </row>
    <row r="20" spans="1:10" ht="15" customHeight="1">
      <c r="A20" s="239" t="s">
        <v>234</v>
      </c>
      <c r="B20" s="240"/>
      <c r="E20" s="213" t="s">
        <v>167</v>
      </c>
      <c r="F20" s="214">
        <v>6.5000000000000002E-2</v>
      </c>
    </row>
    <row r="21" spans="1:10" ht="15" customHeight="1">
      <c r="A21" s="232" t="s">
        <v>232</v>
      </c>
    </row>
    <row r="22" spans="1:10" ht="15" customHeight="1">
      <c r="A22" s="235" t="s">
        <v>211</v>
      </c>
      <c r="D22" s="233" t="s">
        <v>217</v>
      </c>
    </row>
    <row r="23" spans="1:10" ht="15" customHeight="1">
      <c r="A23" s="209" t="s">
        <v>212</v>
      </c>
      <c r="B23" s="25">
        <v>0.98899999999999999</v>
      </c>
      <c r="D23" s="23" t="s">
        <v>218</v>
      </c>
      <c r="F23" s="24">
        <v>0</v>
      </c>
    </row>
    <row r="24" spans="1:10" ht="15" customHeight="1">
      <c r="A24" s="209" t="s">
        <v>224</v>
      </c>
      <c r="B24" s="210">
        <f ca="1">B23*(1+(1-Adj_Effective_T)*(C48/B48))</f>
        <v>0.99247513603113258</v>
      </c>
      <c r="D24" s="23" t="s">
        <v>219</v>
      </c>
      <c r="F24" s="24">
        <v>0</v>
      </c>
    </row>
    <row r="25" spans="1:10" ht="15" customHeight="1">
      <c r="A25" s="209" t="s">
        <v>213</v>
      </c>
      <c r="B25" s="132">
        <v>7.2999999999999995E-2</v>
      </c>
      <c r="D25" s="23" t="s">
        <v>220</v>
      </c>
      <c r="F25" s="24">
        <v>0</v>
      </c>
    </row>
    <row r="26" spans="1:10" ht="15" customHeight="1"/>
    <row r="27" spans="1:10" ht="15" customHeight="1">
      <c r="A27" s="22" t="s">
        <v>450</v>
      </c>
      <c r="B27" s="203">
        <f ca="1">B4+B24*B25</f>
        <v>8.9920684930272679E-2</v>
      </c>
      <c r="D27" s="23" t="s">
        <v>448</v>
      </c>
      <c r="F27" s="203">
        <f>IF(F23=0,0,F25/F24)</f>
        <v>0</v>
      </c>
    </row>
    <row r="28" spans="1:10" ht="15" customHeight="1"/>
    <row r="29" spans="1:10" ht="15" customHeight="1">
      <c r="A29" s="235" t="s">
        <v>214</v>
      </c>
      <c r="J29" s="89"/>
    </row>
    <row r="30" spans="1:10" ht="15" customHeight="1">
      <c r="A30" s="23" t="s">
        <v>438</v>
      </c>
      <c r="B30" s="24" t="s">
        <v>0</v>
      </c>
      <c r="D30" s="234" t="s">
        <v>512</v>
      </c>
      <c r="J30" s="89"/>
    </row>
    <row r="31" spans="1:10" ht="15" customHeight="1">
      <c r="A31" s="23" t="s">
        <v>443</v>
      </c>
      <c r="B31" s="24"/>
      <c r="D31" s="23" t="s">
        <v>354</v>
      </c>
      <c r="F31" s="205">
        <f>'Master Inputs'!K14</f>
        <v>803170</v>
      </c>
      <c r="J31" s="90"/>
    </row>
    <row r="32" spans="1:10" ht="15" customHeight="1">
      <c r="D32" s="23" t="s">
        <v>215</v>
      </c>
      <c r="F32" s="205">
        <f>'Master Inputs'!G14</f>
        <v>0</v>
      </c>
      <c r="J32" s="90"/>
    </row>
    <row r="33" spans="1:16" ht="15" customHeight="1">
      <c r="A33" s="23" t="s">
        <v>186</v>
      </c>
      <c r="B33" s="208">
        <v>1</v>
      </c>
      <c r="D33" s="23" t="s">
        <v>216</v>
      </c>
      <c r="F33" s="206">
        <v>0</v>
      </c>
    </row>
    <row r="34" spans="1:16" ht="15" customHeight="1">
      <c r="A34" s="207" t="s">
        <v>439</v>
      </c>
      <c r="B34" s="203">
        <f>D79</f>
        <v>2.96534E-2</v>
      </c>
    </row>
    <row r="35" spans="1:16" ht="15" customHeight="1">
      <c r="A35" s="207" t="s">
        <v>442</v>
      </c>
      <c r="B35" s="203" t="str">
        <f>IF(B31&lt;&gt;"",B4+VLOOKUP(B31,E7:F20,2),"")</f>
        <v/>
      </c>
      <c r="D35" s="234" t="s">
        <v>449</v>
      </c>
      <c r="J35" s="90"/>
    </row>
    <row r="36" spans="1:16" ht="15" customHeight="1">
      <c r="A36" s="207" t="s">
        <v>365</v>
      </c>
      <c r="B36" s="132">
        <v>0.02</v>
      </c>
      <c r="D36" s="23" t="s">
        <v>447</v>
      </c>
      <c r="F36" s="24">
        <v>0</v>
      </c>
      <c r="J36" s="90"/>
    </row>
    <row r="37" spans="1:16" ht="15" customHeight="1">
      <c r="A37" s="23" t="s">
        <v>145</v>
      </c>
      <c r="B37" s="203">
        <f ca="1">INDIRECT(ADDRESS(ROW(B33)+B33,COLUMN(B33)))</f>
        <v>2.96534E-2</v>
      </c>
      <c r="D37" s="23" t="s">
        <v>445</v>
      </c>
      <c r="F37" s="24">
        <v>0</v>
      </c>
      <c r="J37" s="90"/>
    </row>
    <row r="38" spans="1:16" ht="15" customHeight="1">
      <c r="D38" s="23" t="s">
        <v>446</v>
      </c>
      <c r="F38" s="24">
        <v>0</v>
      </c>
      <c r="J38" s="90"/>
    </row>
    <row r="39" spans="1:16" ht="15" customHeight="1">
      <c r="A39" s="22" t="s">
        <v>451</v>
      </c>
      <c r="B39" s="203">
        <f ca="1">B37*(1-Adj_Effective_T)</f>
        <v>2.4921336278010832E-2</v>
      </c>
      <c r="D39" s="23" t="s">
        <v>444</v>
      </c>
      <c r="F39" s="24">
        <v>0</v>
      </c>
      <c r="J39" s="90"/>
      <c r="M39" s="45"/>
      <c r="N39" s="45"/>
      <c r="O39" s="45"/>
      <c r="P39" s="45"/>
    </row>
    <row r="40" spans="1:16" ht="15" customHeight="1">
      <c r="A40" s="45"/>
      <c r="B40" s="45"/>
      <c r="J40" s="90"/>
    </row>
    <row r="41" spans="1:16" ht="15" customHeight="1">
      <c r="J41" s="90"/>
    </row>
    <row r="42" spans="1:16" ht="15" customHeight="1">
      <c r="A42" s="53" t="s">
        <v>514</v>
      </c>
      <c r="J42" s="90"/>
    </row>
    <row r="43" spans="1:16" ht="15" customHeight="1">
      <c r="A43" s="44" t="s">
        <v>221</v>
      </c>
      <c r="B43" s="44"/>
      <c r="C43" s="84">
        <f ca="1">IF(Is_Listed="Listed",F32*(1-(1+B37)^(-F33))/B37+F31/(1+B37)^F33,F31)</f>
        <v>803170</v>
      </c>
      <c r="J43" s="90"/>
    </row>
    <row r="44" spans="1:16">
      <c r="A44" s="44" t="s">
        <v>222</v>
      </c>
      <c r="B44" s="44"/>
      <c r="C44" s="84">
        <f ca="1">F37*(1-(1+B37)^(-F38))/B37+F36/(1+B37)^F38</f>
        <v>0</v>
      </c>
      <c r="E44" s="90"/>
      <c r="J44" s="90"/>
    </row>
    <row r="45" spans="1:16">
      <c r="A45" s="44" t="s">
        <v>223</v>
      </c>
      <c r="B45" s="44"/>
      <c r="C45" s="84">
        <f ca="1">F39-C44</f>
        <v>0</v>
      </c>
      <c r="E45" s="90"/>
      <c r="J45" s="90"/>
    </row>
    <row r="46" spans="1:16">
      <c r="E46" s="90"/>
      <c r="J46" s="89"/>
    </row>
    <row r="47" spans="1:16">
      <c r="A47" s="45"/>
      <c r="B47" s="46" t="s">
        <v>211</v>
      </c>
      <c r="C47" s="46" t="s">
        <v>225</v>
      </c>
      <c r="D47" s="46" t="s">
        <v>217</v>
      </c>
      <c r="E47" s="46" t="s">
        <v>226</v>
      </c>
      <c r="J47" s="89"/>
    </row>
    <row r="48" spans="1:16">
      <c r="A48" s="44" t="s">
        <v>227</v>
      </c>
      <c r="B48" s="26">
        <f>IF(Is_Listed="Listed",(Current_Price*Num_of_Shares)/'Master Inputs'!C10,Adj!C23)</f>
        <v>192100630.42899999</v>
      </c>
      <c r="C48" s="26">
        <f ca="1">C43+C44</f>
        <v>803170</v>
      </c>
      <c r="D48" s="26">
        <f>F23*F24</f>
        <v>0</v>
      </c>
      <c r="E48" s="48">
        <f ca="1">SUM(B48:D48)</f>
        <v>192903800.42899999</v>
      </c>
      <c r="J48" s="91"/>
    </row>
    <row r="49" spans="1:16" ht="16.5" thickBot="1">
      <c r="A49" s="44" t="s">
        <v>228</v>
      </c>
      <c r="B49" s="49">
        <f ca="1">B48/$E$48</f>
        <v>0.99583642210151468</v>
      </c>
      <c r="C49" s="49">
        <f ca="1">MV_Debt/$E$48</f>
        <v>4.1635778984852817E-3</v>
      </c>
      <c r="D49" s="49">
        <f ca="1">D48/$E$48</f>
        <v>0</v>
      </c>
      <c r="E49" s="50">
        <f ca="1">SUM(B49:D49)</f>
        <v>1</v>
      </c>
      <c r="J49" s="91"/>
    </row>
    <row r="50" spans="1:16" ht="16.5" thickBot="1">
      <c r="A50" s="44" t="s">
        <v>229</v>
      </c>
      <c r="B50" s="47">
        <f ca="1">B27</f>
        <v>8.9920684930272679E-2</v>
      </c>
      <c r="C50" s="49">
        <f ca="1">B39</f>
        <v>2.4921336278010832E-2</v>
      </c>
      <c r="D50" s="51">
        <f>F27</f>
        <v>0</v>
      </c>
      <c r="E50" s="52">
        <f ca="1">B49*B50+C49*C50+D49*D50</f>
        <v>8.9650055078808188E-2</v>
      </c>
      <c r="M50" s="45"/>
      <c r="N50" s="45"/>
      <c r="O50" s="45"/>
      <c r="P50" s="45"/>
    </row>
    <row r="51" spans="1:16">
      <c r="J51" s="45"/>
      <c r="K51" s="45"/>
      <c r="L51" s="45"/>
    </row>
    <row r="52" spans="1:16">
      <c r="A52" s="232" t="s">
        <v>231</v>
      </c>
    </row>
    <row r="53" spans="1:16">
      <c r="A53" s="235" t="s">
        <v>211</v>
      </c>
      <c r="E53" s="211"/>
    </row>
    <row r="54" spans="1:16">
      <c r="A54" s="23" t="s">
        <v>437</v>
      </c>
      <c r="B54" s="204">
        <v>1</v>
      </c>
    </row>
    <row r="55" spans="1:16">
      <c r="A55" s="23" t="s">
        <v>233</v>
      </c>
      <c r="B55" s="132">
        <v>7.0000000000000007E-2</v>
      </c>
    </row>
    <row r="56" spans="1:16">
      <c r="J56" s="91"/>
    </row>
    <row r="57" spans="1:16">
      <c r="A57" s="22" t="s">
        <v>230</v>
      </c>
      <c r="B57" s="203">
        <f>Riskfree_rate+B54*B55</f>
        <v>8.7470000000000006E-2</v>
      </c>
      <c r="J57" s="91"/>
    </row>
    <row r="58" spans="1:16">
      <c r="J58" s="91"/>
    </row>
    <row r="59" spans="1:16">
      <c r="A59" s="235" t="s">
        <v>214</v>
      </c>
      <c r="J59" s="91"/>
    </row>
    <row r="60" spans="1:16">
      <c r="A60" s="23" t="s">
        <v>513</v>
      </c>
      <c r="B60" s="132">
        <v>0.1</v>
      </c>
      <c r="J60" s="91"/>
    </row>
    <row r="61" spans="1:16">
      <c r="J61" s="91"/>
    </row>
    <row r="62" spans="1:16">
      <c r="A62" s="13" t="s">
        <v>452</v>
      </c>
      <c r="B62" s="203">
        <f ca="1">B37*(1-Marginal_TaxRate)</f>
        <v>2.2240050000000001E-2</v>
      </c>
      <c r="J62" s="91"/>
    </row>
    <row r="63" spans="1:16">
      <c r="I63" s="89"/>
      <c r="J63" s="91"/>
    </row>
    <row r="64" spans="1:16">
      <c r="A64" s="53" t="s">
        <v>515</v>
      </c>
      <c r="I64" s="90"/>
      <c r="J64" s="92"/>
    </row>
    <row r="65" spans="1:10">
      <c r="B65" s="46" t="s">
        <v>211</v>
      </c>
      <c r="C65" s="46" t="s">
        <v>225</v>
      </c>
      <c r="D65" s="46" t="s">
        <v>226</v>
      </c>
      <c r="I65" s="90"/>
      <c r="J65" s="89"/>
    </row>
    <row r="66" spans="1:10">
      <c r="A66" s="44" t="s">
        <v>228</v>
      </c>
      <c r="B66" s="47">
        <f>1-B60</f>
        <v>0.9</v>
      </c>
      <c r="C66" s="47">
        <f>B60</f>
        <v>0.1</v>
      </c>
      <c r="D66" s="47">
        <f>B66+C66</f>
        <v>1</v>
      </c>
      <c r="I66" s="90"/>
      <c r="J66" s="89"/>
    </row>
    <row r="67" spans="1:10">
      <c r="A67" s="44" t="s">
        <v>229</v>
      </c>
      <c r="B67" s="47">
        <f>B57</f>
        <v>8.7470000000000006E-2</v>
      </c>
      <c r="C67" s="47">
        <f ca="1">B62</f>
        <v>2.2240050000000001E-2</v>
      </c>
      <c r="D67" s="47">
        <f ca="1">B67*B66+C67*C66</f>
        <v>8.0947005000000002E-2</v>
      </c>
      <c r="E67" s="45"/>
      <c r="I67" s="90"/>
      <c r="J67" s="89"/>
    </row>
    <row r="68" spans="1:10">
      <c r="I68" s="90"/>
      <c r="J68" s="93"/>
    </row>
    <row r="69" spans="1:10">
      <c r="I69" s="90"/>
      <c r="J69" s="93"/>
    </row>
    <row r="70" spans="1:10">
      <c r="A70" s="237" t="s">
        <v>149</v>
      </c>
      <c r="B70" s="238"/>
      <c r="C70" s="238"/>
      <c r="D70" s="236"/>
      <c r="E70" s="236"/>
      <c r="F70" s="236"/>
      <c r="G70" s="236"/>
      <c r="H70" s="236"/>
      <c r="I70" s="236"/>
      <c r="J70" s="236"/>
    </row>
    <row r="71" spans="1:10">
      <c r="A71" s="57" t="s">
        <v>150</v>
      </c>
      <c r="B71" s="54"/>
      <c r="C71" s="54"/>
      <c r="D71" s="54"/>
      <c r="E71" s="54"/>
      <c r="F71" s="54"/>
      <c r="G71" s="54"/>
      <c r="H71" s="54"/>
      <c r="I71" s="54"/>
      <c r="J71" s="54"/>
    </row>
    <row r="72" spans="1:10" ht="16.5" thickBot="1">
      <c r="A72" s="55" t="s">
        <v>151</v>
      </c>
      <c r="B72" s="56"/>
      <c r="C72" s="56"/>
      <c r="D72" s="56"/>
      <c r="E72" s="56"/>
      <c r="F72" s="56"/>
      <c r="G72" s="56"/>
      <c r="H72" s="56"/>
      <c r="I72" s="56"/>
      <c r="J72" s="56"/>
    </row>
    <row r="73" spans="1:10" ht="16.5" thickBot="1">
      <c r="A73" s="58" t="s">
        <v>152</v>
      </c>
      <c r="B73" s="58"/>
      <c r="C73" s="59">
        <f>IF(B30="Large cap", 1,IF(B30="Small cap",2,3))</f>
        <v>1</v>
      </c>
      <c r="D73" s="58" t="s">
        <v>183</v>
      </c>
      <c r="E73" s="58"/>
      <c r="F73" s="58"/>
      <c r="G73" s="58"/>
      <c r="H73" s="58"/>
      <c r="I73" s="58"/>
      <c r="J73" s="58"/>
    </row>
    <row r="74" spans="1:10" ht="16.5" thickBot="1">
      <c r="A74" s="57" t="s">
        <v>28</v>
      </c>
      <c r="B74" s="58"/>
      <c r="C74" s="58"/>
      <c r="D74" s="58"/>
      <c r="E74" s="58"/>
      <c r="F74" s="58"/>
      <c r="G74" s="58"/>
      <c r="H74" s="58"/>
      <c r="I74" s="58"/>
      <c r="J74" s="58"/>
    </row>
    <row r="75" spans="1:10" ht="16.5" thickBot="1">
      <c r="A75" s="57" t="s">
        <v>440</v>
      </c>
      <c r="B75" s="58"/>
      <c r="C75" s="58"/>
      <c r="D75" s="60">
        <f>IF(Cur_InterestExpense=0,1000000,IF(Cur_BvEbit&lt;0,-100000,Adj_Ebit/Cur_InterestExpense))</f>
        <v>1000000</v>
      </c>
      <c r="E75" s="58"/>
      <c r="F75" s="58"/>
      <c r="G75" s="58"/>
      <c r="H75" s="58"/>
      <c r="I75" s="58"/>
      <c r="J75" s="58"/>
    </row>
    <row r="76" spans="1:10" ht="16.5" thickBot="1">
      <c r="A76" s="58" t="s">
        <v>153</v>
      </c>
      <c r="B76" s="58"/>
      <c r="C76" s="58"/>
      <c r="D76" s="61" t="str">
        <f>IF(C73=1,VLOOKUP(D75,A85:D99,3),(IF(C73=2,VLOOKUP(D75,A104:D118,3),VLOOKUP(D75,F85:I99,3))))</f>
        <v>Aaa/AAA</v>
      </c>
      <c r="E76" s="58"/>
      <c r="F76" s="56" t="s">
        <v>154</v>
      </c>
      <c r="G76" s="58"/>
      <c r="H76" s="58"/>
      <c r="I76" s="58"/>
      <c r="J76" s="58"/>
    </row>
    <row r="77" spans="1:10" ht="16.5" thickBot="1">
      <c r="A77" s="58" t="s">
        <v>155</v>
      </c>
      <c r="B77" s="58"/>
      <c r="C77" s="58"/>
      <c r="D77" s="62">
        <f>IF(C73=1,VLOOKUP(D75,A85:D99,4),(IF(C73=2,VLOOKUP(D75,A104:D118,4),VLOOKUP(D75,F85:I99,4))))</f>
        <v>6.3E-3</v>
      </c>
      <c r="E77" s="58"/>
      <c r="F77" s="56" t="s">
        <v>156</v>
      </c>
      <c r="G77" s="58"/>
      <c r="H77" s="58"/>
      <c r="I77" s="58"/>
      <c r="J77" s="58"/>
    </row>
    <row r="78" spans="1:10" ht="16.5" thickBot="1">
      <c r="A78" s="58" t="s">
        <v>157</v>
      </c>
      <c r="B78" s="58"/>
      <c r="C78" s="58"/>
      <c r="D78" s="62">
        <f>B5</f>
        <v>5.8833999999999996E-3</v>
      </c>
      <c r="E78" s="58"/>
      <c r="F78" s="56"/>
      <c r="G78" s="58"/>
      <c r="H78" s="58"/>
      <c r="I78" s="58"/>
      <c r="J78" s="58"/>
    </row>
    <row r="79" spans="1:10" ht="16.5" thickBot="1">
      <c r="A79" s="57" t="s">
        <v>158</v>
      </c>
      <c r="B79" s="58"/>
      <c r="C79" s="58"/>
      <c r="D79" s="63">
        <f>Riskfree_rate+D77+D78</f>
        <v>2.96534E-2</v>
      </c>
      <c r="E79" s="58"/>
      <c r="F79" s="58"/>
      <c r="G79" s="58"/>
      <c r="H79" s="58"/>
      <c r="I79" s="58"/>
      <c r="J79" s="58"/>
    </row>
    <row r="80" spans="1:10">
      <c r="A80" s="58"/>
      <c r="B80" s="58"/>
      <c r="C80" s="58"/>
      <c r="D80" s="64"/>
      <c r="E80" s="58"/>
      <c r="F80" s="58"/>
      <c r="G80" s="58"/>
      <c r="H80" s="58"/>
      <c r="I80" s="58"/>
      <c r="J80" s="58"/>
    </row>
    <row r="81" spans="1:10">
      <c r="A81" s="56" t="s">
        <v>159</v>
      </c>
      <c r="B81" s="56"/>
      <c r="C81" s="56"/>
      <c r="D81" s="65"/>
      <c r="E81" s="56"/>
      <c r="F81" s="56"/>
      <c r="G81" s="56"/>
      <c r="H81" s="56"/>
      <c r="I81" s="56"/>
      <c r="J81" s="56"/>
    </row>
    <row r="82" spans="1:10">
      <c r="A82" s="57" t="s">
        <v>160</v>
      </c>
      <c r="B82" s="58"/>
      <c r="C82" s="58"/>
      <c r="D82" s="58"/>
      <c r="E82" s="58"/>
      <c r="F82" s="66" t="s">
        <v>184</v>
      </c>
      <c r="G82" s="67"/>
      <c r="H82" s="67"/>
      <c r="I82" s="67"/>
      <c r="J82" s="58"/>
    </row>
    <row r="83" spans="1:10">
      <c r="A83" s="68" t="s">
        <v>161</v>
      </c>
      <c r="B83" s="68"/>
      <c r="C83" s="69"/>
      <c r="D83" s="69"/>
      <c r="E83" s="58"/>
      <c r="F83" s="70" t="s">
        <v>185</v>
      </c>
      <c r="G83" s="71"/>
      <c r="H83" s="67"/>
      <c r="I83" s="67"/>
      <c r="J83" s="58"/>
    </row>
    <row r="84" spans="1:10">
      <c r="A84" s="72" t="s">
        <v>162</v>
      </c>
      <c r="B84" s="72" t="s">
        <v>163</v>
      </c>
      <c r="C84" s="72" t="s">
        <v>164</v>
      </c>
      <c r="D84" s="72" t="s">
        <v>165</v>
      </c>
      <c r="E84" s="58"/>
      <c r="F84" s="73" t="s">
        <v>182</v>
      </c>
      <c r="G84" s="73" t="s">
        <v>163</v>
      </c>
      <c r="H84" s="73" t="s">
        <v>164</v>
      </c>
      <c r="I84" s="73" t="s">
        <v>165</v>
      </c>
      <c r="J84" s="58"/>
    </row>
    <row r="85" spans="1:10">
      <c r="A85" s="74">
        <v>-100000</v>
      </c>
      <c r="B85" s="74">
        <v>0.19999900000000001</v>
      </c>
      <c r="C85" s="74" t="s">
        <v>166</v>
      </c>
      <c r="D85" s="75">
        <v>0.15116399999999999</v>
      </c>
      <c r="E85" s="58"/>
      <c r="F85" s="73">
        <v>-100000</v>
      </c>
      <c r="G85" s="73">
        <v>4.9999000000000002E-2</v>
      </c>
      <c r="H85" s="73" t="s">
        <v>166</v>
      </c>
      <c r="I85" s="76">
        <v>0.19384615384615386</v>
      </c>
      <c r="J85" s="58"/>
    </row>
    <row r="86" spans="1:10">
      <c r="A86" s="74">
        <v>0.2</v>
      </c>
      <c r="B86" s="74">
        <v>0.64999899999999999</v>
      </c>
      <c r="C86" s="74" t="s">
        <v>167</v>
      </c>
      <c r="D86" s="75">
        <v>0.113412</v>
      </c>
      <c r="E86" s="58"/>
      <c r="F86" s="73">
        <v>0.05</v>
      </c>
      <c r="G86" s="73">
        <v>9.9999000000000005E-2</v>
      </c>
      <c r="H86" s="73" t="s">
        <v>169</v>
      </c>
      <c r="I86" s="76">
        <v>0.14538461538461536</v>
      </c>
      <c r="J86" s="58"/>
    </row>
    <row r="87" spans="1:10">
      <c r="A87" s="74">
        <v>0.65</v>
      </c>
      <c r="B87" s="74">
        <v>0.79999900000000002</v>
      </c>
      <c r="C87" s="74" t="s">
        <v>168</v>
      </c>
      <c r="D87" s="75">
        <v>8.6424000000000001E-2</v>
      </c>
      <c r="E87" s="58"/>
      <c r="F87" s="73">
        <v>0.1</v>
      </c>
      <c r="G87" s="73">
        <v>0.19999900000000001</v>
      </c>
      <c r="H87" s="73" t="s">
        <v>168</v>
      </c>
      <c r="I87" s="76">
        <v>0.11076923076923077</v>
      </c>
      <c r="J87" s="58"/>
    </row>
    <row r="88" spans="1:10">
      <c r="A88" s="74">
        <v>0.8</v>
      </c>
      <c r="B88" s="74">
        <v>1.2499990000000001</v>
      </c>
      <c r="C88" s="74" t="s">
        <v>169</v>
      </c>
      <c r="D88" s="75">
        <v>8.2000000000000003E-2</v>
      </c>
      <c r="E88" s="58"/>
      <c r="F88" s="73">
        <v>0.2</v>
      </c>
      <c r="G88" s="73">
        <v>0.29999900000000002</v>
      </c>
      <c r="H88" s="73" t="s">
        <v>167</v>
      </c>
      <c r="I88" s="76">
        <v>0.09</v>
      </c>
      <c r="J88" s="58"/>
    </row>
    <row r="89" spans="1:10">
      <c r="A89" s="74">
        <v>1.25</v>
      </c>
      <c r="B89" s="74">
        <v>1.4999990000000001</v>
      </c>
      <c r="C89" s="74" t="s">
        <v>170</v>
      </c>
      <c r="D89" s="75">
        <v>5.1480000000000005E-2</v>
      </c>
      <c r="E89" s="58"/>
      <c r="F89" s="73">
        <v>0.3</v>
      </c>
      <c r="G89" s="73">
        <v>0.39999899999999999</v>
      </c>
      <c r="H89" s="73" t="s">
        <v>170</v>
      </c>
      <c r="I89" s="76">
        <v>6.6000000000000003E-2</v>
      </c>
      <c r="J89" s="58"/>
    </row>
    <row r="90" spans="1:10">
      <c r="A90" s="74">
        <v>1.5</v>
      </c>
      <c r="B90" s="74">
        <v>1.7499990000000001</v>
      </c>
      <c r="C90" s="74" t="s">
        <v>171</v>
      </c>
      <c r="D90" s="75">
        <v>4.2119999999999998E-2</v>
      </c>
      <c r="E90" s="58"/>
      <c r="F90" s="73">
        <v>0.4</v>
      </c>
      <c r="G90" s="73">
        <v>0.49999900000000003</v>
      </c>
      <c r="H90" s="73" t="s">
        <v>171</v>
      </c>
      <c r="I90" s="76">
        <v>5.3999999999999999E-2</v>
      </c>
      <c r="J90" s="58"/>
    </row>
    <row r="91" spans="1:10">
      <c r="A91" s="74">
        <v>1.75</v>
      </c>
      <c r="B91" s="74">
        <v>1.9999990000000001</v>
      </c>
      <c r="C91" s="74" t="s">
        <v>172</v>
      </c>
      <c r="D91" s="75">
        <v>3.5099999999999999E-2</v>
      </c>
      <c r="E91" s="58"/>
      <c r="F91" s="73">
        <v>0.5</v>
      </c>
      <c r="G91" s="73">
        <v>0.59999899999999995</v>
      </c>
      <c r="H91" s="73" t="s">
        <v>172</v>
      </c>
      <c r="I91" s="76">
        <v>4.4999999999999998E-2</v>
      </c>
      <c r="J91" s="58"/>
    </row>
    <row r="92" spans="1:10">
      <c r="A92" s="74">
        <v>2</v>
      </c>
      <c r="B92" s="74">
        <v>2.2499999000000002</v>
      </c>
      <c r="C92" s="74" t="s">
        <v>173</v>
      </c>
      <c r="D92" s="75">
        <v>2.4E-2</v>
      </c>
      <c r="E92" s="58"/>
      <c r="F92" s="73">
        <v>0.6</v>
      </c>
      <c r="G92" s="73">
        <v>0.74999899999999997</v>
      </c>
      <c r="H92" s="73" t="s">
        <v>173</v>
      </c>
      <c r="I92" s="76">
        <v>3.5999999999999997E-2</v>
      </c>
      <c r="J92" s="58"/>
    </row>
    <row r="93" spans="1:10">
      <c r="A93" s="74">
        <v>2.25</v>
      </c>
      <c r="B93" s="74">
        <v>2.4999899999999999</v>
      </c>
      <c r="C93" s="74" t="s">
        <v>174</v>
      </c>
      <c r="D93" s="75">
        <v>0.02</v>
      </c>
      <c r="E93" s="58"/>
      <c r="F93" s="73">
        <v>0.75</v>
      </c>
      <c r="G93" s="73">
        <v>0.89999899999999999</v>
      </c>
      <c r="H93" s="73" t="s">
        <v>174</v>
      </c>
      <c r="I93" s="76">
        <v>0.03</v>
      </c>
      <c r="J93" s="58"/>
    </row>
    <row r="94" spans="1:10">
      <c r="A94" s="74">
        <v>2.5</v>
      </c>
      <c r="B94" s="74">
        <v>2.9999989999999999</v>
      </c>
      <c r="C94" s="74" t="s">
        <v>175</v>
      </c>
      <c r="D94" s="75">
        <v>1.5600000000000001E-2</v>
      </c>
      <c r="E94" s="58"/>
      <c r="F94" s="73">
        <v>0.9</v>
      </c>
      <c r="G94" s="73">
        <v>1.199999</v>
      </c>
      <c r="H94" s="73" t="s">
        <v>175</v>
      </c>
      <c r="I94" s="76">
        <v>0.02</v>
      </c>
      <c r="J94" s="58"/>
    </row>
    <row r="95" spans="1:10">
      <c r="A95" s="74">
        <v>3</v>
      </c>
      <c r="B95" s="74">
        <v>4.2499989999999999</v>
      </c>
      <c r="C95" s="74" t="s">
        <v>176</v>
      </c>
      <c r="D95" s="75">
        <v>1.2168E-2</v>
      </c>
      <c r="E95" s="58"/>
      <c r="F95" s="73">
        <v>1.2</v>
      </c>
      <c r="G95" s="73">
        <v>1.4999899999999999</v>
      </c>
      <c r="H95" s="73" t="s">
        <v>176</v>
      </c>
      <c r="I95" s="76">
        <v>1.5625E-2</v>
      </c>
      <c r="J95" s="58"/>
    </row>
    <row r="96" spans="1:10">
      <c r="A96" s="74">
        <v>4.25</v>
      </c>
      <c r="B96" s="74">
        <v>5.4999989999999999</v>
      </c>
      <c r="C96" s="74" t="s">
        <v>177</v>
      </c>
      <c r="D96" s="75">
        <v>1.0764000000000001E-2</v>
      </c>
      <c r="E96" s="58"/>
      <c r="F96" s="73">
        <v>1.5</v>
      </c>
      <c r="G96" s="73">
        <v>1.9999899999999999</v>
      </c>
      <c r="H96" s="73" t="s">
        <v>177</v>
      </c>
      <c r="I96" s="76">
        <v>1.3749999999999998E-2</v>
      </c>
      <c r="J96" s="58"/>
    </row>
    <row r="97" spans="1:10">
      <c r="A97" s="74">
        <v>5.5</v>
      </c>
      <c r="B97" s="74">
        <v>6.4999989999999999</v>
      </c>
      <c r="C97" s="74" t="s">
        <v>178</v>
      </c>
      <c r="D97" s="75">
        <v>9.7500000000000017E-3</v>
      </c>
      <c r="E97" s="58"/>
      <c r="F97" s="73">
        <v>2</v>
      </c>
      <c r="G97" s="73">
        <v>2.4999899999999999</v>
      </c>
      <c r="H97" s="73" t="s">
        <v>178</v>
      </c>
      <c r="I97" s="76">
        <v>1.2500000000000001E-2</v>
      </c>
      <c r="J97" s="58"/>
    </row>
    <row r="98" spans="1:10">
      <c r="A98" s="74">
        <v>6.5</v>
      </c>
      <c r="B98" s="74">
        <v>8.4999990000000007</v>
      </c>
      <c r="C98" s="74" t="s">
        <v>179</v>
      </c>
      <c r="D98" s="75">
        <v>7.8000000000000005E-3</v>
      </c>
      <c r="E98" s="58"/>
      <c r="F98" s="73">
        <v>2.5</v>
      </c>
      <c r="G98" s="73">
        <v>2.9999899999999999</v>
      </c>
      <c r="H98" s="73" t="s">
        <v>179</v>
      </c>
      <c r="I98" s="76">
        <v>0.01</v>
      </c>
      <c r="J98" s="58"/>
    </row>
    <row r="99" spans="1:10">
      <c r="A99" s="77">
        <v>8.5</v>
      </c>
      <c r="B99" s="74">
        <v>100000</v>
      </c>
      <c r="C99" s="74" t="s">
        <v>180</v>
      </c>
      <c r="D99" s="75">
        <v>6.3E-3</v>
      </c>
      <c r="E99" s="58"/>
      <c r="F99" s="73">
        <v>3</v>
      </c>
      <c r="G99" s="73">
        <v>100000</v>
      </c>
      <c r="H99" s="73" t="s">
        <v>180</v>
      </c>
      <c r="I99" s="76">
        <v>7.4999999999999997E-3</v>
      </c>
      <c r="J99" s="58"/>
    </row>
    <row r="100" spans="1:10">
      <c r="A100" s="58"/>
      <c r="B100" s="58"/>
      <c r="C100" s="58"/>
      <c r="D100" s="58"/>
      <c r="E100" s="58"/>
      <c r="F100" s="58"/>
      <c r="G100" s="58"/>
      <c r="H100" s="58"/>
      <c r="I100" s="58"/>
      <c r="J100" s="58"/>
    </row>
    <row r="101" spans="1:10">
      <c r="A101" s="57" t="s">
        <v>181</v>
      </c>
      <c r="B101" s="58"/>
      <c r="C101" s="58"/>
      <c r="D101" s="58"/>
      <c r="E101" s="58"/>
      <c r="F101" s="58"/>
      <c r="G101" s="58"/>
      <c r="H101" s="58"/>
      <c r="I101" s="58"/>
      <c r="J101" s="58"/>
    </row>
    <row r="102" spans="1:10">
      <c r="A102" s="68" t="s">
        <v>161</v>
      </c>
      <c r="B102" s="78"/>
      <c r="C102" s="74"/>
      <c r="D102" s="74"/>
      <c r="E102" s="58"/>
      <c r="F102" s="58"/>
      <c r="G102" s="58"/>
      <c r="H102" s="58"/>
      <c r="I102" s="58"/>
      <c r="J102" s="58"/>
    </row>
    <row r="103" spans="1:10">
      <c r="A103" s="74" t="s">
        <v>182</v>
      </c>
      <c r="B103" s="74" t="s">
        <v>163</v>
      </c>
      <c r="C103" s="74" t="s">
        <v>164</v>
      </c>
      <c r="D103" s="74" t="s">
        <v>165</v>
      </c>
      <c r="E103" s="58"/>
      <c r="F103" s="58"/>
      <c r="G103" s="58"/>
      <c r="H103" s="58"/>
      <c r="I103" s="58"/>
      <c r="J103" s="58"/>
    </row>
    <row r="104" spans="1:10">
      <c r="A104" s="74">
        <v>-100000</v>
      </c>
      <c r="B104" s="74">
        <v>0.49999900000000003</v>
      </c>
      <c r="C104" s="74" t="s">
        <v>166</v>
      </c>
      <c r="D104" s="79">
        <f>D85</f>
        <v>0.15116399999999999</v>
      </c>
      <c r="E104" s="58"/>
      <c r="F104" s="58"/>
      <c r="G104" s="74" t="s">
        <v>164</v>
      </c>
      <c r="H104" s="74" t="s">
        <v>165</v>
      </c>
      <c r="I104" s="58"/>
      <c r="J104" s="54"/>
    </row>
    <row r="105" spans="1:10">
      <c r="A105" s="74">
        <v>0.5</v>
      </c>
      <c r="B105" s="74">
        <v>0.79999900000000002</v>
      </c>
      <c r="C105" s="74" t="s">
        <v>167</v>
      </c>
      <c r="D105" s="79">
        <f>D86</f>
        <v>0.113412</v>
      </c>
      <c r="E105" s="58"/>
      <c r="F105" s="58"/>
      <c r="G105" s="74" t="s">
        <v>178</v>
      </c>
      <c r="H105" s="75">
        <v>9.7500000000000017E-3</v>
      </c>
      <c r="I105" s="58"/>
      <c r="J105" s="54"/>
    </row>
    <row r="106" spans="1:10">
      <c r="A106" s="74">
        <v>0.8</v>
      </c>
      <c r="B106" s="74">
        <v>1.2499990000000001</v>
      </c>
      <c r="C106" s="74" t="s">
        <v>168</v>
      </c>
      <c r="D106" s="79">
        <f>D87</f>
        <v>8.6424000000000001E-2</v>
      </c>
      <c r="E106" s="58"/>
      <c r="F106" s="58"/>
      <c r="G106" s="74" t="s">
        <v>177</v>
      </c>
      <c r="H106" s="75">
        <v>1.0764000000000001E-2</v>
      </c>
      <c r="I106" s="58"/>
      <c r="J106" s="54"/>
    </row>
    <row r="107" spans="1:10">
      <c r="A107" s="74">
        <v>1.25</v>
      </c>
      <c r="B107" s="74">
        <v>1.4999990000000001</v>
      </c>
      <c r="C107" s="74" t="s">
        <v>169</v>
      </c>
      <c r="D107" s="79">
        <f t="shared" ref="D107:D110" si="0">D88</f>
        <v>8.2000000000000003E-2</v>
      </c>
      <c r="E107" s="58"/>
      <c r="F107" s="58"/>
      <c r="G107" s="74" t="s">
        <v>176</v>
      </c>
      <c r="H107" s="75">
        <v>1.2168E-2</v>
      </c>
      <c r="I107" s="58"/>
      <c r="J107" s="54"/>
    </row>
    <row r="108" spans="1:10">
      <c r="A108" s="74">
        <v>1.5</v>
      </c>
      <c r="B108" s="74">
        <v>1.9999990000000001</v>
      </c>
      <c r="C108" s="74" t="s">
        <v>170</v>
      </c>
      <c r="D108" s="79">
        <f t="shared" si="0"/>
        <v>5.1480000000000005E-2</v>
      </c>
      <c r="E108" s="58"/>
      <c r="F108" s="58"/>
      <c r="G108" s="74" t="s">
        <v>179</v>
      </c>
      <c r="H108" s="75">
        <v>7.8000000000000005E-3</v>
      </c>
      <c r="I108" s="58"/>
      <c r="J108" s="54"/>
    </row>
    <row r="109" spans="1:10">
      <c r="A109" s="74">
        <v>2</v>
      </c>
      <c r="B109" s="74">
        <v>2.4999989999999999</v>
      </c>
      <c r="C109" s="74" t="s">
        <v>171</v>
      </c>
      <c r="D109" s="79">
        <f t="shared" si="0"/>
        <v>4.2119999999999998E-2</v>
      </c>
      <c r="E109" s="58"/>
      <c r="F109" s="58"/>
      <c r="G109" s="74" t="s">
        <v>180</v>
      </c>
      <c r="H109" s="75">
        <v>6.3E-3</v>
      </c>
      <c r="I109" s="58"/>
      <c r="J109" s="54"/>
    </row>
    <row r="110" spans="1:10">
      <c r="A110" s="74">
        <v>2.5</v>
      </c>
      <c r="B110" s="74">
        <v>2.9999989999999999</v>
      </c>
      <c r="C110" s="74" t="s">
        <v>172</v>
      </c>
      <c r="D110" s="79">
        <f t="shared" si="0"/>
        <v>3.5099999999999999E-2</v>
      </c>
      <c r="E110" s="58"/>
      <c r="F110" s="58"/>
      <c r="G110" s="74" t="s">
        <v>172</v>
      </c>
      <c r="H110" s="75">
        <v>3.5099999999999999E-2</v>
      </c>
      <c r="I110" s="58"/>
      <c r="J110" s="54"/>
    </row>
    <row r="111" spans="1:10">
      <c r="A111" s="74">
        <v>3</v>
      </c>
      <c r="B111" s="74">
        <v>3.4999989999999999</v>
      </c>
      <c r="C111" s="74" t="s">
        <v>173</v>
      </c>
      <c r="D111" s="79">
        <f t="shared" ref="D111:D118" si="1">D92</f>
        <v>2.4E-2</v>
      </c>
      <c r="E111" s="58"/>
      <c r="F111" s="58"/>
      <c r="G111" s="74" t="s">
        <v>171</v>
      </c>
      <c r="H111" s="75">
        <v>4.2119999999999998E-2</v>
      </c>
      <c r="I111" s="58"/>
      <c r="J111" s="54"/>
    </row>
    <row r="112" spans="1:10">
      <c r="A112" s="74">
        <v>3.5</v>
      </c>
      <c r="B112" s="74">
        <v>3.9999999000000002</v>
      </c>
      <c r="C112" s="74" t="s">
        <v>174</v>
      </c>
      <c r="D112" s="79">
        <f t="shared" si="1"/>
        <v>0.02</v>
      </c>
      <c r="E112" s="58"/>
      <c r="F112" s="58"/>
      <c r="G112" s="74" t="s">
        <v>170</v>
      </c>
      <c r="H112" s="75">
        <v>5.1480000000000005E-2</v>
      </c>
      <c r="I112" s="58"/>
      <c r="J112" s="54"/>
    </row>
    <row r="113" spans="1:10">
      <c r="A113" s="74">
        <v>4</v>
      </c>
      <c r="B113" s="74">
        <v>4.4999989999999999</v>
      </c>
      <c r="C113" s="74" t="s">
        <v>175</v>
      </c>
      <c r="D113" s="79">
        <f t="shared" si="1"/>
        <v>1.5600000000000001E-2</v>
      </c>
      <c r="E113" s="58"/>
      <c r="F113" s="58"/>
      <c r="G113" s="74" t="s">
        <v>174</v>
      </c>
      <c r="H113" s="75">
        <v>0.02</v>
      </c>
      <c r="I113" s="58"/>
      <c r="J113" s="54"/>
    </row>
    <row r="114" spans="1:10">
      <c r="A114" s="74">
        <v>4.5</v>
      </c>
      <c r="B114" s="74">
        <v>5.9999989999999999</v>
      </c>
      <c r="C114" s="74" t="s">
        <v>176</v>
      </c>
      <c r="D114" s="79">
        <f t="shared" si="1"/>
        <v>1.2168E-2</v>
      </c>
      <c r="E114" s="58"/>
      <c r="F114" s="58"/>
      <c r="G114" s="74" t="s">
        <v>173</v>
      </c>
      <c r="H114" s="75">
        <v>2.4E-2</v>
      </c>
      <c r="I114" s="58"/>
      <c r="J114" s="54"/>
    </row>
    <row r="115" spans="1:10">
      <c r="A115" s="74">
        <v>6</v>
      </c>
      <c r="B115" s="74">
        <v>7.4999989999999999</v>
      </c>
      <c r="C115" s="74" t="s">
        <v>177</v>
      </c>
      <c r="D115" s="79">
        <f t="shared" si="1"/>
        <v>1.0764000000000001E-2</v>
      </c>
      <c r="E115" s="58"/>
      <c r="F115" s="58"/>
      <c r="G115" s="74" t="s">
        <v>175</v>
      </c>
      <c r="H115" s="75">
        <v>1.5600000000000001E-2</v>
      </c>
      <c r="I115" s="58"/>
      <c r="J115" s="54"/>
    </row>
    <row r="116" spans="1:10">
      <c r="A116" s="74">
        <v>7.5</v>
      </c>
      <c r="B116" s="74">
        <v>9.4999990000000007</v>
      </c>
      <c r="C116" s="74" t="s">
        <v>178</v>
      </c>
      <c r="D116" s="79">
        <f t="shared" si="1"/>
        <v>9.7500000000000017E-3</v>
      </c>
      <c r="E116" s="58"/>
      <c r="F116" s="58"/>
      <c r="G116" s="74" t="s">
        <v>169</v>
      </c>
      <c r="H116" s="75">
        <v>0.113412</v>
      </c>
      <c r="I116" s="58"/>
      <c r="J116" s="54"/>
    </row>
    <row r="117" spans="1:10">
      <c r="A117" s="74">
        <v>9.5</v>
      </c>
      <c r="B117" s="74">
        <v>12.499999000000001</v>
      </c>
      <c r="C117" s="74" t="s">
        <v>179</v>
      </c>
      <c r="D117" s="79">
        <f t="shared" si="1"/>
        <v>7.8000000000000005E-3</v>
      </c>
      <c r="E117" s="54"/>
      <c r="F117" s="58"/>
      <c r="G117" s="74" t="s">
        <v>168</v>
      </c>
      <c r="H117" s="75">
        <v>8.6424000000000001E-2</v>
      </c>
      <c r="I117" s="58"/>
      <c r="J117" s="54"/>
    </row>
    <row r="118" spans="1:10">
      <c r="A118" s="74">
        <v>12.5</v>
      </c>
      <c r="B118" s="74">
        <v>100000</v>
      </c>
      <c r="C118" s="74" t="s">
        <v>180</v>
      </c>
      <c r="D118" s="79">
        <f t="shared" si="1"/>
        <v>6.3E-3</v>
      </c>
      <c r="E118" s="54"/>
      <c r="F118" s="54"/>
      <c r="G118" s="74" t="s">
        <v>167</v>
      </c>
      <c r="H118" s="75">
        <v>8.2000000000000003E-2</v>
      </c>
      <c r="I118" s="54"/>
      <c r="J118" s="54"/>
    </row>
    <row r="119" spans="1:10">
      <c r="A119" s="54"/>
      <c r="B119" s="54"/>
      <c r="C119" s="54"/>
      <c r="D119" s="54"/>
      <c r="E119" s="54"/>
      <c r="F119" s="54"/>
      <c r="G119" s="74" t="s">
        <v>166</v>
      </c>
      <c r="H119" s="75">
        <v>0.15116399999999999</v>
      </c>
      <c r="I119" s="54"/>
      <c r="J119" s="54"/>
    </row>
    <row r="120" spans="1:10">
      <c r="A120" s="80"/>
      <c r="B120" s="80"/>
      <c r="C120" s="80"/>
      <c r="D120" s="80"/>
      <c r="E120" s="80"/>
      <c r="F120" s="80"/>
      <c r="G120" s="80"/>
      <c r="H120" s="80"/>
      <c r="I120" s="80"/>
      <c r="J120" s="80"/>
    </row>
    <row r="121" spans="1:10">
      <c r="A121" s="80"/>
      <c r="B121" s="80"/>
      <c r="C121" s="80"/>
      <c r="D121" s="80"/>
      <c r="E121" s="80"/>
      <c r="F121" s="80"/>
      <c r="G121" s="80"/>
      <c r="H121" s="80"/>
      <c r="I121" s="80"/>
      <c r="J121" s="80"/>
    </row>
    <row r="122" spans="1:10">
      <c r="A122" s="80"/>
      <c r="B122" s="80"/>
      <c r="C122" s="80"/>
      <c r="D122" s="80"/>
      <c r="E122" s="80"/>
      <c r="F122" s="80"/>
      <c r="G122" s="80"/>
      <c r="H122" s="80"/>
      <c r="I122" s="80"/>
      <c r="J122" s="80"/>
    </row>
    <row r="123" spans="1:10">
      <c r="A123" s="80"/>
      <c r="B123" s="80"/>
      <c r="C123" s="80"/>
      <c r="D123" s="80"/>
      <c r="E123" s="80"/>
      <c r="F123" s="80"/>
      <c r="G123" s="80"/>
      <c r="H123" s="80"/>
      <c r="I123" s="80"/>
      <c r="J123" s="80"/>
    </row>
    <row r="124" spans="1:10">
      <c r="A124" s="80"/>
      <c r="B124" s="80"/>
      <c r="C124" s="80"/>
      <c r="D124" s="80"/>
      <c r="E124" s="80"/>
      <c r="F124" s="80"/>
      <c r="G124" s="80"/>
      <c r="H124" s="80"/>
      <c r="I124" s="80"/>
      <c r="J124" s="80"/>
    </row>
    <row r="125" spans="1:10">
      <c r="A125" s="80"/>
      <c r="B125" s="80"/>
      <c r="C125" s="80"/>
      <c r="D125" s="80"/>
      <c r="E125" s="80"/>
      <c r="F125" s="80"/>
      <c r="G125" s="80"/>
      <c r="H125" s="80"/>
      <c r="I125" s="80"/>
      <c r="J125" s="80"/>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B712-08A1-4BAC-AC46-AD4366F5A74B}">
  <sheetPr>
    <tabColor theme="9" tint="0.39997558519241921"/>
  </sheetPr>
  <dimension ref="A1:S49"/>
  <sheetViews>
    <sheetView showGridLines="0" topLeftCell="A13" workbookViewId="0">
      <pane xSplit="1" topLeftCell="B1" activePane="topRight" state="frozen"/>
      <selection pane="topRight" activeCell="G22" sqref="G2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6"/>
      <c r="F3" s="112"/>
      <c r="G3" s="112"/>
    </row>
    <row r="4" spans="1:17">
      <c r="A4" s="227" t="s">
        <v>504</v>
      </c>
      <c r="E4" s="277"/>
      <c r="F4" s="112"/>
      <c r="G4" s="119"/>
      <c r="L4" s="112"/>
    </row>
    <row r="5" spans="1:17">
      <c r="A5" t="s">
        <v>565</v>
      </c>
      <c r="C5" s="29">
        <f>IF(A4="Base Case",Base_Ebit_g,IF(A4="Bear Case",Bear_Ebit_g,Bull_Ebit_g))</f>
        <v>0.14000000000000001</v>
      </c>
      <c r="E5" s="112"/>
      <c r="F5" s="112"/>
      <c r="G5" s="107"/>
      <c r="L5" s="112"/>
    </row>
    <row r="6" spans="1:17">
      <c r="A6" s="117" t="s">
        <v>344</v>
      </c>
      <c r="C6" s="29">
        <f ca="1">IF(A4="Base Case",Base_ReinvestRate,IF(A4="Bear Case",Bear_ReinvestRate,Bull_ReinvestRate))</f>
        <v>0.90405347746572307</v>
      </c>
      <c r="E6" s="112"/>
      <c r="F6" s="112"/>
      <c r="G6" s="107"/>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5</v>
      </c>
      <c r="E8" s="112"/>
      <c r="F8" s="112"/>
      <c r="G8" s="119"/>
      <c r="L8" s="112"/>
    </row>
    <row r="9" spans="1:17">
      <c r="A9" s="117" t="s">
        <v>556</v>
      </c>
      <c r="C9" s="123">
        <f>_xlfn.CEILING.MATH((C8/2))</f>
        <v>3</v>
      </c>
      <c r="E9" s="112"/>
      <c r="F9" s="112"/>
      <c r="G9" s="119"/>
    </row>
    <row r="10" spans="1:17">
      <c r="E10" s="112"/>
      <c r="F10" s="112"/>
      <c r="G10" s="119"/>
    </row>
    <row r="12" spans="1:17">
      <c r="A12" s="160"/>
      <c r="B12" s="160"/>
      <c r="C12" s="160"/>
      <c r="D12" s="140"/>
      <c r="E12" s="275"/>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0.13988801988764954</v>
      </c>
      <c r="D16" s="29">
        <f t="shared" ca="1" si="0"/>
        <v>0.1399999999999999</v>
      </c>
      <c r="E16" s="29">
        <f t="shared" ca="1" si="0"/>
        <v>0.14000000000000012</v>
      </c>
      <c r="F16" s="29">
        <f t="shared" ca="1" si="0"/>
        <v>7.8734999999999999E-2</v>
      </c>
      <c r="G16" s="29">
        <f t="shared" ca="1" si="0"/>
        <v>1.7470000000000097E-2</v>
      </c>
      <c r="H16" s="29" t="str">
        <f t="shared" si="0"/>
        <v xml:space="preserve"> </v>
      </c>
      <c r="I16" s="29" t="str">
        <f t="shared" si="0"/>
        <v xml:space="preserve"> </v>
      </c>
      <c r="J16" s="29" t="str">
        <f t="shared" si="0"/>
        <v xml:space="preserve"> </v>
      </c>
      <c r="K16" s="29" t="str">
        <f t="shared" si="0"/>
        <v xml:space="preserve"> </v>
      </c>
      <c r="L16" s="29" t="str">
        <f t="shared" si="0"/>
        <v xml:space="preserve"> </v>
      </c>
      <c r="M16" s="29">
        <f ca="1">Terminal_Sales/INDIRECT(ADDRESS(ROW(A17),C8+2))-1</f>
        <v>0.85001351729212682</v>
      </c>
      <c r="N16" s="150"/>
      <c r="O16" s="150"/>
      <c r="P16" s="150"/>
      <c r="Q16" s="150"/>
    </row>
    <row r="17" spans="1:19">
      <c r="A17" s="128" t="s">
        <v>351</v>
      </c>
      <c r="B17" s="198">
        <f>'Master Inputs'!B14</f>
        <v>22109946</v>
      </c>
      <c r="C17" s="198">
        <f t="shared" ref="C17:L17" ca="1" si="1">IF(Model_Year&gt;Model_CAP_Length," ",Model_Ebit/Model_EbitMargin)</f>
        <v>25202862.565762855</v>
      </c>
      <c r="D17" s="198">
        <f t="shared" ca="1" si="1"/>
        <v>28731263.324969653</v>
      </c>
      <c r="E17" s="198">
        <f t="shared" ca="1" si="1"/>
        <v>32753640.190465409</v>
      </c>
      <c r="F17" s="198">
        <f t="shared" ca="1" si="1"/>
        <v>35332498.050861701</v>
      </c>
      <c r="G17" s="198">
        <f t="shared" ca="1" si="1"/>
        <v>35949756.791810259</v>
      </c>
      <c r="H17" s="198" t="str">
        <f t="shared" si="1"/>
        <v xml:space="preserve"> </v>
      </c>
      <c r="I17" s="198" t="str">
        <f t="shared" si="1"/>
        <v xml:space="preserve"> </v>
      </c>
      <c r="J17" s="198" t="str">
        <f t="shared" si="1"/>
        <v xml:space="preserve"> </v>
      </c>
      <c r="K17" s="198" t="str">
        <f t="shared" si="1"/>
        <v xml:space="preserve"> </v>
      </c>
      <c r="L17" s="198" t="str">
        <f t="shared" si="1"/>
        <v xml:space="preserve"> </v>
      </c>
      <c r="M17" s="198">
        <f ca="1">Terminal_Ebit/Terminal_EbitMargin</f>
        <v>66507536.008213423</v>
      </c>
      <c r="N17" s="124"/>
      <c r="O17" s="124"/>
      <c r="P17" s="124"/>
      <c r="Q17" s="124"/>
      <c r="S17" s="144"/>
    </row>
    <row r="18" spans="1:19">
      <c r="A18" s="142" t="s">
        <v>353</v>
      </c>
      <c r="B18" s="29">
        <f ca="1">B20/B17</f>
        <v>0.24707572781950712</v>
      </c>
      <c r="C18" s="141">
        <v>0.24709999999999999</v>
      </c>
      <c r="D18" s="141">
        <v>0.24709999999999999</v>
      </c>
      <c r="E18" s="141">
        <v>0.24709999999999999</v>
      </c>
      <c r="F18" s="141">
        <v>0.24709999999999999</v>
      </c>
      <c r="G18" s="141">
        <v>0.24709999999999999</v>
      </c>
      <c r="H18" s="141"/>
      <c r="I18" s="141"/>
      <c r="J18" s="141"/>
      <c r="K18" s="141"/>
      <c r="L18" s="141"/>
      <c r="M18" s="173">
        <v>0.13589999999999999</v>
      </c>
      <c r="N18" s="150"/>
      <c r="O18" s="150"/>
      <c r="P18" s="150"/>
      <c r="Q18" s="150"/>
    </row>
    <row r="19" spans="1:19">
      <c r="A19" s="142" t="s">
        <v>555</v>
      </c>
      <c r="B19" s="29"/>
      <c r="C19" s="29">
        <f t="shared" ref="C19:L19" si="2">IF(Model_Year&gt;Model_CAP_Length," ",IF(Model_Year&gt;$C$9,Terminal_Ebit_g+((Model_Ebit_g-Terminal_Ebit_g)/(Model_CAP_Length-$C$9))*(Model_CAP_Length-Model_Year),Model_Ebit_g))</f>
        <v>0.14000000000000001</v>
      </c>
      <c r="D19" s="29">
        <f t="shared" si="2"/>
        <v>0.14000000000000001</v>
      </c>
      <c r="E19" s="29">
        <f t="shared" si="2"/>
        <v>0.14000000000000001</v>
      </c>
      <c r="F19" s="29">
        <f t="shared" si="2"/>
        <v>7.8734999999999999E-2</v>
      </c>
      <c r="G19" s="29">
        <f t="shared" si="2"/>
        <v>1.7469999999999999E-2</v>
      </c>
      <c r="H19" s="29" t="str">
        <f t="shared" si="2"/>
        <v xml:space="preserve"> </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5462831</v>
      </c>
      <c r="C20" s="198">
        <f t="shared" ref="C20:L20" ca="1" si="3">IF(Model_Year&gt;Model_CAP_Length," ",B20*(1+Model_EbitGrowth_Total))</f>
        <v>6227627.3400000008</v>
      </c>
      <c r="D20" s="198">
        <f t="shared" ca="1" si="3"/>
        <v>7099495.1676000012</v>
      </c>
      <c r="E20" s="198">
        <f t="shared" ca="1" si="3"/>
        <v>8093424.4910640018</v>
      </c>
      <c r="F20" s="198">
        <f t="shared" ca="1" si="3"/>
        <v>8730660.2683679257</v>
      </c>
      <c r="G20" s="198">
        <f t="shared" ca="1" si="3"/>
        <v>8883184.9032563139</v>
      </c>
      <c r="H20" s="198" t="str">
        <f t="shared" si="3"/>
        <v xml:space="preserve"> </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9038374.1435162034</v>
      </c>
      <c r="N20" s="150"/>
      <c r="O20" s="150"/>
      <c r="P20" s="150"/>
      <c r="Q20" s="150"/>
    </row>
    <row r="21" spans="1:19" ht="16.5" thickBot="1">
      <c r="A21" s="131" t="s">
        <v>352</v>
      </c>
      <c r="B21" s="30">
        <f>Adj_Effective_T</f>
        <v>0.15957912826148662</v>
      </c>
      <c r="C21" s="149">
        <v>0.16500000000000001</v>
      </c>
      <c r="D21" s="149">
        <v>0.17</v>
      </c>
      <c r="E21" s="149">
        <v>0.17499999999999999</v>
      </c>
      <c r="F21" s="149">
        <v>0.18</v>
      </c>
      <c r="G21" s="149">
        <v>0.19500000000000001</v>
      </c>
      <c r="H21" s="149"/>
      <c r="I21" s="149"/>
      <c r="J21" s="149"/>
      <c r="K21" s="149"/>
      <c r="L21" s="149"/>
      <c r="M21" s="255">
        <f>Marginal_TaxRate</f>
        <v>0.25</v>
      </c>
      <c r="N21" s="151"/>
      <c r="O21" s="151"/>
      <c r="P21" s="151"/>
      <c r="Q21" s="151"/>
    </row>
    <row r="22" spans="1:19" ht="16.5" thickTop="1">
      <c r="A22" s="152" t="s">
        <v>341</v>
      </c>
      <c r="B22" s="267">
        <f ca="1">B20*(1-B21)</f>
        <v>4591077.1911801742</v>
      </c>
      <c r="C22" s="267">
        <f t="shared" ref="C22:L22" ca="1" si="4">IF(Model_Year&gt;Model_CAP_Length," ",Model_Ebit*(1-C21))</f>
        <v>5200068.8289000001</v>
      </c>
      <c r="D22" s="267">
        <f t="shared" ca="1" si="4"/>
        <v>5892580.9891080009</v>
      </c>
      <c r="E22" s="267">
        <f t="shared" ca="1" si="4"/>
        <v>6677075.2051278008</v>
      </c>
      <c r="F22" s="267">
        <f t="shared" ca="1" si="4"/>
        <v>7159141.4200617</v>
      </c>
      <c r="G22" s="267">
        <f t="shared" ca="1" si="4"/>
        <v>7150963.8471213318</v>
      </c>
      <c r="H22" s="267" t="str">
        <f t="shared" si="4"/>
        <v xml:space="preserve"> </v>
      </c>
      <c r="I22" s="267" t="str">
        <f t="shared" si="4"/>
        <v xml:space="preserve"> </v>
      </c>
      <c r="J22" s="267" t="str">
        <f t="shared" si="4"/>
        <v xml:space="preserve"> </v>
      </c>
      <c r="K22" s="267" t="str">
        <f t="shared" si="4"/>
        <v xml:space="preserve"> </v>
      </c>
      <c r="L22" s="267" t="str">
        <f t="shared" si="4"/>
        <v xml:space="preserve"> </v>
      </c>
      <c r="M22" s="268">
        <f ca="1">Terminal_Ebit*(1-Marginal_TaxRate)</f>
        <v>6778780.6076371521</v>
      </c>
      <c r="N22" s="150"/>
      <c r="O22" s="150"/>
      <c r="P22" s="150"/>
      <c r="Q22" s="150"/>
    </row>
    <row r="23" spans="1:19">
      <c r="A23" s="142" t="s">
        <v>193</v>
      </c>
      <c r="B23" s="29"/>
      <c r="C23" s="29">
        <f ca="1">IF(Model_Year&gt;Model_CAP_Length," ",IF(Model_Year&gt;$C$9,$M$23+(($C$6-$M$23)/($C$8-$C$9))*($C$8-Model_Year),$C$6))</f>
        <v>0.90405347746572307</v>
      </c>
      <c r="D23" s="29">
        <f t="shared" ref="D23:L23" ca="1" si="5">IF(Model_Year&gt;Model_CAP_Length," ",IF(D15&gt;$C$9,$M$23+(($C$6-$M$23)/($C$8-$C$9))*($C$8-D15),$C$6))</f>
        <v>0.90405347746572307</v>
      </c>
      <c r="E23" s="29">
        <f t="shared" ca="1" si="5"/>
        <v>0.90405347746572307</v>
      </c>
      <c r="F23" s="29">
        <f t="shared" ca="1" si="5"/>
        <v>0.63603769301977953</v>
      </c>
      <c r="G23" s="29">
        <f t="shared" ca="1" si="5"/>
        <v>0.3680219085738361</v>
      </c>
      <c r="H23" s="29" t="str">
        <f t="shared" si="5"/>
        <v xml:space="preserve"> </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3" t="s">
        <v>554</v>
      </c>
      <c r="B24" s="169">
        <f>IF('Master Inputs'!W14&lt;0,D64,'Master Inputs'!W14)</f>
        <v>155520</v>
      </c>
      <c r="C24" s="169">
        <f t="shared" ref="C24:L24" ca="1" si="6">IF(Model_Year&gt;Model_CAP_Length," ",(C17-B17)*Adj_WCSalesRatio)</f>
        <v>-887526.55968050507</v>
      </c>
      <c r="D24" s="169">
        <f t="shared" ca="1" si="6"/>
        <v>-1012490.7414760824</v>
      </c>
      <c r="E24" s="169">
        <f t="shared" ca="1" si="6"/>
        <v>-1154239.4452827359</v>
      </c>
      <c r="F24" s="169">
        <f t="shared" ca="1" si="6"/>
        <v>-740015.0621838792</v>
      </c>
      <c r="G24" s="169">
        <f t="shared" ca="1" si="6"/>
        <v>-177125.21988179555</v>
      </c>
      <c r="H24" s="169" t="str">
        <f t="shared" si="6"/>
        <v xml:space="preserve"> </v>
      </c>
      <c r="I24" s="169" t="str">
        <f t="shared" si="6"/>
        <v xml:space="preserve"> </v>
      </c>
      <c r="J24" s="169" t="str">
        <f t="shared" si="6"/>
        <v xml:space="preserve"> </v>
      </c>
      <c r="K24" s="169" t="str">
        <f t="shared" si="6"/>
        <v xml:space="preserve"> </v>
      </c>
      <c r="L24" s="169" t="str">
        <f t="shared" si="6"/>
        <v xml:space="preserve"> </v>
      </c>
      <c r="M24" s="274">
        <f ca="1">(Terminal_Sales-INDIRECT(ADDRESS(ROW(A17),C8+2)))*Adj_WCSalesRatio</f>
        <v>-8768694.558277389</v>
      </c>
      <c r="N24" s="151"/>
      <c r="O24" s="151"/>
      <c r="P24" s="151"/>
      <c r="Q24" s="151"/>
    </row>
    <row r="25" spans="1:19" ht="16.5" thickBot="1">
      <c r="A25" s="131" t="s">
        <v>542</v>
      </c>
      <c r="B25" s="195">
        <f>'Master Inputs'!S14-'Master Inputs'!T14</f>
        <v>3961852</v>
      </c>
      <c r="C25" s="195">
        <f ca="1">IF(Model_Year&gt;Model_CAP_Length," ",C22*C23-C24+NetCapex_Adj)</f>
        <v>5588666.8675086601</v>
      </c>
      <c r="D25" s="195">
        <f t="shared" ref="D25:L25" ca="1" si="7">IF(Model_Year&gt;Model_CAP_Length," ",D22*D23-D24)</f>
        <v>6339699.0759275807</v>
      </c>
      <c r="E25" s="195">
        <f t="shared" ca="1" si="7"/>
        <v>7190672.5037786802</v>
      </c>
      <c r="F25" s="195">
        <f t="shared" ca="1" si="7"/>
        <v>5293498.855002271</v>
      </c>
      <c r="G25" s="195">
        <f t="shared" ca="1" si="7"/>
        <v>2808836.5830418896</v>
      </c>
      <c r="H25" s="195" t="str">
        <f t="shared" si="7"/>
        <v xml:space="preserve"> </v>
      </c>
      <c r="I25" s="195" t="str">
        <f t="shared" si="7"/>
        <v xml:space="preserve"> </v>
      </c>
      <c r="J25" s="195" t="str">
        <f t="shared" si="7"/>
        <v xml:space="preserve"> </v>
      </c>
      <c r="K25" s="195" t="str">
        <f t="shared" si="7"/>
        <v xml:space="preserve"> </v>
      </c>
      <c r="L25" s="195" t="str">
        <f t="shared" si="7"/>
        <v xml:space="preserve"> </v>
      </c>
      <c r="M25" s="266">
        <f ca="1">M22*M23-M24</f>
        <v>11263434.335303321</v>
      </c>
      <c r="N25" s="151"/>
      <c r="O25" s="151"/>
      <c r="P25" s="151"/>
      <c r="Q25" s="151"/>
    </row>
    <row r="26" spans="1:19" ht="16.5" thickTop="1">
      <c r="A26" s="130" t="s">
        <v>345</v>
      </c>
      <c r="B26" s="196">
        <f ca="1">B22-B25-B24</f>
        <v>473705.19118017424</v>
      </c>
      <c r="C26" s="196">
        <f t="shared" ref="C26:L26" ca="1" si="8">IF(Model_Year&gt;Model_CAP_Length," ",C22-C25-C24)</f>
        <v>498928.52107184508</v>
      </c>
      <c r="D26" s="196">
        <f t="shared" ca="1" si="8"/>
        <v>565372.65465650253</v>
      </c>
      <c r="E26" s="196">
        <f t="shared" ca="1" si="8"/>
        <v>640642.14663185645</v>
      </c>
      <c r="F26" s="196">
        <f t="shared" ca="1" si="8"/>
        <v>2605657.6272433084</v>
      </c>
      <c r="G26" s="196">
        <f t="shared" ca="1" si="8"/>
        <v>4519252.4839612376</v>
      </c>
      <c r="H26" s="196" t="str">
        <f t="shared" si="8"/>
        <v xml:space="preserve"> </v>
      </c>
      <c r="I26" s="196" t="str">
        <f t="shared" si="8"/>
        <v xml:space="preserve"> </v>
      </c>
      <c r="J26" s="196" t="str">
        <f t="shared" si="8"/>
        <v xml:space="preserve"> </v>
      </c>
      <c r="K26" s="196" t="str">
        <f t="shared" si="8"/>
        <v xml:space="preserve"> </v>
      </c>
      <c r="L26" s="196" t="str">
        <f t="shared" si="8"/>
        <v xml:space="preserve"> </v>
      </c>
      <c r="M26" s="197">
        <f ca="1">M22-M25-M24</f>
        <v>4284040.8306112196</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6.8734999999999991E-2</v>
      </c>
      <c r="G27" s="29">
        <f t="shared" si="9"/>
        <v>4.7469999999999998E-2</v>
      </c>
      <c r="H27" s="29" t="str">
        <f t="shared" si="9"/>
        <v xml:space="preserve"> </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8" t="s">
        <v>574</v>
      </c>
      <c r="B28" s="30"/>
      <c r="C28" s="30">
        <f>IF(C15&gt;$C$8," ",(1+C27))</f>
        <v>1.0900000000000001</v>
      </c>
      <c r="D28" s="30">
        <f>IF(D15&gt;$C$8," ",(1+C27)*(1+D27))</f>
        <v>1.1881000000000002</v>
      </c>
      <c r="E28" s="30">
        <f>IF(E15&gt;$C$8," ",(1+C27)*(1+D27)*(1+E27))</f>
        <v>1.2950290000000002</v>
      </c>
      <c r="F28" s="30">
        <f>IF(F15&gt;$C$8," ",(1+C27)*(1+D27)*(1+E27)*(1+F27))</f>
        <v>1.3840428183150002</v>
      </c>
      <c r="G28" s="30">
        <f>IF(G15&gt;$C$8," ",(1+C27)*(1+D27)*(1+E27)*(1+F27)*(1+G27))</f>
        <v>1.4497433309004131</v>
      </c>
      <c r="H28" s="30" t="str">
        <f>IF(H15&gt;$C$8," ",(1+C27)*(1+D27)*(1+E27)*(1+F27)*(1+G27)*(1+H27))</f>
        <v xml:space="preserve"> </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457732.58813930739</v>
      </c>
      <c r="D29" s="197">
        <f t="shared" ca="1" si="10"/>
        <v>475862.85216438217</v>
      </c>
      <c r="E29" s="197">
        <f t="shared" ca="1" si="10"/>
        <v>494693.28225997748</v>
      </c>
      <c r="F29" s="197">
        <f t="shared" ca="1" si="10"/>
        <v>1882642.3523627401</v>
      </c>
      <c r="G29" s="197">
        <f t="shared" ca="1" si="10"/>
        <v>3117277.6502130209</v>
      </c>
      <c r="H29" s="197" t="str">
        <f t="shared" si="10"/>
        <v xml:space="preserve"> </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4" t="s">
        <v>429</v>
      </c>
      <c r="E31" s="324"/>
      <c r="G31" s="276"/>
      <c r="H31" s="112"/>
      <c r="I31" s="112"/>
      <c r="J31" s="112"/>
      <c r="K31" s="112"/>
    </row>
    <row r="32" spans="1:19">
      <c r="A32" s="15" t="s">
        <v>427</v>
      </c>
      <c r="C32" s="29">
        <f ca="1">D32/D34</f>
        <v>5.8332442915747296E-2</v>
      </c>
      <c r="D32" s="321">
        <f ca="1">SUM(C29:L29)</f>
        <v>6428208.7251394279</v>
      </c>
      <c r="E32" s="321"/>
      <c r="F32" s="200"/>
      <c r="G32" s="112"/>
      <c r="H32" s="140"/>
      <c r="I32" s="140"/>
      <c r="J32" s="140"/>
      <c r="K32" s="112"/>
    </row>
    <row r="33" spans="1:17" ht="16.5" thickBot="1">
      <c r="A33" s="15" t="s">
        <v>428</v>
      </c>
      <c r="C33" s="30">
        <f ca="1">1-C32</f>
        <v>0.94166755708425276</v>
      </c>
      <c r="D33" s="322">
        <f ca="1">IF(C8=0,(M26/(M27-M19)),(M26/(M27-M19))/INDIRECT(ADDRESS(ROW(A28),C8+2)))</f>
        <v>98501133.253485844</v>
      </c>
      <c r="E33" s="322"/>
      <c r="F33" s="200"/>
      <c r="G33" s="107"/>
      <c r="H33" s="119"/>
      <c r="I33" s="307"/>
      <c r="J33" s="307"/>
      <c r="K33" s="112"/>
    </row>
    <row r="34" spans="1:17" ht="16.5" thickTop="1">
      <c r="A34" s="117" t="s">
        <v>201</v>
      </c>
      <c r="D34" s="323">
        <f ca="1">D32+D33+Cash+NonOperating_Assets</f>
        <v>110199545.97862527</v>
      </c>
      <c r="E34" s="323"/>
      <c r="F34" s="200"/>
      <c r="G34" s="107"/>
      <c r="H34" s="307"/>
      <c r="I34" s="307"/>
      <c r="J34" s="307"/>
      <c r="K34" s="112"/>
    </row>
    <row r="35" spans="1:17">
      <c r="F35" s="112"/>
      <c r="G35" s="140"/>
      <c r="H35" s="119"/>
      <c r="I35" s="112"/>
      <c r="J35" s="112"/>
      <c r="K35" s="112"/>
    </row>
    <row r="36" spans="1:17" ht="16.5" thickBot="1">
      <c r="A36" s="126" t="s">
        <v>359</v>
      </c>
      <c r="C36" s="107"/>
      <c r="D36" s="322">
        <f ca="1">MV_Debt</f>
        <v>803170</v>
      </c>
      <c r="E36" s="322"/>
      <c r="G36" s="107"/>
      <c r="H36" s="119"/>
      <c r="I36" s="112"/>
      <c r="J36" s="112"/>
      <c r="K36" s="112"/>
    </row>
    <row r="37" spans="1:17" ht="16.5" thickTop="1">
      <c r="A37" s="117" t="s">
        <v>358</v>
      </c>
      <c r="C37" s="107"/>
      <c r="D37" s="325">
        <f ca="1">D34-MV_Debt</f>
        <v>109396375.97862527</v>
      </c>
      <c r="E37" s="325"/>
      <c r="G37" s="107"/>
      <c r="H37" s="166"/>
      <c r="I37" s="112"/>
    </row>
    <row r="38" spans="1:17">
      <c r="A38" s="126" t="s">
        <v>453</v>
      </c>
      <c r="D38" s="321">
        <f>MI*PB_Company</f>
        <v>424861.79988174094</v>
      </c>
      <c r="E38" s="321"/>
      <c r="G38" s="112"/>
      <c r="H38" s="119"/>
      <c r="I38" s="107"/>
    </row>
    <row r="39" spans="1:17" ht="16.5" thickBot="1">
      <c r="A39" s="126" t="s">
        <v>454</v>
      </c>
      <c r="D39" s="322">
        <v>0</v>
      </c>
      <c r="E39" s="322"/>
      <c r="G39" s="112"/>
      <c r="H39" s="119"/>
      <c r="I39" s="107"/>
    </row>
    <row r="40" spans="1:17" ht="16.5" thickTop="1">
      <c r="A40" s="117" t="s">
        <v>202</v>
      </c>
      <c r="D40" s="323">
        <f ca="1">D37-D38-D39</f>
        <v>108971514.17874353</v>
      </c>
      <c r="E40" s="323"/>
      <c r="F40" s="123" t="str">
        <f>CF_Currency</f>
        <v>RMB</v>
      </c>
      <c r="H40" s="119"/>
      <c r="I40" s="107"/>
    </row>
    <row r="41" spans="1:17">
      <c r="A41" s="117" t="s">
        <v>203</v>
      </c>
      <c r="E41" s="258">
        <f ca="1">IF(Is_Listed="Listed",(D40*'Master Inputs'!C10)/Num_of_Shares,D40*'Master Inputs'!C10)</f>
        <v>127.40719293782696</v>
      </c>
      <c r="F41" s="123" t="str">
        <f>CF_Currency</f>
        <v>RMB</v>
      </c>
      <c r="H41" s="167"/>
      <c r="I41" s="112"/>
    </row>
    <row r="42" spans="1:17">
      <c r="D42" s="229" t="str">
        <f>IF(F41&lt;&gt;D44,"=&gt;","")</f>
        <v>=&gt;</v>
      </c>
      <c r="E42" s="230">
        <f ca="1">IF(Price_Currency&lt;&gt;CF_Currency,E41*Exchange_Rate,"")</f>
        <v>151.19442673287003</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224.6</v>
      </c>
      <c r="F44" s="120" t="s">
        <v>432</v>
      </c>
      <c r="G44" s="34">
        <f ca="1">Current_Price/IF(Price_Currency&lt;&gt;CF_Currency,E42,E41)-1</f>
        <v>0.4855044914904354</v>
      </c>
      <c r="H44" s="117" t="str">
        <f ca="1">IF(G44&gt;=0," overvalued by the market."," undervalued by the market.")</f>
        <v xml:space="preserve"> overvalued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269">
        <f>B17/'Master Inputs'!P14</f>
        <v>0.56393476123527975</v>
      </c>
      <c r="C47" s="269">
        <f t="shared" ref="C47:L47" ca="1" si="11">IF(C15&gt;$C$8," ",(C17-B17)/(C25+C24))</f>
        <v>0.65790773370721378</v>
      </c>
      <c r="D47" s="269">
        <f t="shared" ca="1" si="11"/>
        <v>0.66233579347523119</v>
      </c>
      <c r="E47" s="269">
        <f t="shared" ca="1" si="11"/>
        <v>0.6663499497993246</v>
      </c>
      <c r="F47" s="269">
        <f t="shared" ca="1" si="11"/>
        <v>0.56634831213489412</v>
      </c>
      <c r="G47" s="269">
        <f t="shared" ca="1" si="11"/>
        <v>0.23454651964848028</v>
      </c>
      <c r="H47" s="269" t="str">
        <f t="shared" si="11"/>
        <v xml:space="preserve"> </v>
      </c>
      <c r="I47" s="269" t="str">
        <f t="shared" si="11"/>
        <v xml:space="preserve"> </v>
      </c>
      <c r="J47" s="269" t="str">
        <f t="shared" si="11"/>
        <v xml:space="preserve"> </v>
      </c>
      <c r="K47" s="269" t="str">
        <f t="shared" si="11"/>
        <v xml:space="preserve"> </v>
      </c>
      <c r="L47" s="269" t="str">
        <f t="shared" si="11"/>
        <v xml:space="preserve"> </v>
      </c>
      <c r="M47" s="269"/>
    </row>
    <row r="48" spans="1:17">
      <c r="A48" s="128" t="s">
        <v>208</v>
      </c>
      <c r="B48" s="269">
        <f>Adj!C24</f>
        <v>34269549</v>
      </c>
      <c r="C48" s="269">
        <f t="shared" ref="C48:L48" ca="1" si="12">IF(C15&gt;$C$8," ",B48+C25+C24)</f>
        <v>38970689.307828151</v>
      </c>
      <c r="D48" s="269">
        <f t="shared" ca="1" si="12"/>
        <v>44297897.642279647</v>
      </c>
      <c r="E48" s="269">
        <f t="shared" ca="1" si="12"/>
        <v>50334330.700775594</v>
      </c>
      <c r="F48" s="269">
        <f t="shared" ca="1" si="12"/>
        <v>54887814.493593983</v>
      </c>
      <c r="G48" s="269">
        <f t="shared" ca="1" si="12"/>
        <v>57519525.856754079</v>
      </c>
      <c r="H48" s="269" t="str">
        <f t="shared" si="12"/>
        <v xml:space="preserve"> </v>
      </c>
      <c r="I48" s="269" t="str">
        <f t="shared" si="12"/>
        <v xml:space="preserve"> </v>
      </c>
      <c r="J48" s="269" t="str">
        <f t="shared" si="12"/>
        <v xml:space="preserve"> </v>
      </c>
      <c r="K48" s="269" t="str">
        <f t="shared" si="12"/>
        <v xml:space="preserve"> </v>
      </c>
      <c r="L48" s="269" t="str">
        <f t="shared" si="12"/>
        <v xml:space="preserve"> </v>
      </c>
      <c r="M48" s="123"/>
    </row>
    <row r="49" spans="1:13">
      <c r="A49" s="128" t="s">
        <v>209</v>
      </c>
      <c r="B49" s="29">
        <f ca="1">B22/B48</f>
        <v>0.13396958305988135</v>
      </c>
      <c r="C49" s="29">
        <f t="shared" ref="C49:L49" ca="1" si="13">IF(C15&gt;$C$8," ",C22/C48)</f>
        <v>0.13343538236711269</v>
      </c>
      <c r="D49" s="29">
        <f t="shared" ca="1" si="13"/>
        <v>0.13302168506263129</v>
      </c>
      <c r="E49" s="29">
        <f t="shared" ca="1" si="13"/>
        <v>0.1326544946990805</v>
      </c>
      <c r="F49" s="29">
        <f t="shared" ca="1" si="13"/>
        <v>0.13043225506632716</v>
      </c>
      <c r="G49" s="29">
        <f t="shared" ca="1" si="13"/>
        <v>0.12432237124015946</v>
      </c>
      <c r="H49" s="29" t="str">
        <f t="shared" si="13"/>
        <v xml:space="preserve"> </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BA58014-C5D0-40D5-B86D-FE23A7E5579B}">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topLeftCell="A13" workbookViewId="0">
      <pane xSplit="1" topLeftCell="B1" activePane="topRight" state="frozen"/>
      <selection pane="topRight" activeCell="E42" sqref="E4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6"/>
      <c r="F3" s="112"/>
      <c r="G3" s="112"/>
    </row>
    <row r="4" spans="1:17">
      <c r="A4" s="227" t="s">
        <v>505</v>
      </c>
      <c r="E4" s="277"/>
      <c r="F4" s="112"/>
      <c r="G4" s="119"/>
      <c r="L4" s="112"/>
    </row>
    <row r="5" spans="1:17">
      <c r="A5" t="s">
        <v>565</v>
      </c>
      <c r="C5" s="29">
        <f>IF(A4="Base Case",Base_Ebit_g,IF(A4="Bear Case",Bear_Ebit_g,Bull_Ebit_g))</f>
        <v>0.18</v>
      </c>
      <c r="E5" s="112"/>
      <c r="F5" s="112"/>
      <c r="G5" s="107"/>
      <c r="L5" s="112"/>
    </row>
    <row r="6" spans="1:17">
      <c r="A6" s="117" t="s">
        <v>344</v>
      </c>
      <c r="C6" s="29">
        <f ca="1">IF(A4="Base Case",Base_ReinvestRate,IF(A4="Bear Case",Bear_ReinvestRate,Bull_ReinvestRate))</f>
        <v>1.1623544710273581</v>
      </c>
      <c r="E6" s="112"/>
      <c r="F6" s="112"/>
      <c r="G6" s="107"/>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7</v>
      </c>
      <c r="E8" s="112"/>
      <c r="F8" s="112"/>
      <c r="G8" s="119"/>
      <c r="L8" s="112"/>
    </row>
    <row r="9" spans="1:17">
      <c r="A9" s="117" t="s">
        <v>556</v>
      </c>
      <c r="C9" s="123">
        <f>_xlfn.CEILING.MATH((C8/2))</f>
        <v>4</v>
      </c>
      <c r="E9" s="112"/>
      <c r="F9" s="112"/>
      <c r="G9" s="119"/>
    </row>
    <row r="10" spans="1:17">
      <c r="E10" s="112"/>
      <c r="F10" s="112"/>
      <c r="G10" s="119"/>
    </row>
    <row r="12" spans="1:17">
      <c r="A12" s="160"/>
      <c r="B12" s="160"/>
      <c r="C12" s="160"/>
      <c r="D12" s="140"/>
      <c r="E12" s="275"/>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0.17988409076090006</v>
      </c>
      <c r="D16" s="29">
        <f t="shared" ca="1" si="0"/>
        <v>0.17999999999999994</v>
      </c>
      <c r="E16" s="29">
        <f t="shared" ca="1" si="0"/>
        <v>0.17999999999999994</v>
      </c>
      <c r="F16" s="29">
        <f t="shared" ca="1" si="0"/>
        <v>0.17999999999999972</v>
      </c>
      <c r="G16" s="29">
        <f t="shared" ca="1" si="0"/>
        <v>0.12582333333333362</v>
      </c>
      <c r="H16" s="29">
        <f t="shared" ca="1" si="0"/>
        <v>7.1646666666666414E-2</v>
      </c>
      <c r="I16" s="29">
        <f t="shared" ca="1" si="0"/>
        <v>1.7470000000000097E-2</v>
      </c>
      <c r="J16" s="29" t="str">
        <f t="shared" si="0"/>
        <v xml:space="preserve"> </v>
      </c>
      <c r="K16" s="29" t="str">
        <f t="shared" si="0"/>
        <v xml:space="preserve"> </v>
      </c>
      <c r="L16" s="29" t="str">
        <f t="shared" si="0"/>
        <v xml:space="preserve"> </v>
      </c>
      <c r="M16" s="29">
        <f ca="1">Terminal_Sales/INDIRECT(ADDRESS(ROW(A17),C8+2))-1</f>
        <v>0.85001351729212682</v>
      </c>
      <c r="N16" s="150"/>
      <c r="O16" s="150"/>
      <c r="P16" s="150"/>
      <c r="Q16" s="150"/>
    </row>
    <row r="17" spans="1:19">
      <c r="A17" s="128" t="s">
        <v>351</v>
      </c>
      <c r="B17" s="198">
        <f>'Master Inputs'!B14</f>
        <v>22109946</v>
      </c>
      <c r="C17" s="198">
        <f t="shared" ref="C17:L17" ca="1" si="1">IF(Model_Year&gt;Model_CAP_Length," ",Model_Ebit/Model_EbitMargin)</f>
        <v>26087173.532982599</v>
      </c>
      <c r="D17" s="198">
        <f t="shared" ca="1" si="1"/>
        <v>30782864.768919468</v>
      </c>
      <c r="E17" s="198">
        <f t="shared" ca="1" si="1"/>
        <v>36323780.427324973</v>
      </c>
      <c r="F17" s="198">
        <f t="shared" ca="1" si="1"/>
        <v>42862060.904243462</v>
      </c>
      <c r="G17" s="198">
        <f t="shared" ca="1" si="1"/>
        <v>48255108.280751735</v>
      </c>
      <c r="H17" s="198">
        <f t="shared" ca="1" si="1"/>
        <v>51712425.938706651</v>
      </c>
      <c r="I17" s="198">
        <f t="shared" ca="1" si="1"/>
        <v>52615842.019855864</v>
      </c>
      <c r="J17" s="198" t="str">
        <f t="shared" si="1"/>
        <v xml:space="preserve"> </v>
      </c>
      <c r="K17" s="198" t="str">
        <f t="shared" si="1"/>
        <v xml:space="preserve"> </v>
      </c>
      <c r="L17" s="198" t="str">
        <f t="shared" si="1"/>
        <v xml:space="preserve"> </v>
      </c>
      <c r="M17" s="198">
        <f ca="1">Terminal_Ebit/Terminal_EbitMargin</f>
        <v>97340018.960440427</v>
      </c>
      <c r="N17" s="124"/>
      <c r="O17" s="124"/>
      <c r="P17" s="124"/>
      <c r="Q17" s="124"/>
      <c r="S17" s="144"/>
    </row>
    <row r="18" spans="1:19">
      <c r="A18" s="142" t="s">
        <v>353</v>
      </c>
      <c r="B18" s="29">
        <f ca="1">B20/B17</f>
        <v>0.24707572781950712</v>
      </c>
      <c r="C18" s="141">
        <v>0.24709999999999999</v>
      </c>
      <c r="D18" s="141">
        <v>0.24709999999999999</v>
      </c>
      <c r="E18" s="141">
        <v>0.24709999999999999</v>
      </c>
      <c r="F18" s="141">
        <v>0.24709999999999999</v>
      </c>
      <c r="G18" s="141">
        <v>0.24709999999999999</v>
      </c>
      <c r="H18" s="141">
        <v>0.24709999999999999</v>
      </c>
      <c r="I18" s="141">
        <v>0.24709999999999999</v>
      </c>
      <c r="J18" s="141"/>
      <c r="K18" s="141"/>
      <c r="L18" s="141"/>
      <c r="M18" s="173">
        <v>0.13589999999999999</v>
      </c>
      <c r="N18" s="150"/>
      <c r="O18" s="150"/>
      <c r="P18" s="150"/>
      <c r="Q18" s="150"/>
    </row>
    <row r="19" spans="1:19">
      <c r="A19" s="142" t="s">
        <v>555</v>
      </c>
      <c r="B19" s="29"/>
      <c r="C19" s="29">
        <f t="shared" ref="C19:L19" si="2">IF(Model_Year&gt;Model_CAP_Length," ",IF(Model_Year&gt;$C$9,Terminal_Ebit_g+((Model_Ebit_g-Terminal_Ebit_g)/(Model_CAP_Length-$C$9))*(Model_CAP_Length-Model_Year),Model_Ebit_g))</f>
        <v>0.18</v>
      </c>
      <c r="D19" s="29">
        <f t="shared" si="2"/>
        <v>0.18</v>
      </c>
      <c r="E19" s="29">
        <f t="shared" si="2"/>
        <v>0.18</v>
      </c>
      <c r="F19" s="29">
        <f t="shared" si="2"/>
        <v>0.18</v>
      </c>
      <c r="G19" s="29">
        <f t="shared" si="2"/>
        <v>0.12582333333333334</v>
      </c>
      <c r="H19" s="29">
        <f t="shared" si="2"/>
        <v>7.1646666666666664E-2</v>
      </c>
      <c r="I19" s="29">
        <f t="shared" si="2"/>
        <v>1.7469999999999999E-2</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5462831</v>
      </c>
      <c r="C20" s="198">
        <f t="shared" ref="C20:L20" ca="1" si="3">IF(Model_Year&gt;Model_CAP_Length," ",B20*(1+Model_EbitGrowth_Total))</f>
        <v>6446140.5800000001</v>
      </c>
      <c r="D20" s="198">
        <f t="shared" ca="1" si="3"/>
        <v>7606445.8843999999</v>
      </c>
      <c r="E20" s="198">
        <f t="shared" ca="1" si="3"/>
        <v>8975606.143592</v>
      </c>
      <c r="F20" s="198">
        <f t="shared" ca="1" si="3"/>
        <v>10591215.24943856</v>
      </c>
      <c r="G20" s="198">
        <f t="shared" ca="1" si="3"/>
        <v>11923837.256173752</v>
      </c>
      <c r="H20" s="198">
        <f t="shared" ca="1" si="3"/>
        <v>12778140.449454414</v>
      </c>
      <c r="I20" s="198">
        <f t="shared" ca="1" si="3"/>
        <v>13001374.563106384</v>
      </c>
      <c r="J20" s="198" t="str">
        <f t="shared" si="3"/>
        <v xml:space="preserve"> </v>
      </c>
      <c r="K20" s="198" t="str">
        <f t="shared" si="3"/>
        <v xml:space="preserve"> </v>
      </c>
      <c r="L20" s="198" t="str">
        <f t="shared" si="3"/>
        <v xml:space="preserve"> </v>
      </c>
      <c r="M20" s="198">
        <f ca="1">INDIRECT(ADDRESS(ROW(A20),C8+2))*(1+Terminal_Ebit_g)</f>
        <v>13228508.576723853</v>
      </c>
      <c r="N20" s="150"/>
      <c r="O20" s="150"/>
      <c r="P20" s="150"/>
      <c r="Q20" s="150"/>
    </row>
    <row r="21" spans="1:19" ht="16.5" thickBot="1">
      <c r="A21" s="131" t="s">
        <v>352</v>
      </c>
      <c r="B21" s="30">
        <f>Adj_Effective_T</f>
        <v>0.15957912826148662</v>
      </c>
      <c r="C21" s="149">
        <v>0.16500000000000001</v>
      </c>
      <c r="D21" s="149">
        <v>0.17</v>
      </c>
      <c r="E21" s="149">
        <v>0.17499999999999999</v>
      </c>
      <c r="F21" s="149">
        <v>0.18</v>
      </c>
      <c r="G21" s="149">
        <v>0.185</v>
      </c>
      <c r="H21" s="149">
        <v>0.19</v>
      </c>
      <c r="I21" s="149">
        <v>0.20499999999999999</v>
      </c>
      <c r="J21" s="149"/>
      <c r="K21" s="149"/>
      <c r="L21" s="149"/>
      <c r="M21" s="255">
        <f>Marginal_TaxRate</f>
        <v>0.25</v>
      </c>
      <c r="N21" s="151"/>
      <c r="O21" s="151"/>
      <c r="P21" s="151"/>
      <c r="Q21" s="151"/>
    </row>
    <row r="22" spans="1:19" ht="16.5" thickTop="1">
      <c r="A22" s="152" t="s">
        <v>341</v>
      </c>
      <c r="B22" s="267">
        <f ca="1">B20*(1-B21)</f>
        <v>4591077.1911801742</v>
      </c>
      <c r="C22" s="267">
        <f t="shared" ref="C22:L22" ca="1" si="4">IF(Model_Year&gt;Model_CAP_Length," ",Model_Ebit*(1-C21))</f>
        <v>5382527.3843</v>
      </c>
      <c r="D22" s="267">
        <f t="shared" ca="1" si="4"/>
        <v>6313350.0840519993</v>
      </c>
      <c r="E22" s="267">
        <f t="shared" ca="1" si="4"/>
        <v>7404875.0684634</v>
      </c>
      <c r="F22" s="267">
        <f t="shared" ca="1" si="4"/>
        <v>8684796.5045396201</v>
      </c>
      <c r="G22" s="267">
        <f t="shared" ca="1" si="4"/>
        <v>9717927.3637816068</v>
      </c>
      <c r="H22" s="267">
        <f t="shared" ca="1" si="4"/>
        <v>10350293.764058076</v>
      </c>
      <c r="I22" s="267">
        <f t="shared" ca="1" si="4"/>
        <v>10336092.777669575</v>
      </c>
      <c r="J22" s="267" t="str">
        <f t="shared" si="4"/>
        <v xml:space="preserve"> </v>
      </c>
      <c r="K22" s="267" t="str">
        <f t="shared" si="4"/>
        <v xml:space="preserve"> </v>
      </c>
      <c r="L22" s="267" t="str">
        <f t="shared" si="4"/>
        <v xml:space="preserve"> </v>
      </c>
      <c r="M22" s="268">
        <f ca="1">Terminal_Ebit*(1-Marginal_TaxRate)</f>
        <v>9921381.4325428903</v>
      </c>
      <c r="N22" s="150"/>
      <c r="O22" s="150"/>
      <c r="P22" s="150"/>
      <c r="Q22" s="150"/>
    </row>
    <row r="23" spans="1:19">
      <c r="A23" s="142" t="s">
        <v>193</v>
      </c>
      <c r="B23" s="29"/>
      <c r="C23" s="29">
        <f ca="1">IF(Model_Year&gt;Model_CAP_Length," ",IF(Model_Year&gt;$C$9,$M$23+(($C$6-$M$23)/($C$8-$C$9))*($C$8-Model_Year),$C$6))</f>
        <v>1.1623544710273581</v>
      </c>
      <c r="D23" s="29">
        <f t="shared" ref="D23:L23" ca="1" si="5">IF(Model_Year&gt;Model_CAP_Length," ",IF(D15&gt;$C$9,$M$23+(($C$6-$M$23)/($C$8-$C$9))*($C$8-D15),$C$6))</f>
        <v>1.1623544710273581</v>
      </c>
      <c r="E23" s="29">
        <f t="shared" ca="1" si="5"/>
        <v>1.1623544710273581</v>
      </c>
      <c r="F23" s="29">
        <f t="shared" ca="1" si="5"/>
        <v>1.1623544710273581</v>
      </c>
      <c r="G23" s="29">
        <f t="shared" ca="1" si="5"/>
        <v>0.89757695020951744</v>
      </c>
      <c r="H23" s="29">
        <f t="shared" ca="1" si="5"/>
        <v>0.63279942939167677</v>
      </c>
      <c r="I23" s="29">
        <f t="shared" ca="1" si="5"/>
        <v>0.3680219085738361</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3" t="s">
        <v>554</v>
      </c>
      <c r="B24" s="169">
        <f>IF('Master Inputs'!W14&lt;0,D64,'Master Inputs'!W14)</f>
        <v>155520</v>
      </c>
      <c r="C24" s="169">
        <f t="shared" ref="C24:L24" ca="1" si="6">IF(Model_Year&gt;Model_CAP_Length," ",(C17-B17)*Adj_WCSalesRatio)</f>
        <v>-1141283.6377446847</v>
      </c>
      <c r="D24" s="169">
        <f t="shared" ca="1" si="6"/>
        <v>-1347450.0845208021</v>
      </c>
      <c r="E24" s="169">
        <f t="shared" ca="1" si="6"/>
        <v>-1589991.0997345464</v>
      </c>
      <c r="F24" s="169">
        <f t="shared" ca="1" si="6"/>
        <v>-1876189.4976867626</v>
      </c>
      <c r="G24" s="169">
        <f t="shared" ca="1" si="6"/>
        <v>-1547559.6196969501</v>
      </c>
      <c r="H24" s="169">
        <f t="shared" ca="1" si="6"/>
        <v>-992093.12034272891</v>
      </c>
      <c r="I24" s="169">
        <f t="shared" ca="1" si="6"/>
        <v>-259239.37791857083</v>
      </c>
      <c r="J24" s="169" t="str">
        <f t="shared" si="6"/>
        <v xml:space="preserve"> </v>
      </c>
      <c r="K24" s="169" t="str">
        <f t="shared" si="6"/>
        <v xml:space="preserve"> </v>
      </c>
      <c r="L24" s="169" t="str">
        <f t="shared" si="6"/>
        <v xml:space="preserve"> </v>
      </c>
      <c r="M24" s="274">
        <f ca="1">(Terminal_Sales-INDIRECT(ADDRESS(ROW(A17),C8+2)))*Adj_WCSalesRatio</f>
        <v>-12833807.201271482</v>
      </c>
      <c r="N24" s="151"/>
      <c r="O24" s="151"/>
      <c r="P24" s="151"/>
      <c r="Q24" s="151"/>
    </row>
    <row r="25" spans="1:19" ht="16.5" thickBot="1">
      <c r="A25" s="131" t="s">
        <v>542</v>
      </c>
      <c r="B25" s="195">
        <f>'Master Inputs'!S14-'Master Inputs'!T14</f>
        <v>3961852</v>
      </c>
      <c r="C25" s="195">
        <f ca="1">IF(Model_Year&gt;Model_CAP_Length," ",C22*C23-C24+NetCapex_Adj)</f>
        <v>7397688.408312981</v>
      </c>
      <c r="D25" s="195">
        <f t="shared" ref="D25:L25" ca="1" si="7">IF(Model_Year&gt;Model_CAP_Length," ",D22*D23-D24)</f>
        <v>8685800.7818795908</v>
      </c>
      <c r="E25" s="195">
        <f t="shared" ca="1" si="7"/>
        <v>10197080.742961993</v>
      </c>
      <c r="F25" s="195">
        <f t="shared" ca="1" si="7"/>
        <v>11971001.544701161</v>
      </c>
      <c r="G25" s="195">
        <f t="shared" ca="1" si="7"/>
        <v>10270147.22523766</v>
      </c>
      <c r="H25" s="195">
        <f t="shared" ca="1" si="7"/>
        <v>7541753.1082749097</v>
      </c>
      <c r="I25" s="195">
        <f t="shared" ca="1" si="7"/>
        <v>4063147.9691527709</v>
      </c>
      <c r="J25" s="195" t="str">
        <f t="shared" si="7"/>
        <v xml:space="preserve"> </v>
      </c>
      <c r="K25" s="195" t="str">
        <f t="shared" si="7"/>
        <v xml:space="preserve"> </v>
      </c>
      <c r="L25" s="195" t="str">
        <f t="shared" si="7"/>
        <v xml:space="preserve"> </v>
      </c>
      <c r="M25" s="266">
        <f ca="1">M22*M23-M24</f>
        <v>16485092.931764936</v>
      </c>
      <c r="N25" s="151"/>
      <c r="O25" s="151"/>
      <c r="P25" s="151"/>
      <c r="Q25" s="151"/>
    </row>
    <row r="26" spans="1:19" ht="16.5" thickTop="1">
      <c r="A26" s="130" t="s">
        <v>345</v>
      </c>
      <c r="B26" s="196">
        <f ca="1">B22-B25-B24</f>
        <v>473705.19118017424</v>
      </c>
      <c r="C26" s="196">
        <f t="shared" ref="C26:L26" ca="1" si="8">IF(Model_Year&gt;Model_CAP_Length," ",C22-C25-C24)</f>
        <v>-873877.38626829628</v>
      </c>
      <c r="D26" s="196">
        <f t="shared" ca="1" si="8"/>
        <v>-1025000.6133067894</v>
      </c>
      <c r="E26" s="196">
        <f t="shared" ca="1" si="8"/>
        <v>-1202214.5747640471</v>
      </c>
      <c r="F26" s="196">
        <f t="shared" ca="1" si="8"/>
        <v>-1410015.5424747781</v>
      </c>
      <c r="G26" s="196">
        <f t="shared" ca="1" si="8"/>
        <v>995339.75824089674</v>
      </c>
      <c r="H26" s="196">
        <f t="shared" ca="1" si="8"/>
        <v>3800633.7761258949</v>
      </c>
      <c r="I26" s="196">
        <f t="shared" ca="1" si="8"/>
        <v>6532184.1864353754</v>
      </c>
      <c r="J26" s="196" t="str">
        <f t="shared" si="8"/>
        <v xml:space="preserve"> </v>
      </c>
      <c r="K26" s="196" t="str">
        <f t="shared" si="8"/>
        <v xml:space="preserve"> </v>
      </c>
      <c r="L26" s="196" t="str">
        <f t="shared" si="8"/>
        <v xml:space="preserve"> </v>
      </c>
      <c r="M26" s="197">
        <f ca="1">M22-M25-M24</f>
        <v>6270095.702049436</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0.09</v>
      </c>
      <c r="G27" s="29">
        <f t="shared" si="9"/>
        <v>7.5823333333333326E-2</v>
      </c>
      <c r="H27" s="29">
        <f t="shared" si="9"/>
        <v>6.1646666666666662E-2</v>
      </c>
      <c r="I27" s="29">
        <f t="shared" si="9"/>
        <v>4.7469999999999998E-2</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8" t="s">
        <v>574</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1.5186124329422337</v>
      </c>
      <c r="H28" s="30">
        <f>IF(H15&gt;$C$8," ",(1+C27)*(1+D27)*(1+E27)*(1+F27)*(1+G27)*(1+H27))</f>
        <v>1.6122298273916793</v>
      </c>
      <c r="I28" s="30">
        <f>IF(I15&gt;$C$8," ",(1+C27)*(1+D27)*(1+E27)*(1+F27)*(1+G27)*(1+H27)*(1+I27))</f>
        <v>1.6887623772979621</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-801722.37272320758</v>
      </c>
      <c r="D29" s="197">
        <f t="shared" ca="1" si="10"/>
        <v>-862722.50930627831</v>
      </c>
      <c r="E29" s="197">
        <f t="shared" ca="1" si="10"/>
        <v>-928330.23412143427</v>
      </c>
      <c r="F29" s="197">
        <f t="shared" ca="1" si="10"/>
        <v>-998890.55828290212</v>
      </c>
      <c r="G29" s="197">
        <f t="shared" ca="1" si="10"/>
        <v>655427.11007078807</v>
      </c>
      <c r="H29" s="197">
        <f t="shared" ca="1" si="10"/>
        <v>2357377.1627055742</v>
      </c>
      <c r="I29" s="197">
        <f t="shared" ca="1" si="10"/>
        <v>3868030.3838168993</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4" t="s">
        <v>429</v>
      </c>
      <c r="E31" s="324"/>
      <c r="G31" s="276"/>
      <c r="H31" s="112"/>
      <c r="I31" s="112"/>
      <c r="J31" s="112"/>
    </row>
    <row r="32" spans="1:19">
      <c r="A32" s="15" t="s">
        <v>427</v>
      </c>
      <c r="C32" s="29">
        <f ca="1">D32/D34</f>
        <v>2.4857585731310149E-2</v>
      </c>
      <c r="D32" s="321">
        <f ca="1">SUM(C29:L29)</f>
        <v>3289168.982159439</v>
      </c>
      <c r="E32" s="321"/>
      <c r="F32" s="200"/>
      <c r="G32" s="112"/>
      <c r="H32" s="140"/>
      <c r="I32" s="140"/>
      <c r="J32" s="140"/>
    </row>
    <row r="33" spans="1:17" ht="16.5" thickBot="1">
      <c r="A33" s="15" t="s">
        <v>428</v>
      </c>
      <c r="C33" s="30">
        <f ca="1">1-C32</f>
        <v>0.97514241426868986</v>
      </c>
      <c r="D33" s="322">
        <f ca="1">IF(C8=0,(M26/(M27-M19)),(M26/(M27-M19))/INDIRECT(ADDRESS(ROW(A28),C8+2)))</f>
        <v>123761159.57931387</v>
      </c>
      <c r="E33" s="322"/>
      <c r="F33" s="200"/>
      <c r="G33" s="107"/>
      <c r="H33" s="119"/>
      <c r="I33" s="307"/>
      <c r="J33" s="307"/>
    </row>
    <row r="34" spans="1:17" ht="16.5" thickTop="1">
      <c r="A34" s="117" t="s">
        <v>201</v>
      </c>
      <c r="D34" s="323">
        <f ca="1">D32+D33+Cash+NonOperating_Assets</f>
        <v>132320532.56147331</v>
      </c>
      <c r="E34" s="323"/>
      <c r="F34" s="200"/>
      <c r="G34" s="107"/>
      <c r="H34" s="307"/>
      <c r="I34" s="307"/>
      <c r="J34" s="307"/>
    </row>
    <row r="35" spans="1:17">
      <c r="F35" s="112"/>
      <c r="G35" s="140"/>
      <c r="H35" s="119"/>
      <c r="I35" s="112"/>
      <c r="J35" s="112"/>
    </row>
    <row r="36" spans="1:17" ht="16.5" thickBot="1">
      <c r="A36" s="126" t="s">
        <v>359</v>
      </c>
      <c r="C36" s="107"/>
      <c r="D36" s="322">
        <f ca="1">MV_Debt</f>
        <v>803170</v>
      </c>
      <c r="E36" s="322"/>
      <c r="G36" s="107"/>
      <c r="H36" s="119"/>
      <c r="I36" s="112"/>
      <c r="J36" s="112"/>
    </row>
    <row r="37" spans="1:17" ht="16.5" thickTop="1">
      <c r="A37" s="117" t="s">
        <v>358</v>
      </c>
      <c r="C37" s="107"/>
      <c r="D37" s="325">
        <f ca="1">D34-MV_Debt</f>
        <v>131517362.56147331</v>
      </c>
      <c r="E37" s="325"/>
      <c r="G37" s="107"/>
      <c r="H37" s="166"/>
      <c r="I37" s="112"/>
    </row>
    <row r="38" spans="1:17">
      <c r="A38" s="126" t="s">
        <v>453</v>
      </c>
      <c r="D38" s="321">
        <f>MI*PB_Company</f>
        <v>424861.79988174094</v>
      </c>
      <c r="E38" s="321"/>
      <c r="G38" s="112"/>
      <c r="H38" s="119"/>
      <c r="I38" s="107"/>
    </row>
    <row r="39" spans="1:17" ht="16.5" thickBot="1">
      <c r="A39" s="126" t="s">
        <v>454</v>
      </c>
      <c r="D39" s="322">
        <v>0</v>
      </c>
      <c r="E39" s="322"/>
      <c r="G39" s="112"/>
      <c r="H39" s="119"/>
      <c r="I39" s="107"/>
    </row>
    <row r="40" spans="1:17" ht="16.5" thickTop="1">
      <c r="A40" s="117" t="s">
        <v>202</v>
      </c>
      <c r="D40" s="323">
        <f ca="1">D37-D38-D39</f>
        <v>131092500.76159157</v>
      </c>
      <c r="E40" s="323"/>
      <c r="F40" s="123" t="str">
        <f>CF_Currency</f>
        <v>RMB</v>
      </c>
      <c r="H40" s="119"/>
      <c r="I40" s="107"/>
    </row>
    <row r="41" spans="1:17">
      <c r="A41" s="117" t="s">
        <v>203</v>
      </c>
      <c r="E41" s="258">
        <f ca="1">IF(Is_Listed="Listed",(D40*'Master Inputs'!C10)/Num_of_Shares,D40*'Master Inputs'!C10)</f>
        <v>153.27058326305533</v>
      </c>
      <c r="F41" s="123" t="str">
        <f>CF_Currency</f>
        <v>RMB</v>
      </c>
      <c r="H41" s="167"/>
      <c r="I41" s="112"/>
    </row>
    <row r="42" spans="1:17">
      <c r="D42" s="229" t="str">
        <f>IF(F41&lt;&gt;D44,"=&gt;","")</f>
        <v>=&gt;</v>
      </c>
      <c r="E42" s="230">
        <f ca="1">IF(Price_Currency&lt;&gt;CF_Currency,E41*Exchange_Rate,"")</f>
        <v>181.88657513849091</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224.6</v>
      </c>
      <c r="F44" s="120" t="s">
        <v>432</v>
      </c>
      <c r="G44" s="34">
        <f ca="1">Current_Price/IF(Price_Currency&lt;&gt;CF_Currency,E42,E41)-1</f>
        <v>0.23483550025056266</v>
      </c>
      <c r="H44" s="117" t="str">
        <f ca="1">IF(G44&gt;=0," overvalued by the market."," undervalued by the market.")</f>
        <v xml:space="preserve"> overvalued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33">
        <f>B17/'Master Inputs'!P14</f>
        <v>0.56393476123527975</v>
      </c>
      <c r="C47" s="33">
        <f t="shared" ref="C47:L47" ca="1" si="11">IF(C15&gt;$C$8," ",(C17-B17)/(C25+C24))</f>
        <v>0.63570495817222039</v>
      </c>
      <c r="D47" s="33">
        <f t="shared" ca="1" si="11"/>
        <v>0.63988373267946119</v>
      </c>
      <c r="E47" s="33">
        <f t="shared" ca="1" si="11"/>
        <v>0.64376181590782156</v>
      </c>
      <c r="F47" s="33">
        <f t="shared" ca="1" si="11"/>
        <v>0.64768719283408793</v>
      </c>
      <c r="G47" s="33">
        <f t="shared" ca="1" si="11"/>
        <v>0.61828526354754343</v>
      </c>
      <c r="H47" s="33">
        <f t="shared" ca="1" si="11"/>
        <v>0.52786215839067396</v>
      </c>
      <c r="I47" s="33">
        <f t="shared" ca="1" si="11"/>
        <v>0.23749679033588303</v>
      </c>
      <c r="J47" s="33" t="str">
        <f t="shared" si="11"/>
        <v xml:space="preserve"> </v>
      </c>
      <c r="K47" s="33" t="str">
        <f t="shared" si="11"/>
        <v xml:space="preserve"> </v>
      </c>
      <c r="L47" s="33" t="str">
        <f t="shared" si="11"/>
        <v xml:space="preserve"> </v>
      </c>
      <c r="M47" s="33"/>
    </row>
    <row r="48" spans="1:17">
      <c r="A48" s="128" t="s">
        <v>208</v>
      </c>
      <c r="B48" s="33">
        <f>Adj!C24</f>
        <v>34269549</v>
      </c>
      <c r="C48" s="33">
        <f t="shared" ref="C48:L48" ca="1" si="12">IF(C15&gt;$C$8," ",B48+C25+C24)</f>
        <v>40525953.770568296</v>
      </c>
      <c r="D48" s="33">
        <f t="shared" ca="1" si="12"/>
        <v>47864304.467927083</v>
      </c>
      <c r="E48" s="33">
        <f t="shared" ca="1" si="12"/>
        <v>56471394.111154534</v>
      </c>
      <c r="F48" s="33">
        <f t="shared" ca="1" si="12"/>
        <v>66566206.158168934</v>
      </c>
      <c r="G48" s="33">
        <f t="shared" ca="1" si="12"/>
        <v>75288793.763709649</v>
      </c>
      <c r="H48" s="33">
        <f t="shared" ca="1" si="12"/>
        <v>81838453.751641825</v>
      </c>
      <c r="I48" s="33">
        <f t="shared" ca="1" si="12"/>
        <v>85642362.342876017</v>
      </c>
      <c r="J48" s="33" t="str">
        <f t="shared" si="12"/>
        <v xml:space="preserve"> </v>
      </c>
      <c r="K48" s="33" t="str">
        <f t="shared" si="12"/>
        <v xml:space="preserve"> </v>
      </c>
      <c r="L48" s="33" t="str">
        <f t="shared" si="12"/>
        <v xml:space="preserve"> </v>
      </c>
      <c r="M48" s="123"/>
    </row>
    <row r="49" spans="1:13">
      <c r="A49" s="128" t="s">
        <v>209</v>
      </c>
      <c r="B49" s="29">
        <f ca="1">B22/B48</f>
        <v>0.13396958305988135</v>
      </c>
      <c r="C49" s="29">
        <f t="shared" ref="C49:L49" ca="1" si="13">IF(C15&gt;$C$8," ",C22/C48)</f>
        <v>0.13281679722511613</v>
      </c>
      <c r="D49" s="29">
        <f t="shared" ca="1" si="13"/>
        <v>0.13190100961944301</v>
      </c>
      <c r="E49" s="29">
        <f t="shared" ca="1" si="13"/>
        <v>0.13112612474004337</v>
      </c>
      <c r="F49" s="29">
        <f t="shared" ca="1" si="13"/>
        <v>0.13046855162368046</v>
      </c>
      <c r="G49" s="29">
        <f t="shared" ca="1" si="13"/>
        <v>0.12907534943753868</v>
      </c>
      <c r="H49" s="29">
        <f t="shared" ca="1" si="13"/>
        <v>0.12647225466244139</v>
      </c>
      <c r="I49" s="29">
        <f t="shared" ca="1" si="13"/>
        <v>0.12068901995356229</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1918017-536D-4C0A-AA20-8EFD66436456}">
          <x14:formula1>
            <xm:f>Readme!$C$53:$C$55</xm:f>
          </x14:formula1>
          <xm:sqref>A4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CD89-40B6-4DB5-88B9-C8FAB4E7B954}">
  <sheetPr>
    <tabColor theme="9" tint="0.39997558519241921"/>
  </sheetPr>
  <dimension ref="A1:S49"/>
  <sheetViews>
    <sheetView showGridLines="0" workbookViewId="0">
      <pane xSplit="1" topLeftCell="B1" activePane="topRight" state="frozen"/>
      <selection pane="topRight" activeCell="G11" sqref="G11"/>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6"/>
      <c r="F3" s="112"/>
      <c r="G3" s="112"/>
    </row>
    <row r="4" spans="1:17">
      <c r="A4" s="227" t="s">
        <v>506</v>
      </c>
      <c r="E4" s="277"/>
      <c r="F4" s="112"/>
      <c r="G4" s="119"/>
      <c r="L4" s="112"/>
    </row>
    <row r="5" spans="1:17">
      <c r="A5" t="s">
        <v>565</v>
      </c>
      <c r="C5" s="29">
        <f>IF(A4="Base Case",Base_Ebit_g,IF(A4="Bear Case",Bear_Ebit_g,Bull_Ebit_g))</f>
        <v>0.22</v>
      </c>
      <c r="E5" s="112"/>
      <c r="F5" s="112"/>
      <c r="G5" s="107"/>
      <c r="L5" s="112"/>
    </row>
    <row r="6" spans="1:17">
      <c r="A6" s="117" t="s">
        <v>344</v>
      </c>
      <c r="C6" s="29">
        <f ca="1">IF(A4="Base Case",Base_ReinvestRate,IF(A4="Bear Case",Bear_ReinvestRate,Bull_ReinvestRate))</f>
        <v>1.4206554645889933</v>
      </c>
      <c r="E6" s="112"/>
      <c r="F6" s="112"/>
      <c r="G6" s="123">
        <f>_xlfn.CEILING.MATH((C8/2))</f>
        <v>5</v>
      </c>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9</v>
      </c>
      <c r="E8" s="112"/>
      <c r="F8" s="112"/>
      <c r="G8" s="119"/>
      <c r="L8" s="112"/>
    </row>
    <row r="9" spans="1:17">
      <c r="A9" s="117" t="s">
        <v>556</v>
      </c>
      <c r="E9" s="112"/>
      <c r="F9" s="112"/>
      <c r="G9" s="119"/>
    </row>
    <row r="10" spans="1:17">
      <c r="E10" s="112"/>
      <c r="F10" s="112"/>
      <c r="G10" s="119"/>
    </row>
    <row r="12" spans="1:17">
      <c r="A12" s="160"/>
      <c r="B12" s="160"/>
      <c r="C12" s="160"/>
      <c r="D12" s="140"/>
      <c r="E12" s="275"/>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0.21988016163415103</v>
      </c>
      <c r="D16" s="29">
        <f t="shared" ca="1" si="0"/>
        <v>0.21999999999999997</v>
      </c>
      <c r="E16" s="29">
        <f t="shared" ca="1" si="0"/>
        <v>0.21999999999999997</v>
      </c>
      <c r="F16" s="29">
        <f t="shared" ca="1" si="0"/>
        <v>0.21999999999999975</v>
      </c>
      <c r="G16" s="29">
        <f t="shared" ca="1" si="0"/>
        <v>0.21999999999999997</v>
      </c>
      <c r="H16" s="29">
        <f t="shared" ca="1" si="0"/>
        <v>0.16936749999999989</v>
      </c>
      <c r="I16" s="29">
        <f t="shared" ca="1" si="0"/>
        <v>0.11873500000000003</v>
      </c>
      <c r="J16" s="29">
        <f t="shared" ca="1" si="0"/>
        <v>6.8102499999999955E-2</v>
      </c>
      <c r="K16" s="29">
        <f t="shared" ca="1" si="0"/>
        <v>1.7470000000000097E-2</v>
      </c>
      <c r="L16" s="29" t="str">
        <f t="shared" si="0"/>
        <v xml:space="preserve"> </v>
      </c>
      <c r="M16" s="29">
        <f ca="1">Terminal_Sales/INDIRECT(ADDRESS(ROW(A17),C8+2))-1</f>
        <v>0.85001351729212682</v>
      </c>
      <c r="N16" s="150"/>
      <c r="O16" s="150"/>
      <c r="P16" s="150"/>
      <c r="Q16" s="150"/>
    </row>
    <row r="17" spans="1:19">
      <c r="A17" s="128" t="s">
        <v>351</v>
      </c>
      <c r="B17" s="198">
        <f>'Master Inputs'!B14</f>
        <v>22109946</v>
      </c>
      <c r="C17" s="198">
        <f t="shared" ref="C17:L17" ca="1" si="1">IF(Model_Year&gt;Model_CAP_Length," ",Model_Ebit/Model_EbitMargin)</f>
        <v>26971484.50020235</v>
      </c>
      <c r="D17" s="198">
        <f t="shared" ca="1" si="1"/>
        <v>32905211.090246867</v>
      </c>
      <c r="E17" s="198">
        <f t="shared" ca="1" si="1"/>
        <v>40144357.53010118</v>
      </c>
      <c r="F17" s="198">
        <f t="shared" ca="1" si="1"/>
        <v>48976116.186723433</v>
      </c>
      <c r="G17" s="198">
        <f t="shared" ca="1" si="1"/>
        <v>59750861.747802593</v>
      </c>
      <c r="H17" s="198">
        <f t="shared" ca="1" si="1"/>
        <v>69870715.824873537</v>
      </c>
      <c r="I17" s="198">
        <f t="shared" ca="1" si="1"/>
        <v>78166815.268339902</v>
      </c>
      <c r="J17" s="198">
        <f t="shared" ca="1" si="1"/>
        <v>83490170.805152014</v>
      </c>
      <c r="K17" s="198">
        <f t="shared" ca="1" si="1"/>
        <v>84948744.089118019</v>
      </c>
      <c r="L17" s="198" t="str">
        <f t="shared" si="1"/>
        <v xml:space="preserve"> </v>
      </c>
      <c r="M17" s="198">
        <f ca="1">Terminal_Ebit/Terminal_EbitMargin</f>
        <v>157156324.841858</v>
      </c>
      <c r="N17" s="124"/>
      <c r="O17" s="124"/>
      <c r="P17" s="124"/>
      <c r="Q17" s="124"/>
      <c r="S17" s="144"/>
    </row>
    <row r="18" spans="1:19">
      <c r="A18" s="142" t="s">
        <v>353</v>
      </c>
      <c r="B18" s="29">
        <f ca="1">B20/B17</f>
        <v>0.24707572781950712</v>
      </c>
      <c r="C18" s="141">
        <v>0.24709999999999999</v>
      </c>
      <c r="D18" s="141">
        <v>0.24709999999999999</v>
      </c>
      <c r="E18" s="141">
        <v>0.24709999999999999</v>
      </c>
      <c r="F18" s="141">
        <v>0.24709999999999999</v>
      </c>
      <c r="G18" s="141">
        <v>0.24709999999999999</v>
      </c>
      <c r="H18" s="141">
        <v>0.24709999999999999</v>
      </c>
      <c r="I18" s="141">
        <v>0.24709999999999999</v>
      </c>
      <c r="J18" s="141">
        <v>0.24709999999999999</v>
      </c>
      <c r="K18" s="141">
        <v>0.24709999999999999</v>
      </c>
      <c r="L18" s="141"/>
      <c r="M18" s="173">
        <v>0.13589999999999999</v>
      </c>
      <c r="N18" s="150"/>
      <c r="O18" s="150"/>
      <c r="P18" s="150"/>
      <c r="Q18" s="150"/>
    </row>
    <row r="19" spans="1:19">
      <c r="A19" s="142" t="s">
        <v>555</v>
      </c>
      <c r="B19" s="29"/>
      <c r="C19" s="29">
        <f t="shared" ref="C19:L19" si="2">IF(Model_Year&gt;Model_CAP_Length," ",IF(Model_Year&gt;$G$6,Terminal_Ebit_g+((Model_Ebit_g-Terminal_Ebit_g)/(Model_CAP_Length-$G$6))*(Model_CAP_Length-Model_Year),Model_Ebit_g))</f>
        <v>0.22</v>
      </c>
      <c r="D19" s="29">
        <f t="shared" si="2"/>
        <v>0.22</v>
      </c>
      <c r="E19" s="29">
        <f t="shared" si="2"/>
        <v>0.22</v>
      </c>
      <c r="F19" s="29">
        <f t="shared" si="2"/>
        <v>0.22</v>
      </c>
      <c r="G19" s="29">
        <f t="shared" si="2"/>
        <v>0.22</v>
      </c>
      <c r="H19" s="29">
        <f t="shared" si="2"/>
        <v>0.1693675</v>
      </c>
      <c r="I19" s="29">
        <f t="shared" si="2"/>
        <v>0.11873499999999999</v>
      </c>
      <c r="J19" s="29">
        <f t="shared" si="2"/>
        <v>6.8102499999999996E-2</v>
      </c>
      <c r="K19" s="29">
        <f t="shared" si="2"/>
        <v>1.7469999999999999E-2</v>
      </c>
      <c r="L19" s="29" t="str">
        <f t="shared" si="2"/>
        <v xml:space="preserve"> </v>
      </c>
      <c r="M19" s="170">
        <f>Terminal_Ebit_g</f>
        <v>1.7469999999999999E-2</v>
      </c>
      <c r="O19" s="151"/>
      <c r="P19" s="151"/>
      <c r="Q19" s="151"/>
    </row>
    <row r="20" spans="1:19">
      <c r="A20" s="128" t="s">
        <v>342</v>
      </c>
      <c r="B20" s="198">
        <f ca="1">Adj_Ebit</f>
        <v>5462831</v>
      </c>
      <c r="C20" s="198">
        <f t="shared" ref="C20:L20" ca="1" si="3">IF(Model_Year&gt;Model_CAP_Length," ",B20*(1+Model_EbitGrowth_Total))</f>
        <v>6664653.8200000003</v>
      </c>
      <c r="D20" s="198">
        <f t="shared" ca="1" si="3"/>
        <v>8130877.6604000004</v>
      </c>
      <c r="E20" s="198">
        <f t="shared" ca="1" si="3"/>
        <v>9919670.7456880007</v>
      </c>
      <c r="F20" s="198">
        <f t="shared" ca="1" si="3"/>
        <v>12101998.309739361</v>
      </c>
      <c r="G20" s="198">
        <f t="shared" ca="1" si="3"/>
        <v>14764437.937882019</v>
      </c>
      <c r="H20" s="198">
        <f t="shared" ca="1" si="3"/>
        <v>17265053.880326249</v>
      </c>
      <c r="I20" s="198">
        <f t="shared" ca="1" si="3"/>
        <v>19315020.052806787</v>
      </c>
      <c r="J20" s="198">
        <f t="shared" ca="1" si="3"/>
        <v>20630421.205953062</v>
      </c>
      <c r="K20" s="198">
        <f t="shared" ca="1" si="3"/>
        <v>20990834.664421063</v>
      </c>
      <c r="L20" s="198" t="str">
        <f t="shared" si="3"/>
        <v xml:space="preserve"> </v>
      </c>
      <c r="M20" s="198">
        <f ca="1">INDIRECT(ADDRESS(ROW(A20),C8+2))*(1+Terminal_Ebit_g)</f>
        <v>21357544.546008501</v>
      </c>
      <c r="N20" s="150"/>
      <c r="O20" s="150"/>
      <c r="P20" s="150"/>
      <c r="Q20" s="150"/>
    </row>
    <row r="21" spans="1:19" ht="16.5" thickBot="1">
      <c r="A21" s="131" t="s">
        <v>352</v>
      </c>
      <c r="B21" s="30">
        <f>Adj_Effective_T</f>
        <v>0.15957912826148662</v>
      </c>
      <c r="C21" s="149">
        <v>0.16500000000000001</v>
      </c>
      <c r="D21" s="149">
        <v>0.17</v>
      </c>
      <c r="E21" s="149">
        <v>0.17499999999999999</v>
      </c>
      <c r="F21" s="149">
        <v>0.18</v>
      </c>
      <c r="G21" s="149">
        <v>0.185</v>
      </c>
      <c r="H21" s="149">
        <v>0.19</v>
      </c>
      <c r="I21" s="149">
        <v>0.19500000000000001</v>
      </c>
      <c r="J21" s="149">
        <v>0.2</v>
      </c>
      <c r="K21" s="149">
        <v>0.20499999999999999</v>
      </c>
      <c r="L21" s="149"/>
      <c r="M21" s="255">
        <f>Marginal_TaxRate</f>
        <v>0.25</v>
      </c>
      <c r="N21" s="151"/>
      <c r="O21" s="151"/>
      <c r="P21" s="151"/>
      <c r="Q21" s="151"/>
    </row>
    <row r="22" spans="1:19" ht="16.5" thickTop="1">
      <c r="A22" s="152" t="s">
        <v>341</v>
      </c>
      <c r="B22" s="267">
        <f ca="1">B20*(1-B21)</f>
        <v>4591077.1911801742</v>
      </c>
      <c r="C22" s="267">
        <f t="shared" ref="C22:L22" ca="1" si="4">IF(Model_Year&gt;Model_CAP_Length," ",Model_Ebit*(1-C21))</f>
        <v>5564985.9397</v>
      </c>
      <c r="D22" s="267">
        <f t="shared" ca="1" si="4"/>
        <v>6748628.4581319997</v>
      </c>
      <c r="E22" s="267">
        <f t="shared" ca="1" si="4"/>
        <v>8183728.3651926005</v>
      </c>
      <c r="F22" s="267">
        <f t="shared" ca="1" si="4"/>
        <v>9923638.6139862761</v>
      </c>
      <c r="G22" s="267">
        <f t="shared" ca="1" si="4"/>
        <v>12033016.919373846</v>
      </c>
      <c r="H22" s="267">
        <f t="shared" ca="1" si="4"/>
        <v>13984693.643064262</v>
      </c>
      <c r="I22" s="267">
        <f t="shared" ca="1" si="4"/>
        <v>15548591.142509462</v>
      </c>
      <c r="J22" s="267">
        <f t="shared" ca="1" si="4"/>
        <v>16504336.964762449</v>
      </c>
      <c r="K22" s="267">
        <f t="shared" ca="1" si="4"/>
        <v>16687713.558214746</v>
      </c>
      <c r="L22" s="267" t="str">
        <f t="shared" si="4"/>
        <v xml:space="preserve"> </v>
      </c>
      <c r="M22" s="268">
        <f ca="1">Terminal_Ebit*(1-Marginal_TaxRate)</f>
        <v>16018158.409506377</v>
      </c>
      <c r="N22" s="150"/>
      <c r="O22" s="150"/>
      <c r="P22" s="150"/>
      <c r="Q22" s="150"/>
    </row>
    <row r="23" spans="1:19">
      <c r="A23" s="142" t="s">
        <v>193</v>
      </c>
      <c r="B23" s="29"/>
      <c r="C23" s="29">
        <f ca="1">IF(Model_Year&gt;Model_CAP_Length," ",IF(Model_Year&gt;$G$6,$M$23+(($C$6-$M$23)/($C$8-$G$6))*($C$8-Model_Year),$C$6))</f>
        <v>1.4206554645889933</v>
      </c>
      <c r="D23" s="29">
        <f t="shared" ref="D23:L23" ca="1" si="5">IF(Model_Year&gt;Model_CAP_Length," ",IF(D15&gt;$G$6,$M$23+(($C$6-$M$23)/($C$8-$G$6))*($C$8-D15),$C$6))</f>
        <v>1.4206554645889933</v>
      </c>
      <c r="E23" s="29">
        <f t="shared" ca="1" si="5"/>
        <v>1.4206554645889933</v>
      </c>
      <c r="F23" s="29">
        <f t="shared" ca="1" si="5"/>
        <v>1.4206554645889933</v>
      </c>
      <c r="G23" s="29">
        <f t="shared" ca="1" si="5"/>
        <v>1.4206554645889933</v>
      </c>
      <c r="H23" s="29">
        <f t="shared" ca="1" si="5"/>
        <v>1.1574970755852041</v>
      </c>
      <c r="I23" s="29">
        <f t="shared" ca="1" si="5"/>
        <v>0.89433868658141469</v>
      </c>
      <c r="J23" s="29">
        <f t="shared" ca="1" si="5"/>
        <v>0.63118029757762539</v>
      </c>
      <c r="K23" s="29">
        <f t="shared" ca="1" si="5"/>
        <v>0.3680219085738361</v>
      </c>
      <c r="L23" s="29" t="str">
        <f t="shared" si="5"/>
        <v xml:space="preserve"> </v>
      </c>
      <c r="M23" s="29">
        <f>C7</f>
        <v>0.3680219085738361</v>
      </c>
      <c r="N23" s="151"/>
      <c r="O23" s="151"/>
      <c r="P23" s="151"/>
      <c r="Q23" s="151"/>
    </row>
    <row r="24" spans="1:19">
      <c r="A24" s="273" t="s">
        <v>554</v>
      </c>
      <c r="B24" s="169">
        <f>IF('Master Inputs'!W14&lt;0,D64,'Master Inputs'!W14)</f>
        <v>155520</v>
      </c>
      <c r="C24" s="169">
        <f t="shared" ref="C24:L24" ca="1" si="6">IF(Model_Year&gt;Model_CAP_Length," ",(C17-B17)*Adj_WCSalesRatio)</f>
        <v>-1395040.7158088665</v>
      </c>
      <c r="D24" s="169">
        <f t="shared" ca="1" si="6"/>
        <v>-1702709.9938106555</v>
      </c>
      <c r="E24" s="169">
        <f t="shared" ca="1" si="6"/>
        <v>-2077306.1924490002</v>
      </c>
      <c r="F24" s="169">
        <f t="shared" ca="1" si="6"/>
        <v>-2534313.5547877778</v>
      </c>
      <c r="G24" s="169">
        <f t="shared" ca="1" si="6"/>
        <v>-3091862.5368410922</v>
      </c>
      <c r="H24" s="169">
        <f t="shared" ca="1" si="6"/>
        <v>-2903938.429155855</v>
      </c>
      <c r="I24" s="169">
        <f t="shared" ca="1" si="6"/>
        <v>-2380603.6927514081</v>
      </c>
      <c r="J24" s="169">
        <f t="shared" ca="1" si="6"/>
        <v>-1527561.2274325008</v>
      </c>
      <c r="K24" s="169">
        <f t="shared" ca="1" si="6"/>
        <v>-418544.27729800594</v>
      </c>
      <c r="L24" s="169" t="str">
        <f t="shared" si="6"/>
        <v xml:space="preserve"> </v>
      </c>
      <c r="M24" s="274">
        <f ca="1">(Terminal_Sales-INDIRECT(ADDRESS(ROW(A17),C8+2)))*Adj_WCSalesRatio</f>
        <v>-20720295.670997187</v>
      </c>
      <c r="N24" s="151"/>
      <c r="O24" s="151"/>
      <c r="P24" s="151"/>
      <c r="Q24" s="151"/>
    </row>
    <row r="25" spans="1:19" ht="16.5" thickBot="1">
      <c r="A25" s="131" t="s">
        <v>542</v>
      </c>
      <c r="B25" s="195">
        <f>'Master Inputs'!S14-'Master Inputs'!T14</f>
        <v>3961852</v>
      </c>
      <c r="C25" s="195">
        <f ca="1">IF(Model_Year&gt;Model_CAP_Length," ",C22*C23-C24+NetCapex_Adj)</f>
        <v>9300968.4014045857</v>
      </c>
      <c r="D25" s="195">
        <f t="shared" ref="D25:L25" ca="1" si="7">IF(Model_Year&gt;Model_CAP_Length," ",D22*D23-D24)</f>
        <v>11290185.891336674</v>
      </c>
      <c r="E25" s="195">
        <f t="shared" ca="1" si="7"/>
        <v>13703564.615171816</v>
      </c>
      <c r="F25" s="195">
        <f t="shared" ca="1" si="7"/>
        <v>16632384.980353724</v>
      </c>
      <c r="G25" s="195">
        <f t="shared" ca="1" si="7"/>
        <v>20186633.778841358</v>
      </c>
      <c r="H25" s="195">
        <f t="shared" ca="1" si="7"/>
        <v>19091180.423957732</v>
      </c>
      <c r="I25" s="195">
        <f t="shared" ca="1" si="7"/>
        <v>16286310.273334738</v>
      </c>
      <c r="J25" s="195">
        <f t="shared" ca="1" si="7"/>
        <v>11944773.544172665</v>
      </c>
      <c r="K25" s="195">
        <f t="shared" ca="1" si="7"/>
        <v>6559988.4707256788</v>
      </c>
      <c r="L25" s="195" t="str">
        <f t="shared" si="7"/>
        <v xml:space="preserve"> </v>
      </c>
      <c r="M25" s="266">
        <f ca="1">M22*M23-M24</f>
        <v>26615328.900701769</v>
      </c>
      <c r="N25" s="151"/>
      <c r="O25" s="151"/>
      <c r="P25" s="151"/>
      <c r="Q25" s="151"/>
    </row>
    <row r="26" spans="1:19" ht="16.5" thickTop="1">
      <c r="A26" s="130" t="s">
        <v>345</v>
      </c>
      <c r="B26" s="196">
        <f ca="1">B22-B25-B24</f>
        <v>473705.19118017424</v>
      </c>
      <c r="C26" s="196">
        <f t="shared" ref="C26:L26" ca="1" si="8">IF(Model_Year&gt;Model_CAP_Length," ",C22-C25-C24)</f>
        <v>-2340941.7458957192</v>
      </c>
      <c r="D26" s="196">
        <f t="shared" ca="1" si="8"/>
        <v>-2838847.4393940186</v>
      </c>
      <c r="E26" s="196">
        <f t="shared" ca="1" si="8"/>
        <v>-3442530.0575302155</v>
      </c>
      <c r="F26" s="196">
        <f t="shared" ca="1" si="8"/>
        <v>-4174432.8115796703</v>
      </c>
      <c r="G26" s="196">
        <f t="shared" ca="1" si="8"/>
        <v>-5061754.3226264194</v>
      </c>
      <c r="H26" s="196">
        <f t="shared" ca="1" si="8"/>
        <v>-2202548.3517376143</v>
      </c>
      <c r="I26" s="196">
        <f t="shared" ca="1" si="8"/>
        <v>1642884.5619261325</v>
      </c>
      <c r="J26" s="196">
        <f t="shared" ca="1" si="8"/>
        <v>6087124.6480222847</v>
      </c>
      <c r="K26" s="196">
        <f t="shared" ca="1" si="8"/>
        <v>10546269.364787074</v>
      </c>
      <c r="L26" s="196" t="str">
        <f t="shared" si="8"/>
        <v xml:space="preserve"> </v>
      </c>
      <c r="M26" s="197">
        <f ca="1">M22-M25-M24</f>
        <v>10123125.179801796</v>
      </c>
      <c r="N26" s="150"/>
      <c r="O26" s="150"/>
      <c r="P26" s="150"/>
      <c r="Q26" s="150"/>
    </row>
    <row r="27" spans="1:19">
      <c r="A27" s="142" t="s">
        <v>206</v>
      </c>
      <c r="B27" s="29"/>
      <c r="C27" s="29">
        <f t="shared" ref="C27:L27" si="9">IF(C15&gt;$C$8," ",IF(C15&gt;$G6,$M$27+((WACC_CAP-$M$27)/($C$8-$G$6))*($C$8-C15),WACC_CAP))</f>
        <v>0.09</v>
      </c>
      <c r="D27" s="29">
        <f t="shared" si="9"/>
        <v>0.09</v>
      </c>
      <c r="E27" s="29">
        <f t="shared" si="9"/>
        <v>0.09</v>
      </c>
      <c r="F27" s="29">
        <f t="shared" si="9"/>
        <v>0.09</v>
      </c>
      <c r="G27" s="29">
        <f t="shared" si="9"/>
        <v>0.09</v>
      </c>
      <c r="H27" s="29">
        <f t="shared" si="9"/>
        <v>7.9367499999999994E-2</v>
      </c>
      <c r="I27" s="29">
        <f t="shared" si="9"/>
        <v>6.8734999999999991E-2</v>
      </c>
      <c r="J27" s="29">
        <f t="shared" si="9"/>
        <v>5.8102500000000001E-2</v>
      </c>
      <c r="K27" s="29">
        <f t="shared" si="9"/>
        <v>4.7469999999999998E-2</v>
      </c>
      <c r="L27" s="29" t="str">
        <f t="shared" si="9"/>
        <v xml:space="preserve"> </v>
      </c>
      <c r="M27" s="170">
        <f>WACC!C18</f>
        <v>4.7469999999999998E-2</v>
      </c>
      <c r="N27" s="150"/>
      <c r="O27" s="150"/>
      <c r="P27" s="150"/>
      <c r="Q27" s="150"/>
    </row>
    <row r="28" spans="1:19" ht="16.5" thickBot="1">
      <c r="A28" s="278" t="s">
        <v>574</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1.5386239549000005</v>
      </c>
      <c r="H28" s="30">
        <f>IF(H15&gt;$C$8," ",(1+C27)*(1+D27)*(1+E27)*(1+F27)*(1+G27)*(1+H27))</f>
        <v>1.6607406916405263</v>
      </c>
      <c r="I28" s="30">
        <f>IF(I15&gt;$C$8," ",(1+C27)*(1+D27)*(1+E27)*(1+F27)*(1+G27)*(1+H27)*(1+I27))</f>
        <v>1.7748917030804379</v>
      </c>
      <c r="J28" s="30">
        <f>IF(J15&gt;$C$8," ",(1+C27)*(1+D27)*(1+E27)*(1+F27)*(1+G27)*(1+H27)*(1+I27)*(1+J27))</f>
        <v>1.8780173482586688</v>
      </c>
      <c r="K28" s="30">
        <f>IF(K15&gt;$C$8," ",(1+C27)*(1+D27)*(1+E27)*(1+F27)*(1+G27)*(1+H27)*(1+I27)*(1+J27)*(1+K27))</f>
        <v>1.9671668317805078</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-2147652.9778859806</v>
      </c>
      <c r="D29" s="197">
        <f t="shared" ca="1" si="10"/>
        <v>-2389401.0936739487</v>
      </c>
      <c r="E29" s="197">
        <f t="shared" ca="1" si="10"/>
        <v>-2658264.840038497</v>
      </c>
      <c r="F29" s="197">
        <f t="shared" ca="1" si="10"/>
        <v>-2957273.4456208092</v>
      </c>
      <c r="G29" s="197">
        <f t="shared" ca="1" si="10"/>
        <v>-3289793.0040062303</v>
      </c>
      <c r="H29" s="197">
        <f t="shared" ca="1" si="10"/>
        <v>-1326244.5864211801</v>
      </c>
      <c r="I29" s="197">
        <f t="shared" ca="1" si="10"/>
        <v>925625.24185267277</v>
      </c>
      <c r="J29" s="197">
        <f t="shared" ca="1" si="10"/>
        <v>3241250.4888021271</v>
      </c>
      <c r="K29" s="197">
        <f t="shared" ca="1" si="10"/>
        <v>5361146.3930802001</v>
      </c>
      <c r="L29" s="197" t="str">
        <f t="shared" si="10"/>
        <v xml:space="preserve"> </v>
      </c>
      <c r="M29" s="199"/>
      <c r="N29" s="122"/>
    </row>
    <row r="30" spans="1:19">
      <c r="M30" s="122"/>
    </row>
    <row r="31" spans="1:19">
      <c r="A31" s="21" t="s">
        <v>498</v>
      </c>
      <c r="C31" s="201" t="s">
        <v>430</v>
      </c>
      <c r="D31" s="324" t="s">
        <v>429</v>
      </c>
      <c r="E31" s="324"/>
      <c r="G31" s="276"/>
      <c r="H31" s="112"/>
      <c r="I31" s="112"/>
      <c r="J31" s="112"/>
      <c r="K31" s="112"/>
    </row>
    <row r="32" spans="1:19">
      <c r="A32" s="15" t="s">
        <v>427</v>
      </c>
      <c r="C32" s="29">
        <f ca="1">D32/D34</f>
        <v>-3.0546016072972294E-2</v>
      </c>
      <c r="D32" s="321">
        <f ca="1">SUM(C29:L29)</f>
        <v>-5240607.8239116473</v>
      </c>
      <c r="E32" s="321"/>
      <c r="F32" s="200"/>
      <c r="G32" s="112"/>
      <c r="H32" s="140"/>
      <c r="I32" s="140"/>
      <c r="J32" s="140"/>
      <c r="K32" s="112"/>
    </row>
    <row r="33" spans="1:17" ht="16.5" thickBot="1">
      <c r="A33" s="15" t="s">
        <v>428</v>
      </c>
      <c r="C33" s="30">
        <f ca="1">1-C32</f>
        <v>1.0305460160729722</v>
      </c>
      <c r="D33" s="322">
        <f ca="1">IF(C8=0,(M26/(M27-M19)),(M26/(M27-M19))/INDIRECT(ADDRESS(ROW(A28),C8+2)))</f>
        <v>171534767.94236827</v>
      </c>
      <c r="E33" s="322"/>
      <c r="F33" s="200"/>
      <c r="G33" s="107"/>
      <c r="H33" s="307"/>
      <c r="I33" s="307"/>
      <c r="J33" s="307"/>
      <c r="K33" s="112"/>
    </row>
    <row r="34" spans="1:17" ht="16.5" thickTop="1">
      <c r="A34" s="117" t="s">
        <v>201</v>
      </c>
      <c r="D34" s="323">
        <f ca="1">D32+D33+Cash+NonOperating_Assets</f>
        <v>171564364.11845663</v>
      </c>
      <c r="E34" s="323"/>
      <c r="F34" s="200"/>
      <c r="G34" s="107"/>
      <c r="H34" s="119"/>
      <c r="I34" s="307"/>
      <c r="J34" s="307"/>
      <c r="K34" s="112"/>
    </row>
    <row r="35" spans="1:17">
      <c r="F35" s="112"/>
      <c r="G35" s="140"/>
      <c r="H35" s="119"/>
      <c r="I35" s="112"/>
      <c r="J35" s="112"/>
      <c r="K35" s="112"/>
    </row>
    <row r="36" spans="1:17" ht="16.5" thickBot="1">
      <c r="A36" s="126" t="s">
        <v>359</v>
      </c>
      <c r="C36" s="107"/>
      <c r="D36" s="322">
        <f ca="1">MV_Debt</f>
        <v>803170</v>
      </c>
      <c r="E36" s="322"/>
      <c r="G36" s="112"/>
      <c r="H36" s="112"/>
      <c r="I36" s="112"/>
      <c r="J36" s="112"/>
      <c r="K36" s="112"/>
    </row>
    <row r="37" spans="1:17" ht="16.5" thickTop="1">
      <c r="A37" s="117" t="s">
        <v>358</v>
      </c>
      <c r="C37" s="107"/>
      <c r="D37" s="325">
        <f ca="1">D34-MV_Debt</f>
        <v>170761194.11845663</v>
      </c>
      <c r="E37" s="325"/>
      <c r="G37" s="107"/>
      <c r="H37" s="166"/>
      <c r="I37" s="112"/>
      <c r="J37" s="112"/>
      <c r="K37" s="112"/>
    </row>
    <row r="38" spans="1:17">
      <c r="A38" s="126" t="s">
        <v>453</v>
      </c>
      <c r="D38" s="321">
        <f>MI*PB_Company</f>
        <v>424861.79988174094</v>
      </c>
      <c r="E38" s="321"/>
      <c r="G38" s="112"/>
      <c r="H38" s="119"/>
      <c r="I38" s="107"/>
    </row>
    <row r="39" spans="1:17" ht="16.5" thickBot="1">
      <c r="A39" s="126" t="s">
        <v>454</v>
      </c>
      <c r="D39" s="322">
        <v>0</v>
      </c>
      <c r="E39" s="322"/>
      <c r="G39" s="112"/>
      <c r="H39" s="119"/>
      <c r="I39" s="107"/>
    </row>
    <row r="40" spans="1:17" ht="16.5" thickTop="1">
      <c r="A40" s="117" t="s">
        <v>202</v>
      </c>
      <c r="D40" s="323">
        <f ca="1">D37-D38-D39</f>
        <v>170336332.31857491</v>
      </c>
      <c r="E40" s="323"/>
      <c r="F40" s="123" t="str">
        <f>CF_Currency</f>
        <v>RMB</v>
      </c>
      <c r="H40" s="119"/>
      <c r="I40" s="107"/>
    </row>
    <row r="41" spans="1:17">
      <c r="A41" s="117" t="s">
        <v>203</v>
      </c>
      <c r="E41" s="258">
        <f ca="1">IF(Is_Listed="Listed",(D40*'Master Inputs'!C10)/Num_of_Shares,D40*'Master Inputs'!C10)</f>
        <v>199.15364230359373</v>
      </c>
      <c r="F41" s="123" t="str">
        <f>CF_Currency</f>
        <v>RMB</v>
      </c>
      <c r="H41" s="167"/>
      <c r="I41" s="112"/>
    </row>
    <row r="42" spans="1:17">
      <c r="D42" s="229" t="str">
        <f>IF(F41&lt;&gt;D44,"=&gt;","")</f>
        <v>=&gt;</v>
      </c>
      <c r="E42" s="230">
        <f ca="1">IF(Price_Currency&lt;&gt;CF_Currency,E41*Exchange_Rate,"")</f>
        <v>236.33611325656187</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224.6</v>
      </c>
      <c r="F44" s="120" t="s">
        <v>432</v>
      </c>
      <c r="G44" s="34">
        <f ca="1">Current_Price/IF(Price_Currency&lt;&gt;CF_Currency,E42,E41)-1</f>
        <v>-4.9658569292884036E-2</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269">
        <f>B17/'Master Inputs'!P14</f>
        <v>0.56393476123527975</v>
      </c>
      <c r="C47" s="269">
        <f t="shared" ref="C47:L47" ca="1" si="11">IF(C15&gt;$C$8," ",(C17-B17)/(C25+C24))</f>
        <v>0.614923218822236</v>
      </c>
      <c r="D47" s="269">
        <f t="shared" ca="1" si="11"/>
        <v>0.61890393816538036</v>
      </c>
      <c r="E47" s="269">
        <f t="shared" ca="1" si="11"/>
        <v>0.62265487112395856</v>
      </c>
      <c r="F47" s="269">
        <f t="shared" ca="1" si="11"/>
        <v>0.62645154716739671</v>
      </c>
      <c r="G47" s="269">
        <f t="shared" ca="1" si="11"/>
        <v>0.63029480819296424</v>
      </c>
      <c r="H47" s="269">
        <f t="shared" ca="1" si="11"/>
        <v>0.62517469500491063</v>
      </c>
      <c r="I47" s="269">
        <f t="shared" ca="1" si="11"/>
        <v>0.59659675654671784</v>
      </c>
      <c r="J47" s="269">
        <f t="shared" ca="1" si="11"/>
        <v>0.51101536331918962</v>
      </c>
      <c r="K47" s="269">
        <f t="shared" ca="1" si="11"/>
        <v>0.23749679033588086</v>
      </c>
      <c r="L47" s="269" t="str">
        <f t="shared" si="11"/>
        <v xml:space="preserve"> </v>
      </c>
      <c r="M47" s="269"/>
    </row>
    <row r="48" spans="1:17">
      <c r="A48" s="128" t="s">
        <v>208</v>
      </c>
      <c r="B48" s="269">
        <f>Adj!C24</f>
        <v>34269549</v>
      </c>
      <c r="C48" s="269">
        <f t="shared" ref="C48:L48" ca="1" si="12">IF(C15&gt;$C$8," ",B48+C25+C24)</f>
        <v>42175476.685595721</v>
      </c>
      <c r="D48" s="269">
        <f t="shared" ca="1" si="12"/>
        <v>51762952.583121739</v>
      </c>
      <c r="E48" s="269">
        <f t="shared" ca="1" si="12"/>
        <v>63389211.005844548</v>
      </c>
      <c r="F48" s="269">
        <f t="shared" ca="1" si="12"/>
        <v>77487282.431410491</v>
      </c>
      <c r="G48" s="269">
        <f t="shared" ca="1" si="12"/>
        <v>94582053.673410758</v>
      </c>
      <c r="H48" s="269">
        <f t="shared" ca="1" si="12"/>
        <v>110769295.66821264</v>
      </c>
      <c r="I48" s="269">
        <f t="shared" ca="1" si="12"/>
        <v>124675002.24879597</v>
      </c>
      <c r="J48" s="269">
        <f t="shared" ca="1" si="12"/>
        <v>135092214.56553614</v>
      </c>
      <c r="K48" s="269">
        <f t="shared" ca="1" si="12"/>
        <v>141233658.75896382</v>
      </c>
      <c r="L48" s="269" t="str">
        <f t="shared" si="12"/>
        <v xml:space="preserve"> </v>
      </c>
      <c r="M48" s="123"/>
    </row>
    <row r="49" spans="1:13">
      <c r="A49" s="128" t="s">
        <v>209</v>
      </c>
      <c r="B49" s="29">
        <f ca="1">B22/B48</f>
        <v>0.13396958305988135</v>
      </c>
      <c r="C49" s="29">
        <f t="shared" ref="C49:L49" ca="1" si="13">IF(C15&gt;$C$8," ",C22/C48)</f>
        <v>0.13194838273400289</v>
      </c>
      <c r="D49" s="29">
        <f t="shared" ca="1" si="13"/>
        <v>0.13037564747287067</v>
      </c>
      <c r="E49" s="29">
        <f t="shared" ca="1" si="13"/>
        <v>0.1291028589145565</v>
      </c>
      <c r="F49" s="29">
        <f t="shared" ca="1" si="13"/>
        <v>0.12806796551124883</v>
      </c>
      <c r="G49" s="29">
        <f t="shared" ca="1" si="13"/>
        <v>0.12722304551478153</v>
      </c>
      <c r="H49" s="29">
        <f t="shared" ca="1" si="13"/>
        <v>0.12625063253044982</v>
      </c>
      <c r="I49" s="29">
        <f t="shared" ca="1" si="13"/>
        <v>0.12471298064612323</v>
      </c>
      <c r="J49" s="29">
        <f t="shared" ca="1" si="13"/>
        <v>0.12217089650829464</v>
      </c>
      <c r="K49" s="29">
        <f t="shared" ca="1" si="13"/>
        <v>0.11815677441802172</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4895B7-0CD6-404C-8373-A28E3DB980E8}">
          <x14:formula1>
            <xm:f>Readme!$C$53:$C$55</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D8" sqref="D8"/>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534</v>
      </c>
    </row>
    <row r="3" spans="1:9">
      <c r="A3" s="5" t="s">
        <v>4</v>
      </c>
      <c r="B3" s="135">
        <v>8.1999999999999993</v>
      </c>
    </row>
    <row r="5" spans="1:9">
      <c r="A5" s="326" t="s">
        <v>328</v>
      </c>
      <c r="B5" s="326"/>
      <c r="C5" s="326"/>
      <c r="D5" s="326"/>
      <c r="E5" s="326"/>
      <c r="G5" s="5"/>
    </row>
    <row r="6" spans="1:9">
      <c r="A6" s="114" t="s">
        <v>326</v>
      </c>
      <c r="B6" t="s">
        <v>327</v>
      </c>
      <c r="G6" s="5"/>
    </row>
    <row r="7" spans="1:9">
      <c r="A7"/>
      <c r="B7" t="s">
        <v>367</v>
      </c>
      <c r="G7" s="5"/>
    </row>
    <row r="8" spans="1:9">
      <c r="A8" s="114" t="s">
        <v>24</v>
      </c>
      <c r="B8" t="s">
        <v>329</v>
      </c>
      <c r="G8" s="5"/>
    </row>
    <row r="9" spans="1:9">
      <c r="A9"/>
      <c r="B9" t="s">
        <v>330</v>
      </c>
    </row>
    <row r="10" spans="1:9">
      <c r="A10"/>
      <c r="B10" t="s">
        <v>331</v>
      </c>
      <c r="E10" s="4"/>
      <c r="F10" s="5"/>
      <c r="H10" s="11"/>
      <c r="I10" s="11"/>
    </row>
    <row r="11" spans="1:9">
      <c r="A11"/>
      <c r="B11" t="s">
        <v>332</v>
      </c>
      <c r="E11" s="4"/>
      <c r="F11" s="5"/>
    </row>
    <row r="12" spans="1:9">
      <c r="A12"/>
      <c r="B12" t="s">
        <v>333</v>
      </c>
      <c r="E12" s="4"/>
      <c r="F12" s="5"/>
    </row>
    <row r="13" spans="1:9">
      <c r="A13"/>
      <c r="B13" t="s">
        <v>339</v>
      </c>
    </row>
    <row r="14" spans="1:9">
      <c r="A14" s="114" t="s">
        <v>338</v>
      </c>
      <c r="B14" t="s">
        <v>334</v>
      </c>
    </row>
    <row r="15" spans="1:9">
      <c r="A15"/>
      <c r="B15" t="s">
        <v>335</v>
      </c>
    </row>
    <row r="16" spans="1:9">
      <c r="A16"/>
      <c r="B16" t="s">
        <v>368</v>
      </c>
    </row>
    <row r="17" spans="1:7">
      <c r="A17"/>
      <c r="B17" t="s">
        <v>336</v>
      </c>
    </row>
    <row r="18" spans="1:7">
      <c r="A18"/>
      <c r="B18" t="s">
        <v>337</v>
      </c>
    </row>
    <row r="19" spans="1:7">
      <c r="A19" s="114" t="s">
        <v>28</v>
      </c>
      <c r="B19" t="s">
        <v>370</v>
      </c>
    </row>
    <row r="20" spans="1:7">
      <c r="A20" s="114" t="s">
        <v>340</v>
      </c>
      <c r="B20" t="s">
        <v>369</v>
      </c>
    </row>
    <row r="21" spans="1:7">
      <c r="A21"/>
      <c r="B21" t="s">
        <v>371</v>
      </c>
    </row>
    <row r="23" spans="1:7">
      <c r="A23" s="3" t="s">
        <v>1</v>
      </c>
      <c r="B23" s="4"/>
      <c r="C23" s="4"/>
      <c r="D23" s="4"/>
    </row>
    <row r="24" spans="1:7">
      <c r="A24" s="6" t="s">
        <v>316</v>
      </c>
      <c r="B24" s="4"/>
      <c r="C24" s="4"/>
      <c r="D24" s="4"/>
    </row>
    <row r="25" spans="1:7">
      <c r="A25" s="7" t="s">
        <v>317</v>
      </c>
      <c r="B25" s="4"/>
      <c r="C25" s="4"/>
      <c r="D25" s="4"/>
    </row>
    <row r="27" spans="1:7">
      <c r="A27" s="10" t="s">
        <v>6</v>
      </c>
      <c r="B27" s="9"/>
      <c r="C27" s="9"/>
      <c r="D27" s="9"/>
      <c r="E27" s="9"/>
      <c r="F27" s="9"/>
      <c r="G27" s="11"/>
    </row>
    <row r="28" spans="1:7">
      <c r="A28" s="12" t="s">
        <v>8</v>
      </c>
      <c r="C28" s="13" t="s">
        <v>13</v>
      </c>
      <c r="E28" s="13" t="s">
        <v>236</v>
      </c>
    </row>
    <row r="29" spans="1:7">
      <c r="A29" s="5" t="s">
        <v>9</v>
      </c>
      <c r="C29" s="1" t="s">
        <v>14</v>
      </c>
      <c r="E29" s="1" t="s">
        <v>237</v>
      </c>
    </row>
    <row r="30" spans="1:7">
      <c r="A30" s="5" t="s">
        <v>10</v>
      </c>
      <c r="C30" s="1" t="s">
        <v>16</v>
      </c>
      <c r="E30" s="1" t="s">
        <v>36</v>
      </c>
    </row>
    <row r="31" spans="1:7">
      <c r="A31" s="5" t="s">
        <v>11</v>
      </c>
      <c r="C31" s="1" t="s">
        <v>17</v>
      </c>
      <c r="E31" s="1" t="s">
        <v>37</v>
      </c>
    </row>
    <row r="32" spans="1:7">
      <c r="E32" s="1" t="s">
        <v>40</v>
      </c>
    </row>
    <row r="33" spans="1:5">
      <c r="A33" s="13" t="s">
        <v>377</v>
      </c>
      <c r="C33" s="13" t="s">
        <v>19</v>
      </c>
      <c r="E33" s="1" t="s">
        <v>46</v>
      </c>
    </row>
    <row r="34" spans="1:5">
      <c r="A34" s="1" t="s">
        <v>147</v>
      </c>
      <c r="C34" s="1" t="s">
        <v>18</v>
      </c>
      <c r="E34" s="1" t="s">
        <v>49</v>
      </c>
    </row>
    <row r="35" spans="1:5">
      <c r="A35" s="1" t="s">
        <v>148</v>
      </c>
      <c r="C35" s="1" t="s">
        <v>20</v>
      </c>
      <c r="E35" s="1" t="s">
        <v>238</v>
      </c>
    </row>
    <row r="36" spans="1:5">
      <c r="A36" s="1" t="s">
        <v>376</v>
      </c>
      <c r="E36" s="1" t="s">
        <v>239</v>
      </c>
    </row>
    <row r="37" spans="1:5">
      <c r="C37" s="13" t="s">
        <v>187</v>
      </c>
      <c r="E37" s="1" t="s">
        <v>240</v>
      </c>
    </row>
    <row r="38" spans="1:5">
      <c r="A38" s="43" t="s">
        <v>320</v>
      </c>
      <c r="C38" s="1" t="s">
        <v>188</v>
      </c>
      <c r="E38" s="1" t="s">
        <v>58</v>
      </c>
    </row>
    <row r="39" spans="1:5">
      <c r="A39" s="42">
        <v>0</v>
      </c>
      <c r="C39" s="1" t="s">
        <v>189</v>
      </c>
      <c r="E39" s="1" t="s">
        <v>241</v>
      </c>
    </row>
    <row r="40" spans="1:5">
      <c r="A40" s="42">
        <v>1</v>
      </c>
      <c r="C40" s="1" t="s">
        <v>190</v>
      </c>
      <c r="E40" s="1" t="s">
        <v>242</v>
      </c>
    </row>
    <row r="41" spans="1:5">
      <c r="A41" s="42">
        <v>2</v>
      </c>
      <c r="E41" s="1" t="s">
        <v>243</v>
      </c>
    </row>
    <row r="42" spans="1:5">
      <c r="A42" s="42">
        <v>3</v>
      </c>
      <c r="C42" s="12" t="s">
        <v>308</v>
      </c>
      <c r="E42" s="1" t="s">
        <v>60</v>
      </c>
    </row>
    <row r="43" spans="1:5">
      <c r="A43" s="42">
        <v>4</v>
      </c>
      <c r="C43" s="5" t="s">
        <v>7</v>
      </c>
      <c r="E43" s="1" t="s">
        <v>244</v>
      </c>
    </row>
    <row r="44" spans="1:5">
      <c r="A44" s="42">
        <v>5</v>
      </c>
      <c r="C44" s="1" t="s">
        <v>306</v>
      </c>
      <c r="E44" s="1" t="s">
        <v>61</v>
      </c>
    </row>
    <row r="45" spans="1:5">
      <c r="A45" s="13"/>
      <c r="C45" s="1" t="s">
        <v>309</v>
      </c>
      <c r="E45" s="1" t="s">
        <v>64</v>
      </c>
    </row>
    <row r="46" spans="1:5">
      <c r="A46" s="106" t="s">
        <v>323</v>
      </c>
      <c r="C46" s="1" t="s">
        <v>310</v>
      </c>
      <c r="E46" s="1" t="s">
        <v>65</v>
      </c>
    </row>
    <row r="47" spans="1:5">
      <c r="A47" s="42" t="s">
        <v>460</v>
      </c>
      <c r="C47" s="1" t="s">
        <v>311</v>
      </c>
      <c r="E47" s="1" t="s">
        <v>66</v>
      </c>
    </row>
    <row r="48" spans="1:5">
      <c r="A48" s="1" t="s">
        <v>324</v>
      </c>
      <c r="C48" s="1" t="s">
        <v>312</v>
      </c>
      <c r="E48" s="1" t="s">
        <v>245</v>
      </c>
    </row>
    <row r="49" spans="1:5">
      <c r="A49" s="1" t="s">
        <v>469</v>
      </c>
      <c r="C49" s="1" t="s">
        <v>313</v>
      </c>
      <c r="E49" s="1" t="s">
        <v>246</v>
      </c>
    </row>
    <row r="50" spans="1:5">
      <c r="A50" s="1" t="s">
        <v>325</v>
      </c>
      <c r="C50" s="1" t="s">
        <v>314</v>
      </c>
      <c r="E50" s="1" t="s">
        <v>247</v>
      </c>
    </row>
    <row r="51" spans="1:5">
      <c r="A51" s="1" t="s">
        <v>458</v>
      </c>
      <c r="E51" s="1" t="s">
        <v>248</v>
      </c>
    </row>
    <row r="52" spans="1:5">
      <c r="C52" s="13" t="s">
        <v>503</v>
      </c>
      <c r="E52" s="1" t="s">
        <v>249</v>
      </c>
    </row>
    <row r="53" spans="1:5">
      <c r="A53" s="134" t="s">
        <v>372</v>
      </c>
      <c r="C53" s="1" t="s">
        <v>504</v>
      </c>
      <c r="E53" s="1" t="s">
        <v>250</v>
      </c>
    </row>
    <row r="54" spans="1:5">
      <c r="A54" s="42">
        <v>6</v>
      </c>
      <c r="C54" s="1" t="s">
        <v>505</v>
      </c>
      <c r="E54" s="1" t="s">
        <v>251</v>
      </c>
    </row>
    <row r="55" spans="1:5">
      <c r="A55" s="42">
        <v>12</v>
      </c>
      <c r="C55" s="1" t="s">
        <v>506</v>
      </c>
      <c r="E55" s="1" t="s">
        <v>252</v>
      </c>
    </row>
    <row r="56" spans="1:5">
      <c r="E56" s="1" t="s">
        <v>78</v>
      </c>
    </row>
    <row r="57" spans="1:5">
      <c r="A57" s="13" t="s">
        <v>391</v>
      </c>
      <c r="C57" s="13" t="s">
        <v>206</v>
      </c>
      <c r="E57" s="1" t="s">
        <v>253</v>
      </c>
    </row>
    <row r="58" spans="1:5">
      <c r="A58" s="1" t="s">
        <v>392</v>
      </c>
      <c r="C58" s="1" t="s">
        <v>517</v>
      </c>
      <c r="E58" s="1" t="s">
        <v>254</v>
      </c>
    </row>
    <row r="59" spans="1:5">
      <c r="A59" s="1" t="s">
        <v>393</v>
      </c>
      <c r="C59" s="1" t="s">
        <v>518</v>
      </c>
      <c r="E59" s="1" t="s">
        <v>255</v>
      </c>
    </row>
    <row r="60" spans="1:5">
      <c r="E60" s="1" t="s">
        <v>80</v>
      </c>
    </row>
    <row r="61" spans="1:5">
      <c r="A61" s="13" t="s">
        <v>420</v>
      </c>
      <c r="C61" s="13" t="s">
        <v>536</v>
      </c>
      <c r="E61" s="1" t="s">
        <v>256</v>
      </c>
    </row>
    <row r="62" spans="1:5">
      <c r="A62" s="1" t="s">
        <v>419</v>
      </c>
      <c r="C62" s="249">
        <f>C63-(C64-C63)</f>
        <v>0.16666666666666663</v>
      </c>
      <c r="E62" s="1" t="s">
        <v>257</v>
      </c>
    </row>
    <row r="63" spans="1:5">
      <c r="A63" s="1" t="s">
        <v>421</v>
      </c>
      <c r="C63" s="249">
        <f>1/3</f>
        <v>0.33333333333333331</v>
      </c>
      <c r="E63" s="1" t="s">
        <v>258</v>
      </c>
    </row>
    <row r="64" spans="1:5">
      <c r="C64" s="249">
        <v>0.5</v>
      </c>
      <c r="E64" s="1" t="s">
        <v>83</v>
      </c>
    </row>
    <row r="65" spans="1:5">
      <c r="A65" s="13" t="s">
        <v>525</v>
      </c>
      <c r="C65" s="249">
        <f>C64+(C64-C63)</f>
        <v>0.66666666666666674</v>
      </c>
      <c r="E65" s="1" t="s">
        <v>84</v>
      </c>
    </row>
    <row r="66" spans="1:5">
      <c r="A66" s="1" t="s">
        <v>508</v>
      </c>
      <c r="C66" s="249">
        <f>C65+(C64-C63)</f>
        <v>0.83333333333333348</v>
      </c>
      <c r="E66" s="1" t="s">
        <v>259</v>
      </c>
    </row>
    <row r="67" spans="1:5">
      <c r="A67" s="1" t="s">
        <v>509</v>
      </c>
      <c r="E67" s="1" t="s">
        <v>260</v>
      </c>
    </row>
    <row r="68" spans="1:5">
      <c r="A68" s="1" t="s">
        <v>510</v>
      </c>
      <c r="E68" s="1" t="s">
        <v>261</v>
      </c>
    </row>
    <row r="69" spans="1:5">
      <c r="A69" s="1" t="s">
        <v>524</v>
      </c>
      <c r="E69" s="1" t="s">
        <v>262</v>
      </c>
    </row>
    <row r="70" spans="1:5">
      <c r="A70" s="1" t="s">
        <v>526</v>
      </c>
      <c r="E70" s="1" t="s">
        <v>263</v>
      </c>
    </row>
    <row r="71" spans="1:5">
      <c r="A71" s="1" t="s">
        <v>527</v>
      </c>
      <c r="E71" s="1" t="s">
        <v>92</v>
      </c>
    </row>
    <row r="72" spans="1:5">
      <c r="E72" s="1" t="s">
        <v>264</v>
      </c>
    </row>
    <row r="73" spans="1:5">
      <c r="E73" s="1" t="s">
        <v>93</v>
      </c>
    </row>
    <row r="74" spans="1:5">
      <c r="E74" s="1" t="s">
        <v>94</v>
      </c>
    </row>
    <row r="75" spans="1:5">
      <c r="E75" s="1" t="s">
        <v>265</v>
      </c>
    </row>
    <row r="76" spans="1:5">
      <c r="E76" s="1" t="s">
        <v>266</v>
      </c>
    </row>
    <row r="77" spans="1:5">
      <c r="E77" s="1" t="s">
        <v>97</v>
      </c>
    </row>
    <row r="78" spans="1:5">
      <c r="E78" s="1" t="s">
        <v>267</v>
      </c>
    </row>
    <row r="79" spans="1:5">
      <c r="E79" s="1" t="s">
        <v>268</v>
      </c>
    </row>
    <row r="80" spans="1:5">
      <c r="E80" s="1" t="s">
        <v>103</v>
      </c>
    </row>
    <row r="81" spans="5:5">
      <c r="E81" s="1" t="s">
        <v>269</v>
      </c>
    </row>
    <row r="82" spans="5:5">
      <c r="E82" s="1" t="s">
        <v>270</v>
      </c>
    </row>
    <row r="83" spans="5:5">
      <c r="E83" s="1" t="s">
        <v>271</v>
      </c>
    </row>
    <row r="84" spans="5:5">
      <c r="E84" s="1" t="s">
        <v>272</v>
      </c>
    </row>
    <row r="85" spans="5:5">
      <c r="E85" s="1" t="s">
        <v>273</v>
      </c>
    </row>
    <row r="86" spans="5:5">
      <c r="E86" s="1" t="s">
        <v>274</v>
      </c>
    </row>
    <row r="87" spans="5:5">
      <c r="E87" s="1" t="s">
        <v>115</v>
      </c>
    </row>
    <row r="88" spans="5:5">
      <c r="E88" s="1" t="s">
        <v>275</v>
      </c>
    </row>
    <row r="89" spans="5:5">
      <c r="E89" s="1" t="s">
        <v>276</v>
      </c>
    </row>
    <row r="90" spans="5:5">
      <c r="E90" s="1" t="s">
        <v>277</v>
      </c>
    </row>
    <row r="91" spans="5:5">
      <c r="E91" s="1" t="s">
        <v>278</v>
      </c>
    </row>
    <row r="92" spans="5:5">
      <c r="E92" s="1" t="s">
        <v>121</v>
      </c>
    </row>
    <row r="93" spans="5:5">
      <c r="E93" s="1" t="s">
        <v>279</v>
      </c>
    </row>
    <row r="94" spans="5:5">
      <c r="E94" s="1" t="s">
        <v>280</v>
      </c>
    </row>
    <row r="95" spans="5:5">
      <c r="E95" s="1" t="s">
        <v>281</v>
      </c>
    </row>
    <row r="96" spans="5:5">
      <c r="E96" s="1" t="s">
        <v>123</v>
      </c>
    </row>
    <row r="97" spans="5:5">
      <c r="E97" s="1" t="s">
        <v>282</v>
      </c>
    </row>
    <row r="98" spans="5:5">
      <c r="E98" s="1" t="s">
        <v>283</v>
      </c>
    </row>
    <row r="99" spans="5:5">
      <c r="E99" s="1" t="s">
        <v>284</v>
      </c>
    </row>
    <row r="100" spans="5:5">
      <c r="E100" s="1" t="s">
        <v>285</v>
      </c>
    </row>
    <row r="101" spans="5:5">
      <c r="E101" s="1" t="s">
        <v>286</v>
      </c>
    </row>
    <row r="102" spans="5:5">
      <c r="E102" s="1" t="s">
        <v>287</v>
      </c>
    </row>
    <row r="103" spans="5:5">
      <c r="E103" s="1" t="s">
        <v>288</v>
      </c>
    </row>
    <row r="104" spans="5:5">
      <c r="E104" s="1" t="s">
        <v>289</v>
      </c>
    </row>
    <row r="105" spans="5:5">
      <c r="E105" s="1" t="s">
        <v>125</v>
      </c>
    </row>
    <row r="106" spans="5:5">
      <c r="E106" s="1" t="s">
        <v>290</v>
      </c>
    </row>
    <row r="107" spans="5:5">
      <c r="E107" s="1" t="s">
        <v>129</v>
      </c>
    </row>
    <row r="108" spans="5:5">
      <c r="E108" s="1" t="s">
        <v>291</v>
      </c>
    </row>
    <row r="109" spans="5:5">
      <c r="E109" s="1" t="s">
        <v>292</v>
      </c>
    </row>
    <row r="110" spans="5:5">
      <c r="E110" s="1" t="s">
        <v>131</v>
      </c>
    </row>
    <row r="111" spans="5:5">
      <c r="E111" s="1" t="s">
        <v>293</v>
      </c>
    </row>
    <row r="112" spans="5:5">
      <c r="E112" s="1" t="s">
        <v>294</v>
      </c>
    </row>
    <row r="113" spans="5:5">
      <c r="E113" s="1" t="s">
        <v>295</v>
      </c>
    </row>
    <row r="114" spans="5:5">
      <c r="E114" s="1" t="s">
        <v>296</v>
      </c>
    </row>
    <row r="115" spans="5:5">
      <c r="E115" s="1" t="s">
        <v>297</v>
      </c>
    </row>
    <row r="116" spans="5:5">
      <c r="E116" s="1" t="s">
        <v>134</v>
      </c>
    </row>
    <row r="117" spans="5:5">
      <c r="E117" s="1" t="s">
        <v>135</v>
      </c>
    </row>
    <row r="118" spans="5:5">
      <c r="E118" s="1" t="s">
        <v>139</v>
      </c>
    </row>
    <row r="119" spans="5:5">
      <c r="E119" s="1" t="s">
        <v>298</v>
      </c>
    </row>
    <row r="120" spans="5:5">
      <c r="E120" s="1" t="s">
        <v>299</v>
      </c>
    </row>
    <row r="121" spans="5:5">
      <c r="E121" s="1" t="s">
        <v>300</v>
      </c>
    </row>
    <row r="122" spans="5:5">
      <c r="E122" s="1" t="s">
        <v>301</v>
      </c>
    </row>
    <row r="123" spans="5:5">
      <c r="E123" s="1" t="s">
        <v>302</v>
      </c>
    </row>
    <row r="124" spans="5:5">
      <c r="E124" s="1" t="s">
        <v>303</v>
      </c>
    </row>
    <row r="125" spans="5:5">
      <c r="E125" s="1" t="s">
        <v>304</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Master Inputs</vt:lpstr>
      <vt:lpstr>Adj</vt:lpstr>
      <vt:lpstr>Scenarios</vt:lpstr>
      <vt:lpstr>WACC</vt:lpstr>
      <vt:lpstr>Bear Model</vt:lpstr>
      <vt:lpstr>Base Model</vt:lpstr>
      <vt:lpstr>Bull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'Bear Model'!Model_CAP_Length</vt:lpstr>
      <vt:lpstr>'Bull Model'!Model_CAP_Length</vt:lpstr>
      <vt:lpstr>Model_CAP_Length</vt:lpstr>
      <vt:lpstr>'Bear Model'!Model_Ebit</vt:lpstr>
      <vt:lpstr>'Bull Model'!Model_Ebit</vt:lpstr>
      <vt:lpstr>Model_Ebit</vt:lpstr>
      <vt:lpstr>'Bear Model'!Model_Ebit_g</vt:lpstr>
      <vt:lpstr>'Bull Model'!Model_Ebit_g</vt:lpstr>
      <vt:lpstr>Model_Ebit_g</vt:lpstr>
      <vt:lpstr>'Bear Model'!Model_EbitGrowth_Total</vt:lpstr>
      <vt:lpstr>'Bull Model'!Model_EbitGrowth_Total</vt:lpstr>
      <vt:lpstr>Model_EbitGrowth_Total</vt:lpstr>
      <vt:lpstr>'Bear Model'!Model_EbitMargin</vt:lpstr>
      <vt:lpstr>'Bull Model'!Model_EbitMargin</vt:lpstr>
      <vt:lpstr>Model_EbitMargin</vt:lpstr>
      <vt:lpstr>'Bear Model'!Model_ReinvestRate</vt:lpstr>
      <vt:lpstr>'Bull Model'!Model_ReinvestRate</vt:lpstr>
      <vt:lpstr>Model_ReinvestRate</vt:lpstr>
      <vt:lpstr>'Bear Model'!Model_Sales</vt:lpstr>
      <vt:lpstr>'Bull Model'!Model_Sales</vt:lpstr>
      <vt:lpstr>Model_Sales</vt:lpstr>
      <vt:lpstr>'Bear Model'!Model_Year</vt:lpstr>
      <vt:lpstr>'Bull Model'!Model_Year</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'Bear Model'!Terminal_Ebit</vt:lpstr>
      <vt:lpstr>'Bull Model'!Terminal_Ebit</vt:lpstr>
      <vt:lpstr>Terminal_Ebit</vt:lpstr>
      <vt:lpstr>Terminal_Ebit_g</vt:lpstr>
      <vt:lpstr>'Bear Model'!Terminal_EbitMargin</vt:lpstr>
      <vt:lpstr>'Bull Model'!Terminal_EbitMargin</vt:lpstr>
      <vt:lpstr>Terminal_EbitMargin</vt:lpstr>
      <vt:lpstr>'Bear Model'!Terminal_Sales</vt:lpstr>
      <vt:lpstr>'Bull Model'!Terminal_Sales</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User</cp:lastModifiedBy>
  <dcterms:created xsi:type="dcterms:W3CDTF">2020-02-11T08:54:29Z</dcterms:created>
  <dcterms:modified xsi:type="dcterms:W3CDTF">2021-04-07T05:01:57Z</dcterms:modified>
</cp:coreProperties>
</file>