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"/>
    </mc:Choice>
  </mc:AlternateContent>
  <xr:revisionPtr revIDLastSave="0" documentId="13_ncr:1_{1838D952-80FE-4B53-8889-2C4E93BC6A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Dashboard!$C$8</definedName>
    <definedName name="Exchange_Rate">Dashboard!$C$14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7" i="5" l="1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D100" i="5" s="1" a="1"/>
  <c r="D100" i="5" s="1"/>
  <c r="E119" i="5"/>
  <c r="B119" i="5"/>
  <c r="E118" i="5"/>
  <c r="D111" i="5"/>
  <c r="D110" i="5"/>
  <c r="D109" i="5"/>
  <c r="D108" i="5"/>
  <c r="D107" i="5"/>
  <c r="D106" i="5"/>
  <c r="D105" i="5"/>
  <c r="D104" i="5"/>
  <c r="D103" i="5"/>
  <c r="D102" i="5"/>
  <c r="E102" i="5" s="1"/>
  <c r="E55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7" i="5" s="1"/>
  <c r="E77" i="5" s="1"/>
  <c r="E52" i="5" s="1"/>
  <c r="D75" i="5"/>
  <c r="D74" i="5"/>
  <c r="D73" i="5"/>
  <c r="D72" i="5"/>
  <c r="D71" i="5"/>
  <c r="D67" i="5" s="1"/>
  <c r="D70" i="5"/>
  <c r="D69" i="5"/>
  <c r="D68" i="5"/>
  <c r="E67" i="5"/>
  <c r="E51" i="5" s="1"/>
  <c r="D59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8" i="5"/>
  <c r="D27" i="5"/>
  <c r="D26" i="5"/>
  <c r="D21" i="5"/>
  <c r="D20" i="5"/>
  <c r="D19" i="5"/>
  <c r="D18" i="5"/>
  <c r="E22" i="5" s="1"/>
  <c r="D22" i="5" s="1"/>
  <c r="D16" i="5"/>
  <c r="D15" i="5"/>
  <c r="D14" i="5"/>
  <c r="E17" i="5" s="1"/>
  <c r="D17" i="5" s="1"/>
  <c r="D13" i="5"/>
  <c r="D11" i="5"/>
  <c r="D10" i="5"/>
  <c r="D9" i="5"/>
  <c r="D8" i="5"/>
  <c r="E12" i="5" s="1"/>
  <c r="D12" i="5" s="1"/>
  <c r="D6" i="5"/>
  <c r="D5" i="5"/>
  <c r="D4" i="5"/>
  <c r="D3" i="5"/>
  <c r="C54" i="4"/>
  <c r="D45" i="4"/>
  <c r="D61" i="4" s="1"/>
  <c r="D44" i="4"/>
  <c r="D37" i="4"/>
  <c r="D36" i="4"/>
  <c r="F25" i="4"/>
  <c r="E25" i="4"/>
  <c r="F24" i="4"/>
  <c r="E24" i="4"/>
  <c r="G23" i="4"/>
  <c r="F23" i="4"/>
  <c r="E23" i="4"/>
  <c r="F22" i="4"/>
  <c r="E22" i="4"/>
  <c r="E21" i="4"/>
  <c r="F20" i="4"/>
  <c r="F18" i="4"/>
  <c r="E18" i="4"/>
  <c r="G17" i="4"/>
  <c r="F17" i="4"/>
  <c r="E17" i="4"/>
  <c r="F16" i="4"/>
  <c r="E16" i="4"/>
  <c r="E15" i="4"/>
  <c r="E14" i="4"/>
  <c r="E13" i="4"/>
  <c r="D13" i="4"/>
  <c r="C13" i="4"/>
  <c r="E11" i="4"/>
  <c r="E9" i="4"/>
  <c r="D9" i="4"/>
  <c r="C9" i="4"/>
  <c r="E8" i="4"/>
  <c r="D8" i="4"/>
  <c r="C8" i="4"/>
  <c r="C11" i="4" s="1"/>
  <c r="F6" i="4"/>
  <c r="E6" i="4"/>
  <c r="B6" i="4"/>
  <c r="E4" i="4"/>
  <c r="D3" i="4"/>
  <c r="D52" i="3"/>
  <c r="C27" i="2" s="1"/>
  <c r="C33" i="4" s="1"/>
  <c r="H35" i="3"/>
  <c r="C35" i="3"/>
  <c r="E33" i="3"/>
  <c r="E31" i="3"/>
  <c r="E30" i="3"/>
  <c r="E29" i="3"/>
  <c r="E28" i="3"/>
  <c r="E27" i="3"/>
  <c r="E26" i="3"/>
  <c r="E25" i="3"/>
  <c r="E24" i="3"/>
  <c r="E35" i="3" s="1"/>
  <c r="D35" i="3" s="1"/>
  <c r="E23" i="3"/>
  <c r="H21" i="3"/>
  <c r="H39" i="3" s="1"/>
  <c r="C21" i="3"/>
  <c r="C20" i="3"/>
  <c r="C19" i="3"/>
  <c r="C37" i="3" s="1"/>
  <c r="C38" i="3" s="1"/>
  <c r="E17" i="3"/>
  <c r="E16" i="3"/>
  <c r="E15" i="3"/>
  <c r="E14" i="3"/>
  <c r="E13" i="3"/>
  <c r="E12" i="3"/>
  <c r="E11" i="3"/>
  <c r="E10" i="3"/>
  <c r="F55" i="2"/>
  <c r="D55" i="2"/>
  <c r="E55" i="2" s="1"/>
  <c r="B55" i="2"/>
  <c r="B56" i="2" s="1"/>
  <c r="D54" i="2"/>
  <c r="E54" i="2" s="1"/>
  <c r="K46" i="2"/>
  <c r="I45" i="2"/>
  <c r="F45" i="2"/>
  <c r="M44" i="2"/>
  <c r="I44" i="2"/>
  <c r="L43" i="2"/>
  <c r="K42" i="2"/>
  <c r="J42" i="2"/>
  <c r="G42" i="2"/>
  <c r="L40" i="2"/>
  <c r="I40" i="2"/>
  <c r="K39" i="2"/>
  <c r="M38" i="2"/>
  <c r="L38" i="2"/>
  <c r="K38" i="2"/>
  <c r="J38" i="2"/>
  <c r="I38" i="2"/>
  <c r="H38" i="2"/>
  <c r="M36" i="2"/>
  <c r="L36" i="2"/>
  <c r="K36" i="2"/>
  <c r="J36" i="2"/>
  <c r="I36" i="2"/>
  <c r="H36" i="2"/>
  <c r="E36" i="2"/>
  <c r="D36" i="2"/>
  <c r="M33" i="2"/>
  <c r="M46" i="2" s="1"/>
  <c r="L33" i="2"/>
  <c r="K33" i="2"/>
  <c r="J33" i="2"/>
  <c r="I33" i="2"/>
  <c r="H33" i="2"/>
  <c r="M32" i="2"/>
  <c r="L32" i="2"/>
  <c r="K32" i="2"/>
  <c r="I32" i="2"/>
  <c r="H32" i="2"/>
  <c r="G32" i="2"/>
  <c r="M31" i="2"/>
  <c r="M45" i="2" s="1"/>
  <c r="L31" i="2"/>
  <c r="L45" i="2" s="1"/>
  <c r="K31" i="2"/>
  <c r="K45" i="2" s="1"/>
  <c r="J31" i="2"/>
  <c r="I31" i="2"/>
  <c r="H31" i="2"/>
  <c r="H45" i="2" s="1"/>
  <c r="G31" i="2"/>
  <c r="G45" i="2" s="1"/>
  <c r="F31" i="2"/>
  <c r="D31" i="2"/>
  <c r="M30" i="2"/>
  <c r="L30" i="2"/>
  <c r="K30" i="2"/>
  <c r="J30" i="2"/>
  <c r="I30" i="2"/>
  <c r="H30" i="2"/>
  <c r="G30" i="2"/>
  <c r="F30" i="2"/>
  <c r="E30" i="2"/>
  <c r="E31" i="2" s="1"/>
  <c r="D30" i="2"/>
  <c r="C30" i="2"/>
  <c r="M29" i="2"/>
  <c r="L29" i="2"/>
  <c r="K29" i="2"/>
  <c r="J29" i="2"/>
  <c r="I29" i="2"/>
  <c r="H29" i="2"/>
  <c r="G29" i="2"/>
  <c r="E29" i="2"/>
  <c r="D29" i="2"/>
  <c r="G28" i="2"/>
  <c r="F29" i="2" s="1"/>
  <c r="C28" i="2"/>
  <c r="C29" i="2" s="1"/>
  <c r="C26" i="2"/>
  <c r="M24" i="2"/>
  <c r="L24" i="2"/>
  <c r="K24" i="2"/>
  <c r="J24" i="2"/>
  <c r="I24" i="2"/>
  <c r="H24" i="2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21" i="2"/>
  <c r="M19" i="2"/>
  <c r="L19" i="2"/>
  <c r="K19" i="2"/>
  <c r="J19" i="2"/>
  <c r="I19" i="2"/>
  <c r="H19" i="2"/>
  <c r="G19" i="2"/>
  <c r="F19" i="2"/>
  <c r="E19" i="2"/>
  <c r="D19" i="2"/>
  <c r="C19" i="2"/>
  <c r="K16" i="2"/>
  <c r="K35" i="2" s="1"/>
  <c r="J16" i="2"/>
  <c r="J35" i="2" s="1"/>
  <c r="F16" i="2"/>
  <c r="C16" i="2"/>
  <c r="M15" i="2"/>
  <c r="J15" i="2"/>
  <c r="I15" i="2"/>
  <c r="E15" i="2"/>
  <c r="M14" i="2"/>
  <c r="M16" i="2" s="1"/>
  <c r="M35" i="2" s="1"/>
  <c r="L14" i="2"/>
  <c r="K14" i="2"/>
  <c r="J14" i="2"/>
  <c r="J13" i="2" s="1"/>
  <c r="I14" i="2"/>
  <c r="I16" i="2" s="1"/>
  <c r="I35" i="2" s="1"/>
  <c r="H14" i="2"/>
  <c r="F14" i="2"/>
  <c r="F13" i="2" s="1"/>
  <c r="E14" i="2"/>
  <c r="E16" i="2" s="1"/>
  <c r="E35" i="2" s="1"/>
  <c r="D14" i="2"/>
  <c r="C14" i="2"/>
  <c r="C69" i="2" s="1"/>
  <c r="K13" i="2"/>
  <c r="C13" i="2"/>
  <c r="C14" i="4" s="1"/>
  <c r="M12" i="2"/>
  <c r="L12" i="2"/>
  <c r="K12" i="2"/>
  <c r="J12" i="2"/>
  <c r="I12" i="2"/>
  <c r="H12" i="2"/>
  <c r="G11" i="2"/>
  <c r="G14" i="2" s="1"/>
  <c r="M10" i="2"/>
  <c r="L10" i="2"/>
  <c r="K10" i="2"/>
  <c r="J10" i="2"/>
  <c r="I10" i="2"/>
  <c r="H10" i="2"/>
  <c r="G10" i="2"/>
  <c r="F10" i="2"/>
  <c r="F12" i="2" s="1"/>
  <c r="E10" i="2"/>
  <c r="D10" i="2"/>
  <c r="C10" i="2"/>
  <c r="L8" i="2"/>
  <c r="K8" i="2"/>
  <c r="J8" i="2"/>
  <c r="I8" i="2"/>
  <c r="H8" i="2"/>
  <c r="G8" i="2"/>
  <c r="F8" i="2"/>
  <c r="E8" i="2"/>
  <c r="D8" i="2"/>
  <c r="C8" i="2"/>
  <c r="C7" i="4" s="1"/>
  <c r="M6" i="2"/>
  <c r="L6" i="2"/>
  <c r="K6" i="2"/>
  <c r="J6" i="2"/>
  <c r="I6" i="2"/>
  <c r="H6" i="2"/>
  <c r="G6" i="2"/>
  <c r="F6" i="2"/>
  <c r="E6" i="2"/>
  <c r="D6" i="2"/>
  <c r="C6" i="2"/>
  <c r="H4" i="2"/>
  <c r="F4" i="2"/>
  <c r="E4" i="2"/>
  <c r="J3" i="2" a="1"/>
  <c r="J3" i="2"/>
  <c r="H3" i="2"/>
  <c r="F3" i="2" a="1"/>
  <c r="F3" i="2"/>
  <c r="G36" i="1"/>
  <c r="I36" i="1" s="1"/>
  <c r="I37" i="1" s="1"/>
  <c r="I38" i="1" s="1"/>
  <c r="E36" i="1"/>
  <c r="C36" i="1"/>
  <c r="E37" i="1" s="1"/>
  <c r="E38" i="1" s="1"/>
  <c r="G35" i="1"/>
  <c r="E35" i="1"/>
  <c r="C35" i="1"/>
  <c r="I33" i="1"/>
  <c r="G32" i="1"/>
  <c r="I32" i="1" s="1"/>
  <c r="E32" i="1"/>
  <c r="C32" i="1"/>
  <c r="C22" i="1"/>
  <c r="G14" i="1"/>
  <c r="D14" i="1"/>
  <c r="G12" i="1"/>
  <c r="D23" i="4" s="1"/>
  <c r="B11" i="1"/>
  <c r="C9" i="1"/>
  <c r="E5" i="1"/>
  <c r="C2" i="1"/>
  <c r="C40" i="2" l="1"/>
  <c r="D46" i="2"/>
  <c r="D42" i="2"/>
  <c r="D44" i="2"/>
  <c r="C39" i="2"/>
  <c r="D43" i="2"/>
  <c r="C70" i="2"/>
  <c r="C16" i="4"/>
  <c r="D15" i="4" s="1"/>
  <c r="C6" i="4"/>
  <c r="B54" i="2"/>
  <c r="C10" i="4"/>
  <c r="C12" i="2"/>
  <c r="C12" i="4" s="1"/>
  <c r="C34" i="4"/>
  <c r="F43" i="2"/>
  <c r="E39" i="2"/>
  <c r="F44" i="2"/>
  <c r="F42" i="2"/>
  <c r="E40" i="2"/>
  <c r="F46" i="2"/>
  <c r="E38" i="2"/>
  <c r="C39" i="3"/>
  <c r="D3" i="3" s="1"/>
  <c r="C25" i="2" s="1"/>
  <c r="C20" i="2"/>
  <c r="H13" i="2"/>
  <c r="H16" i="2"/>
  <c r="H35" i="2" s="1"/>
  <c r="G15" i="2"/>
  <c r="L13" i="2"/>
  <c r="L16" i="2"/>
  <c r="L35" i="2" s="1"/>
  <c r="K15" i="2"/>
  <c r="D51" i="3"/>
  <c r="C32" i="4" s="1"/>
  <c r="E21" i="3"/>
  <c r="E19" i="3"/>
  <c r="G20" i="4"/>
  <c r="D20" i="4" s="1"/>
  <c r="G16" i="2"/>
  <c r="F15" i="2"/>
  <c r="D13" i="2"/>
  <c r="D16" i="2"/>
  <c r="C15" i="2"/>
  <c r="C15" i="4" s="1"/>
  <c r="E46" i="2"/>
  <c r="E42" i="2"/>
  <c r="E43" i="2"/>
  <c r="D39" i="2"/>
  <c r="E44" i="2"/>
  <c r="E45" i="2"/>
  <c r="E32" i="2"/>
  <c r="G19" i="4"/>
  <c r="F28" i="4"/>
  <c r="D95" i="5"/>
  <c r="E95" i="5" s="1"/>
  <c r="E54" i="5" s="1"/>
  <c r="G13" i="2"/>
  <c r="G12" i="2" s="1"/>
  <c r="D12" i="2"/>
  <c r="F35" i="2"/>
  <c r="F38" i="2"/>
  <c r="G44" i="2"/>
  <c r="F40" i="2"/>
  <c r="F39" i="2"/>
  <c r="G46" i="2"/>
  <c r="G43" i="2"/>
  <c r="F32" i="2"/>
  <c r="J32" i="2"/>
  <c r="J45" i="2"/>
  <c r="G40" i="2"/>
  <c r="H46" i="2"/>
  <c r="H42" i="2"/>
  <c r="H44" i="2"/>
  <c r="H43" i="2"/>
  <c r="G39" i="2"/>
  <c r="K40" i="2"/>
  <c r="L46" i="2"/>
  <c r="L42" i="2"/>
  <c r="L44" i="2"/>
  <c r="C72" i="2"/>
  <c r="C38" i="2"/>
  <c r="C31" i="2"/>
  <c r="I46" i="2"/>
  <c r="I42" i="2"/>
  <c r="I43" i="2"/>
  <c r="H39" i="2"/>
  <c r="F51" i="3"/>
  <c r="D7" i="4"/>
  <c r="D12" i="4"/>
  <c r="E13" i="2"/>
  <c r="E12" i="2" s="1"/>
  <c r="I13" i="2"/>
  <c r="M13" i="2"/>
  <c r="J43" i="2"/>
  <c r="I39" i="2"/>
  <c r="J44" i="2"/>
  <c r="C35" i="2"/>
  <c r="C73" i="2"/>
  <c r="D11" i="4"/>
  <c r="D16" i="4" s="1"/>
  <c r="D29" i="5"/>
  <c r="G36" i="2"/>
  <c r="C36" i="2"/>
  <c r="F36" i="2"/>
  <c r="C10" i="1"/>
  <c r="D10" i="1" s="1"/>
  <c r="J4" i="2" a="1"/>
  <c r="J4" i="2" s="1"/>
  <c r="C4" i="4" s="1"/>
  <c r="C11" i="1" s="1"/>
  <c r="D15" i="2"/>
  <c r="H15" i="2"/>
  <c r="L15" i="2"/>
  <c r="K44" i="2"/>
  <c r="J40" i="2"/>
  <c r="J39" i="2"/>
  <c r="H40" i="2"/>
  <c r="K43" i="2"/>
  <c r="J46" i="2"/>
  <c r="B57" i="2"/>
  <c r="F56" i="2"/>
  <c r="D56" i="2"/>
  <c r="E56" i="2" s="1"/>
  <c r="E7" i="5"/>
  <c r="D7" i="5" s="1"/>
  <c r="F22" i="5" s="1"/>
  <c r="E62" i="5" s="1"/>
  <c r="D62" i="5" s="1"/>
  <c r="D85" i="5"/>
  <c r="L39" i="2"/>
  <c r="M43" i="2"/>
  <c r="M42" i="2"/>
  <c r="C45" i="2" l="1"/>
  <c r="C32" i="2"/>
  <c r="C71" i="2"/>
  <c r="D38" i="2"/>
  <c r="D35" i="2"/>
  <c r="D32" i="2"/>
  <c r="E85" i="5"/>
  <c r="E53" i="5" s="1"/>
  <c r="E114" i="5"/>
  <c r="E113" i="5" s="1"/>
  <c r="D45" i="2"/>
  <c r="D40" i="2"/>
  <c r="C33" i="2"/>
  <c r="C12" i="1"/>
  <c r="E43" i="3" s="1"/>
  <c r="D22" i="1"/>
  <c r="B58" i="2"/>
  <c r="F57" i="2"/>
  <c r="D57" i="2"/>
  <c r="E57" i="2" s="1"/>
  <c r="D18" i="4"/>
  <c r="D24" i="4"/>
  <c r="G24" i="4" s="1"/>
  <c r="D14" i="4"/>
  <c r="D4" i="4"/>
  <c r="C18" i="4"/>
  <c r="D72" i="2"/>
  <c r="G15" i="4"/>
  <c r="C28" i="4" s="1"/>
  <c r="E20" i="3"/>
  <c r="H19" i="3"/>
  <c r="E37" i="3"/>
  <c r="D19" i="3"/>
  <c r="E29" i="5"/>
  <c r="E33" i="5"/>
  <c r="G38" i="2"/>
  <c r="G35" i="2"/>
  <c r="D21" i="3"/>
  <c r="E39" i="3"/>
  <c r="B59" i="2" l="1"/>
  <c r="F58" i="2"/>
  <c r="D58" i="2"/>
  <c r="E58" i="2" s="1"/>
  <c r="D22" i="4"/>
  <c r="D25" i="4" s="1"/>
  <c r="C43" i="4" s="1"/>
  <c r="C31" i="4"/>
  <c r="C29" i="4"/>
  <c r="C30" i="4" s="1"/>
  <c r="C36" i="4" s="1"/>
  <c r="C37" i="4" s="1"/>
  <c r="C58" i="4" s="1"/>
  <c r="G16" i="4"/>
  <c r="E61" i="5"/>
  <c r="D61" i="5" s="1"/>
  <c r="D33" i="5"/>
  <c r="E39" i="5"/>
  <c r="D39" i="5" s="1"/>
  <c r="I19" i="3"/>
  <c r="C21" i="4"/>
  <c r="C20" i="4" s="1"/>
  <c r="H20" i="3"/>
  <c r="D20" i="3"/>
  <c r="D43" i="3"/>
  <c r="C35" i="4"/>
  <c r="F54" i="4" s="1"/>
  <c r="D53" i="3"/>
  <c r="D12" i="1" s="1"/>
  <c r="D5" i="3"/>
  <c r="D39" i="3"/>
  <c r="D37" i="3"/>
  <c r="E38" i="3"/>
  <c r="H37" i="3"/>
  <c r="I37" i="3" s="1"/>
  <c r="F52" i="4"/>
  <c r="G52" i="4" s="1"/>
  <c r="F50" i="4"/>
  <c r="G50" i="4" s="1"/>
  <c r="F49" i="4"/>
  <c r="G49" i="4" s="1"/>
  <c r="C74" i="2"/>
  <c r="C44" i="2"/>
  <c r="C43" i="2"/>
  <c r="C42" i="2"/>
  <c r="C46" i="2"/>
  <c r="E58" i="4" l="1"/>
  <c r="G54" i="4"/>
  <c r="H38" i="3"/>
  <c r="D38" i="3"/>
  <c r="D58" i="4"/>
  <c r="E57" i="4" s="1"/>
  <c r="E56" i="5"/>
  <c r="D56" i="5" s="1"/>
  <c r="E60" i="5" s="1"/>
  <c r="D60" i="5" s="1"/>
  <c r="E63" i="5" s="1"/>
  <c r="F51" i="4"/>
  <c r="G51" i="4" s="1"/>
  <c r="B60" i="2"/>
  <c r="F59" i="2"/>
  <c r="D59" i="2"/>
  <c r="E59" i="2" s="1"/>
  <c r="F53" i="4"/>
  <c r="G53" i="4" s="1"/>
  <c r="E5" i="3"/>
  <c r="D6" i="3"/>
  <c r="C40" i="4"/>
  <c r="G22" i="1" s="1"/>
  <c r="G18" i="4"/>
  <c r="G22" i="4" l="1"/>
  <c r="C41" i="4" s="1"/>
  <c r="C42" i="4" s="1"/>
  <c r="C44" i="4" s="1"/>
  <c r="C45" i="4" s="1"/>
  <c r="B61" i="2"/>
  <c r="F60" i="2"/>
  <c r="D60" i="2"/>
  <c r="E60" i="2" s="1"/>
  <c r="C61" i="4"/>
  <c r="H6" i="3"/>
  <c r="F18" i="1" s="1"/>
  <c r="H5" i="3"/>
  <c r="E18" i="1" s="1"/>
  <c r="E17" i="1"/>
  <c r="H17" i="1" s="1"/>
  <c r="H18" i="1" s="1"/>
  <c r="G21" i="1" s="1"/>
  <c r="G61" i="4" l="1"/>
  <c r="D18" i="1" s="1"/>
  <c r="C17" i="1"/>
  <c r="C23" i="1" s="1"/>
  <c r="G23" i="1" s="1"/>
  <c r="E61" i="4"/>
  <c r="F45" i="4"/>
  <c r="F44" i="4"/>
  <c r="F41" i="4"/>
  <c r="B62" i="2"/>
  <c r="F61" i="2"/>
  <c r="D61" i="2"/>
  <c r="E61" i="2" s="1"/>
  <c r="B63" i="2" l="1"/>
  <c r="F62" i="2"/>
  <c r="D62" i="2"/>
  <c r="E62" i="2" s="1"/>
  <c r="D49" i="4"/>
  <c r="E48" i="4"/>
  <c r="C18" i="1"/>
  <c r="F61" i="4"/>
  <c r="D50" i="4" l="1"/>
  <c r="C49" i="4"/>
  <c r="B64" i="2"/>
  <c r="F63" i="2"/>
  <c r="D63" i="2"/>
  <c r="E63" i="2" s="1"/>
  <c r="F64" i="2" l="1"/>
  <c r="F66" i="2" s="1"/>
  <c r="D64" i="2"/>
  <c r="E64" i="2" s="1"/>
  <c r="E65" i="2" s="1"/>
  <c r="D51" i="4"/>
  <c r="C50" i="4"/>
  <c r="D52" i="4" l="1"/>
  <c r="C51" i="4"/>
  <c r="D71" i="2"/>
  <c r="D74" i="2"/>
  <c r="D69" i="2"/>
  <c r="D70" i="2" s="1"/>
  <c r="D73" i="2"/>
  <c r="D53" i="4" l="1"/>
  <c r="C53" i="4" s="1"/>
  <c r="C52" i="4"/>
</calcChain>
</file>

<file path=xl/sharedStrings.xml><?xml version="1.0" encoding="utf-8"?>
<sst xmlns="http://schemas.openxmlformats.org/spreadsheetml/2006/main" count="470" uniqueCount="395">
  <si>
    <t>Company Info:</t>
  </si>
  <si>
    <t>Ticker:</t>
  </si>
  <si>
    <t>1475.HK</t>
  </si>
  <si>
    <t>Ticker Name:</t>
  </si>
  <si>
    <t>NISSIN FOODS</t>
  </si>
  <si>
    <t>Valuation Date:</t>
  </si>
  <si>
    <t>2022-12-02</t>
  </si>
  <si>
    <t>Listing Location:</t>
  </si>
  <si>
    <t>HKG</t>
  </si>
  <si>
    <t>Current Price:</t>
  </si>
  <si>
    <t>HKD</t>
  </si>
  <si>
    <t>Number of Shares:</t>
  </si>
  <si>
    <t>Capitalization:</t>
  </si>
  <si>
    <t>Discount Rate Assumptions</t>
  </si>
  <si>
    <t>P/E Ratio &amp; Earnings Yield:</t>
  </si>
  <si>
    <t>Real Default-free Rate</t>
  </si>
  <si>
    <t>// If Capital Mobility is high, use the higher of US/CN 10y yield</t>
  </si>
  <si>
    <t>Interest Rate Margin</t>
  </si>
  <si>
    <t>// Interest rate premium</t>
  </si>
  <si>
    <t>P/B &amp; EV/EBIT Ratios:</t>
  </si>
  <si>
    <t>CAP Discount rate</t>
  </si>
  <si>
    <t>// Joel Greenblat Minimum 6%</t>
  </si>
  <si>
    <t>Reporting Currency:</t>
  </si>
  <si>
    <t>Terminal Value Premium</t>
  </si>
  <si>
    <t>// from Aswath Damodaran</t>
  </si>
  <si>
    <t>Exchange Rate:</t>
  </si>
  <si>
    <t>TV Discount rate</t>
  </si>
  <si>
    <t>// Discount rate here only reflects the downside interest rate risk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</si>
  <si>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</si>
  <si>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</si>
  <si>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</si>
  <si>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</si>
  <si>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</si>
  <si>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</si>
  <si>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</si>
  <si>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Return Analysis:</t>
  </si>
  <si>
    <t>Buy</t>
  </si>
  <si>
    <t>Required Yield =</t>
  </si>
  <si>
    <t>Foward NOPAT Yield =</t>
  </si>
  <si>
    <t>Discount to Conservative value</t>
  </si>
  <si>
    <t xml:space="preserve"> 3 yrs G/L IRR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</si>
  <si>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</si>
  <si>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</si>
  <si>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</si>
  <si>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</si>
  <si>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</si>
  <si>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</si>
  <si>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</si>
  <si>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</si>
  <si>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</si>
  <si>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</si>
  <si>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</si>
  <si>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</si>
  <si>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</si>
  <si>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</si>
  <si>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</si>
  <si>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</si>
  <si>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</si>
  <si>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</si>
  <si>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</si>
  <si>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</si>
  <si>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</si>
  <si>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</si>
  <si>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</si>
  <si>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</si>
  <si>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</si>
  <si>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</si>
  <si>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</si>
  <si>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</si>
  <si>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</si>
  <si>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</si>
  <si>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</si>
  <si>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</si>
  <si>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</si>
  <si>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</si>
  <si>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</si>
  <si>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</si>
  <si>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</si>
  <si>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</si>
  <si>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</si>
  <si>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</si>
  <si>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</si>
  <si>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</si>
  <si>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</si>
  <si>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</si>
  <si>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</si>
  <si>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</si>
  <si>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</si>
  <si>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</si>
  <si>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</si>
  <si>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</si>
  <si>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</si>
  <si>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</si>
  <si>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</si>
  <si>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</si>
  <si>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</si>
  <si>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</si>
  <si>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</si>
  <si>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</si>
  <si>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</si>
  <si>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</si>
  <si>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</si>
  <si>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</si>
  <si>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</si>
  <si>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</si>
  <si>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</si>
  <si>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</si>
  <si>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</si>
  <si>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</si>
  <si>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</si>
  <si>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</si>
  <si>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</si>
  <si>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</si>
  <si>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</si>
  <si>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</si>
  <si>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</si>
  <si>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</si>
  <si>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</si>
  <si>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</si>
  <si>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</si>
  <si>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</si>
  <si>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</si>
  <si>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</si>
  <si>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</si>
  <si>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</si>
  <si>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</si>
  <si>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</si>
  <si>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</si>
  <si>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</si>
  <si>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</si>
  <si>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</si>
  <si>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</si>
  <si>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</si>
  <si>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</si>
  <si>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</si>
  <si>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</si>
  <si>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</si>
  <si>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</si>
  <si>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</si>
  <si>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</si>
  <si>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</si>
  <si>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</si>
  <si>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</si>
  <si>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</si>
  <si>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</si>
  <si>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</si>
  <si>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</si>
  <si>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</si>
  <si>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</si>
  <si>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</si>
  <si>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</si>
  <si>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</si>
  <si>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</si>
  <si>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</si>
  <si>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</si>
  <si>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</si>
  <si>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</si>
  <si>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</si>
  <si>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</si>
  <si>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</si>
  <si>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</si>
  <si>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</si>
  <si>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</si>
  <si>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</si>
  <si>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</si>
  <si>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</si>
  <si>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</si>
  <si>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</si>
  <si>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</si>
  <si>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</si>
  <si>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</si>
  <si>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</si>
  <si>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</si>
  <si>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</si>
  <si>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</si>
  <si>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</si>
  <si>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</si>
  <si>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</si>
  <si>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</si>
  <si>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</si>
  <si>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</si>
  <si>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</si>
  <si>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</si>
  <si>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</si>
  <si>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</si>
  <si>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</si>
  <si>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</si>
  <si>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</si>
  <si>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</si>
  <si>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</si>
  <si>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</si>
  <si>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</si>
  <si>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</si>
  <si>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</si>
  <si>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</si>
  <si>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</si>
  <si>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</si>
  <si>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</si>
  <si>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</si>
  <si>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</si>
  <si>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</si>
  <si>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</si>
  <si>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</si>
  <si>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</si>
  <si>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</si>
  <si>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</si>
  <si>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</si>
  <si>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</si>
  <si>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</si>
  <si>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</si>
  <si>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</si>
  <si>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</si>
  <si>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</si>
  <si>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</si>
  <si>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</si>
  <si>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</si>
  <si>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</si>
  <si>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</si>
  <si>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</si>
  <si>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</si>
  <si>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</si>
  <si>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</si>
  <si>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</si>
  <si>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</si>
  <si>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</si>
  <si>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</si>
  <si>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</si>
  <si>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</si>
  <si>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</si>
  <si>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</si>
  <si>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</si>
  <si>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</si>
  <si>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</si>
  <si>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</si>
  <si>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</si>
  <si>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</si>
  <si>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</si>
  <si>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</si>
  <si>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Forward P/NOPAT</t>
  </si>
  <si>
    <t>Forward NOPAT/TV Yield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</si>
  <si>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</si>
  <si>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</si>
  <si>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</si>
  <si>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</si>
  <si>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</si>
  <si>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</si>
  <si>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</si>
  <si>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Option B:</t>
  </si>
  <si>
    <t>Growth Rate</t>
  </si>
  <si>
    <t>ROIC</t>
  </si>
  <si>
    <t>NOPAT/TV Yield</t>
  </si>
  <si>
    <t>Valuation Range =</t>
  </si>
  <si>
    <t>E(Value per share)</t>
  </si>
  <si>
    <t>PE</t>
  </si>
  <si>
    <t>PB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</si>
  <si>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</si>
  <si>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</si>
  <si>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</si>
  <si>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</si>
  <si>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</si>
  <si>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</si>
  <si>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</si>
  <si>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</si>
  <si>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</si>
  <si>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</si>
  <si>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</si>
  <si>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</si>
  <si>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</si>
  <si>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</si>
  <si>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</si>
  <si>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</si>
  <si>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</si>
  <si>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</si>
  <si>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</si>
  <si>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</si>
  <si>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</si>
  <si>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</si>
  <si>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</si>
  <si>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</si>
  <si>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</si>
  <si>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</si>
  <si>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</si>
  <si>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</si>
  <si>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</si>
  <si>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</si>
  <si>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</si>
  <si>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</si>
  <si>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</si>
  <si>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</si>
  <si>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</si>
  <si>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</si>
  <si>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</si>
  <si>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</si>
  <si>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</si>
  <si>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</si>
  <si>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</si>
  <si>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</si>
  <si>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</si>
  <si>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</si>
  <si>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</si>
  <si>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</si>
  <si>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t>The earnings forecast quality rating is:</t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</si>
  <si>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</si>
  <si>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</si>
  <si>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</si>
  <si>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</si>
  <si>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</si>
  <si>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</si>
  <si>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</si>
  <si>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</si>
  <si>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</si>
  <si>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</si>
  <si>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</si>
  <si>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</si>
  <si>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</si>
  <si>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</si>
  <si>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</si>
  <si>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</si>
  <si>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</si>
  <si>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</si>
  <si>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</si>
  <si>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</si>
  <si>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</si>
  <si>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</si>
  <si>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</si>
  <si>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</si>
  <si>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</si>
  <si>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</si>
  <si>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</si>
  <si>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t>The business quality rating is:</t>
  </si>
  <si>
    <t>PART III: Valuation Error</t>
  </si>
  <si>
    <t>1. Reputation Risk: Does the company have a good reputation?</t>
  </si>
  <si>
    <t>2. Business Risk: Does the company have a potent and predictable business?</t>
  </si>
  <si>
    <t>3. Forecast Risk: Does the company have stable and consistent earnings and dividend?</t>
  </si>
  <si>
    <t>4. Financial market risk: Is the market sentiment not in extreme?</t>
  </si>
  <si>
    <t>The valuation quality rating is:</t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</si>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</sst>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8" formatCode="&quot;$&quot;#,##0.00_);[Red]\(&quot;$&quot;#,##0.00\)"/>
    <numFmt numFmtId="164" formatCode="[$$]#,##0&quot;m&quot;"/>
    <numFmt numFmtId="165" formatCode="#,##0.00&quot;x&quot;"/>
    <numFmt numFmtId="166" formatCode="0.00\x"/>
    <numFmt numFmtId="167" formatCode="&quot;Total &quot;0%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#,##0&quot;mm&quot;"/>
    <numFmt numFmtId="174" formatCode="yyyy\-mm\-dd"/>
    <numFmt numFmtId="175" formatCode="&quot;Last Allocation &quot;0%"/>
    <numFmt numFmtId="176" formatCode="&quot;Increased Allocation &quot;0%"/>
    <numFmt numFmtId="177" formatCode="&quot;Base Allocation &quot;0%"/>
    <numFmt numFmtId="178" formatCode="0\ &quot;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sz val="11"/>
      <color rgb="FFCC4125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324"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Border="1"/>
    <xf numFmtId="0" fontId="5" fillId="10" borderId="0" xfId="0" applyFont="1" applyFill="1" applyBorder="1"/>
    <xf numFmtId="0" fontId="1" fillId="0" borderId="9" xfId="0" applyFont="1"/>
    <xf numFmtId="0" fontId="5" fillId="0" borderId="9" xfId="0" applyFont="1"/>
    <xf numFmtId="0" fontId="8" fillId="0" borderId="9" xfId="0" applyFont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/>
    <xf numFmtId="0" fontId="11" fillId="0" borderId="9" xfId="0" applyFont="1" applyAlignment="1">
      <alignment horizontal="left"/>
    </xf>
    <xf numFmtId="0" fontId="9" fillId="0" borderId="2" xfId="0" applyFont="1" applyBorder="1" applyAlignment="1">
      <alignment horizontal="center"/>
    </xf>
    <xf numFmtId="10" fontId="5" fillId="0" borderId="9" xfId="0" applyNumberFormat="1" applyFont="1"/>
    <xf numFmtId="0" fontId="5" fillId="10" borderId="9" xfId="0" applyFont="1" applyFill="1"/>
    <xf numFmtId="0" fontId="15" fillId="0" borderId="2" xfId="0" applyFont="1" applyBorder="1"/>
    <xf numFmtId="0" fontId="5" fillId="0" borderId="2" xfId="0" applyFont="1" applyBorder="1"/>
    <xf numFmtId="0" fontId="10" fillId="0" borderId="9" xfId="0" applyFont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9" fillId="0" borderId="9" xfId="0" applyFont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165" fontId="1" fillId="0" borderId="17" xfId="0" applyNumberFormat="1" applyFont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0" fontId="17" fillId="11" borderId="9" xfId="0" applyFont="1" applyFill="1"/>
    <xf numFmtId="0" fontId="1" fillId="0" borderId="2" xfId="0" applyFont="1" applyBorder="1" applyAlignment="1">
      <alignment horizontal="center"/>
    </xf>
    <xf numFmtId="0" fontId="1" fillId="0" borderId="9" xfId="0" applyFont="1" applyAlignment="1">
      <alignment horizontal="center"/>
    </xf>
    <xf numFmtId="0" fontId="1" fillId="0" borderId="9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11" borderId="9" xfId="0" applyFont="1" applyFill="1"/>
    <xf numFmtId="0" fontId="7" fillId="0" borderId="2" xfId="0" applyFont="1" applyBorder="1"/>
    <xf numFmtId="166" fontId="1" fillId="0" borderId="13" xfId="0" applyNumberFormat="1" applyFont="1" applyBorder="1" applyAlignment="1">
      <alignment horizontal="center"/>
    </xf>
    <xf numFmtId="0" fontId="16" fillId="0" borderId="9" xfId="0" applyFont="1" applyAlignment="1">
      <alignment horizontal="right"/>
    </xf>
    <xf numFmtId="0" fontId="3" fillId="0" borderId="2" xfId="0" applyFont="1" applyBorder="1" applyAlignment="1">
      <alignment horizontal="center"/>
    </xf>
    <xf numFmtId="165" fontId="9" fillId="0" borderId="20" xfId="0" applyNumberFormat="1" applyFont="1" applyBorder="1" applyAlignment="1">
      <alignment horizontal="center"/>
    </xf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Alignment="1">
      <alignment horizontal="center"/>
    </xf>
    <xf numFmtId="0" fontId="9" fillId="0" borderId="9" xfId="0" applyFont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165" fontId="9" fillId="0" borderId="13" xfId="0" applyNumberFormat="1" applyFont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10" fontId="13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0" fontId="5" fillId="0" borderId="9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4" fontId="2" fillId="13" borderId="19" xfId="0" applyNumberFormat="1" applyFont="1" applyFill="1" applyBorder="1" applyAlignment="1">
      <alignment horizontal="righ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/>
    <xf numFmtId="0" fontId="19" fillId="0" borderId="0" xfId="0" applyFont="1" applyBorder="1"/>
    <xf numFmtId="0" fontId="11" fillId="0" borderId="0" xfId="0" applyFont="1" applyBorder="1"/>
    <xf numFmtId="0" fontId="3" fillId="10" borderId="9" xfId="0" applyFont="1" applyFill="1"/>
    <xf numFmtId="0" fontId="11" fillId="0" borderId="2" xfId="0" applyFont="1" applyBorder="1"/>
    <xf numFmtId="168" fontId="2" fillId="13" borderId="9" xfId="0" applyNumberFormat="1" applyFont="1" applyFill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69" fontId="7" fillId="0" borderId="9" xfId="0" applyNumberFormat="1" applyFont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Alignment="1">
      <alignment wrapText="1"/>
    </xf>
    <xf numFmtId="0" fontId="20" fillId="7" borderId="5" xfId="0" applyFont="1" applyFill="1" applyBorder="1" applyAlignment="1">
      <alignment horizontal="center"/>
    </xf>
    <xf numFmtId="0" fontId="20" fillId="7" borderId="25" xfId="0" applyFont="1" applyFill="1" applyBorder="1" applyAlignment="1">
      <alignment horizontal="center"/>
    </xf>
    <xf numFmtId="0" fontId="21" fillId="0" borderId="30" xfId="0" applyFont="1" applyBorder="1" applyAlignment="1">
      <alignment horizontal="center" wrapText="1"/>
    </xf>
    <xf numFmtId="0" fontId="21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1" fillId="0" borderId="32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1" fillId="0" borderId="9" xfId="0" applyFont="1"/>
    <xf numFmtId="0" fontId="1" fillId="0" borderId="0" xfId="0" applyFont="1" applyBorder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20" fillId="2" borderId="4" xfId="0" applyNumberFormat="1" applyFont="1" applyFill="1" applyBorder="1" applyAlignment="1">
      <alignment horizontal="center"/>
    </xf>
    <xf numFmtId="2" fontId="20" fillId="2" borderId="9" xfId="0" applyNumberFormat="1" applyFont="1" applyFill="1" applyAlignment="1">
      <alignment horizontal="center"/>
    </xf>
    <xf numFmtId="2" fontId="20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Alignment="1">
      <alignment horizontal="center"/>
    </xf>
    <xf numFmtId="2" fontId="1" fillId="4" borderId="9" xfId="0" applyNumberFormat="1" applyFont="1" applyFill="1" applyAlignment="1">
      <alignment horizontal="center"/>
    </xf>
    <xf numFmtId="1" fontId="1" fillId="4" borderId="9" xfId="0" applyNumberFormat="1" applyFont="1" applyFill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20" fillId="2" borderId="4" xfId="0" applyFont="1" applyFill="1" applyBorder="1"/>
    <xf numFmtId="0" fontId="20" fillId="2" borderId="9" xfId="0" applyFont="1" applyFill="1" applyAlignment="1">
      <alignment horizontal="center"/>
    </xf>
    <xf numFmtId="0" fontId="22" fillId="0" borderId="0" xfId="0" applyFont="1" applyBorder="1"/>
    <xf numFmtId="0" fontId="22" fillId="0" borderId="3" xfId="0" applyFont="1" applyBorder="1"/>
    <xf numFmtId="3" fontId="1" fillId="4" borderId="9" xfId="0" applyNumberFormat="1" applyFont="1" applyFill="1" applyAlignment="1">
      <alignment horizontal="center"/>
    </xf>
    <xf numFmtId="10" fontId="1" fillId="4" borderId="9" xfId="0" applyNumberFormat="1" applyFont="1" applyFill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 applyBorder="1"/>
    <xf numFmtId="3" fontId="1" fillId="0" borderId="16" xfId="0" applyNumberFormat="1" applyFont="1" applyBorder="1"/>
    <xf numFmtId="0" fontId="17" fillId="0" borderId="9" xfId="0" applyFont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Alignment="1">
      <alignment horizontal="center"/>
    </xf>
    <xf numFmtId="0" fontId="1" fillId="9" borderId="9" xfId="0" applyFont="1" applyFill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9" fillId="0" borderId="9" xfId="0" applyFont="1"/>
    <xf numFmtId="3" fontId="9" fillId="0" borderId="13" xfId="0" applyNumberFormat="1" applyFont="1" applyBorder="1"/>
    <xf numFmtId="10" fontId="9" fillId="0" borderId="13" xfId="0" applyNumberFormat="1" applyFont="1" applyBorder="1" applyAlignment="1">
      <alignment horizontal="center"/>
    </xf>
    <xf numFmtId="3" fontId="9" fillId="0" borderId="13" xfId="0" applyNumberFormat="1" applyFont="1" applyBorder="1" applyAlignment="1">
      <alignment horizontal="center"/>
    </xf>
    <xf numFmtId="166" fontId="9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2" fillId="0" borderId="9" xfId="0" applyFont="1" applyAlignment="1">
      <alignment horizontal="center" vertical="center"/>
    </xf>
    <xf numFmtId="170" fontId="23" fillId="12" borderId="9" xfId="0" applyNumberFormat="1" applyFont="1" applyFill="1" applyAlignment="1">
      <alignment horizontal="center"/>
    </xf>
    <xf numFmtId="0" fontId="24" fillId="0" borderId="9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Alignment="1">
      <alignment horizontal="left"/>
    </xf>
    <xf numFmtId="0" fontId="19" fillId="0" borderId="9" xfId="0" applyFont="1" applyAlignment="1">
      <alignment vertical="center"/>
    </xf>
    <xf numFmtId="0" fontId="18" fillId="0" borderId="0" xfId="0" applyFont="1" applyBorder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 applyBorder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9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 applyBorder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Alignment="1">
      <alignment horizontal="center"/>
    </xf>
    <xf numFmtId="0" fontId="17" fillId="0" borderId="9" xfId="0" applyFont="1" applyAlignment="1">
      <alignment horizontal="right"/>
    </xf>
    <xf numFmtId="166" fontId="1" fillId="0" borderId="9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10" fontId="9" fillId="0" borderId="9" xfId="0" applyNumberFormat="1" applyFont="1" applyAlignment="1">
      <alignment horizontal="center"/>
    </xf>
    <xf numFmtId="166" fontId="7" fillId="0" borderId="9" xfId="0" applyNumberFormat="1" applyFont="1" applyAlignment="1">
      <alignment horizontal="center"/>
    </xf>
    <xf numFmtId="10" fontId="10" fillId="0" borderId="0" xfId="0" applyNumberFormat="1" applyFont="1" applyBorder="1" applyAlignment="1">
      <alignment horizontal="left" vertical="center"/>
    </xf>
    <xf numFmtId="4" fontId="1" fillId="0" borderId="9" xfId="0" applyNumberFormat="1" applyFont="1"/>
    <xf numFmtId="10" fontId="1" fillId="0" borderId="9" xfId="0" applyNumberFormat="1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1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1" fontId="5" fillId="0" borderId="12" xfId="0" applyNumberFormat="1" applyFont="1" applyBorder="1" applyAlignment="1">
      <alignment horizontal="center"/>
    </xf>
    <xf numFmtId="171" fontId="5" fillId="0" borderId="9" xfId="0" applyNumberFormat="1" applyFont="1" applyAlignment="1">
      <alignment horizontal="center"/>
    </xf>
    <xf numFmtId="3" fontId="5" fillId="0" borderId="9" xfId="0" applyNumberFormat="1" applyFont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Alignment="1">
      <alignment horizontal="center"/>
    </xf>
    <xf numFmtId="0" fontId="18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left"/>
    </xf>
    <xf numFmtId="166" fontId="1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21" fillId="0" borderId="2" xfId="0" applyFont="1" applyBorder="1"/>
    <xf numFmtId="0" fontId="20" fillId="0" borderId="9" xfId="0" applyFont="1" applyAlignment="1">
      <alignment horizontal="right"/>
    </xf>
    <xf numFmtId="0" fontId="3" fillId="0" borderId="0" xfId="0" applyFont="1" applyBorder="1"/>
    <xf numFmtId="0" fontId="20" fillId="0" borderId="9" xfId="0" applyFont="1"/>
    <xf numFmtId="0" fontId="19" fillId="0" borderId="2" xfId="0" applyFont="1" applyBorder="1"/>
    <xf numFmtId="0" fontId="25" fillId="0" borderId="9" xfId="0" applyFont="1"/>
    <xf numFmtId="0" fontId="17" fillId="0" borderId="9" xfId="0" applyFont="1"/>
    <xf numFmtId="0" fontId="26" fillId="0" borderId="0" xfId="0" applyFont="1" applyBorder="1"/>
    <xf numFmtId="10" fontId="5" fillId="4" borderId="13" xfId="0" applyNumberFormat="1" applyFont="1" applyFill="1" applyBorder="1" applyAlignment="1">
      <alignment horizontal="center"/>
    </xf>
    <xf numFmtId="0" fontId="27" fillId="0" borderId="0" xfId="0" applyFont="1" applyBorder="1"/>
    <xf numFmtId="0" fontId="20" fillId="0" borderId="9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1" fillId="0" borderId="9" xfId="0" applyNumberFormat="1" applyFont="1"/>
    <xf numFmtId="1" fontId="20" fillId="0" borderId="9" xfId="0" applyNumberFormat="1" applyFont="1" applyAlignment="1">
      <alignment horizontal="center"/>
    </xf>
    <xf numFmtId="10" fontId="20" fillId="0" borderId="9" xfId="0" applyNumberFormat="1" applyFont="1"/>
    <xf numFmtId="0" fontId="1" fillId="4" borderId="13" xfId="0" applyFont="1" applyFill="1" applyBorder="1" applyAlignment="1">
      <alignment horizontal="center"/>
    </xf>
    <xf numFmtId="0" fontId="28" fillId="0" borderId="4" xfId="0" applyFont="1" applyBorder="1"/>
    <xf numFmtId="0" fontId="20" fillId="0" borderId="0" xfId="0" applyFont="1" applyBorder="1"/>
    <xf numFmtId="0" fontId="20" fillId="0" borderId="3" xfId="0" applyFont="1" applyBorder="1"/>
    <xf numFmtId="0" fontId="20" fillId="0" borderId="4" xfId="0" applyFont="1" applyBorder="1"/>
    <xf numFmtId="10" fontId="20" fillId="0" borderId="3" xfId="0" applyNumberFormat="1" applyFont="1" applyBorder="1"/>
    <xf numFmtId="0" fontId="20" fillId="0" borderId="7" xfId="0" applyFont="1" applyBorder="1"/>
    <xf numFmtId="0" fontId="20" fillId="0" borderId="2" xfId="0" applyFont="1" applyBorder="1"/>
    <xf numFmtId="10" fontId="20" fillId="0" borderId="8" xfId="0" applyNumberFormat="1" applyFont="1" applyBorder="1"/>
    <xf numFmtId="0" fontId="5" fillId="14" borderId="9" xfId="0" applyFont="1" applyFill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3" xfId="0" applyNumberFormat="1" applyFont="1" applyFill="1" applyBorder="1" applyAlignment="1">
      <alignment horizontal="center"/>
    </xf>
    <xf numFmtId="0" fontId="1" fillId="15" borderId="34" xfId="0" applyFont="1" applyFill="1" applyBorder="1" applyAlignment="1">
      <alignment horizontal="center"/>
    </xf>
    <xf numFmtId="0" fontId="1" fillId="15" borderId="35" xfId="0" applyFont="1" applyFill="1" applyBorder="1" applyAlignment="1">
      <alignment horizontal="center"/>
    </xf>
    <xf numFmtId="10" fontId="1" fillId="4" borderId="36" xfId="0" applyNumberFormat="1" applyFont="1" applyFill="1" applyBorder="1" applyAlignment="1">
      <alignment horizontal="center"/>
    </xf>
    <xf numFmtId="3" fontId="1" fillId="4" borderId="37" xfId="0" applyNumberFormat="1" applyFont="1" applyFill="1" applyBorder="1" applyAlignment="1">
      <alignment horizontal="center"/>
    </xf>
    <xf numFmtId="0" fontId="1" fillId="14" borderId="38" xfId="0" applyFont="1" applyFill="1" applyBorder="1" applyAlignment="1">
      <alignment horizontal="center"/>
    </xf>
    <xf numFmtId="0" fontId="5" fillId="0" borderId="12" xfId="0" applyFont="1" applyBorder="1"/>
    <xf numFmtId="172" fontId="1" fillId="4" borderId="13" xfId="0" applyNumberFormat="1" applyFont="1" applyFill="1" applyBorder="1" applyAlignment="1">
      <alignment horizontal="center"/>
    </xf>
    <xf numFmtId="172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Alignment="1">
      <alignment horizontal="center"/>
    </xf>
    <xf numFmtId="172" fontId="1" fillId="16" borderId="9" xfId="0" applyNumberFormat="1" applyFont="1" applyFill="1" applyAlignment="1">
      <alignment horizontal="center"/>
    </xf>
    <xf numFmtId="0" fontId="2" fillId="0" borderId="9" xfId="0" applyFont="1"/>
    <xf numFmtId="10" fontId="4" fillId="14" borderId="9" xfId="0" applyNumberFormat="1" applyFont="1" applyFill="1" applyAlignment="1">
      <alignment horizontal="center"/>
    </xf>
    <xf numFmtId="3" fontId="1" fillId="16" borderId="9" xfId="0" applyNumberFormat="1" applyFont="1" applyFill="1" applyAlignment="1">
      <alignment horizontal="center"/>
    </xf>
    <xf numFmtId="10" fontId="1" fillId="16" borderId="9" xfId="0" applyNumberFormat="1" applyFont="1" applyFill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39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0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0" fontId="13" fillId="4" borderId="20" xfId="0" applyNumberFormat="1" applyFont="1" applyFill="1" applyBorder="1" applyAlignment="1">
      <alignment horizontal="center"/>
    </xf>
    <xf numFmtId="0" fontId="0" fillId="0" borderId="28" xfId="0" applyBorder="1"/>
    <xf numFmtId="0" fontId="5" fillId="0" borderId="9" xfId="0" applyFont="1" applyAlignment="1">
      <alignment horizontal="center"/>
    </xf>
    <xf numFmtId="0" fontId="5" fillId="0" borderId="0" xfId="0" applyFont="1" applyBorder="1"/>
    <xf numFmtId="0" fontId="5" fillId="0" borderId="2" xfId="0" applyFont="1" applyBorder="1" applyAlignment="1">
      <alignment horizontal="center"/>
    </xf>
    <xf numFmtId="0" fontId="0" fillId="0" borderId="2" xfId="0" applyBorder="1"/>
    <xf numFmtId="0" fontId="13" fillId="0" borderId="9" xfId="0" applyFont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0" fillId="0" borderId="22" xfId="0" applyBorder="1"/>
    <xf numFmtId="10" fontId="1" fillId="4" borderId="20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0" fontId="0" fillId="0" borderId="33" xfId="0" applyBorder="1"/>
    <xf numFmtId="14" fontId="2" fillId="13" borderId="17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1" fillId="17" borderId="9" xfId="0" applyFont="1" applyFill="1"/>
    <xf numFmtId="0" fontId="1" fillId="17" borderId="2" xfId="0" applyFont="1" applyFill="1" applyBorder="1"/>
    <xf numFmtId="0" fontId="1" fillId="17" borderId="8" xfId="0" applyFont="1" applyFill="1" applyBorder="1"/>
    <xf numFmtId="0" fontId="0" fillId="0" borderId="8" xfId="0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0" fillId="0" borderId="15" xfId="0" applyBorder="1"/>
    <xf numFmtId="8" fontId="3" fillId="0" borderId="13" xfId="0" applyNumberFormat="1" applyFont="1" applyBorder="1" applyAlignment="1">
      <alignment horizontal="center"/>
    </xf>
    <xf numFmtId="0" fontId="1" fillId="17" borderId="3" xfId="0" applyFont="1" applyFill="1" applyBorder="1"/>
    <xf numFmtId="0" fontId="0" fillId="0" borderId="3" xfId="0" applyBorder="1"/>
    <xf numFmtId="0" fontId="9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4" fillId="13" borderId="18" xfId="0" applyFont="1" applyFill="1" applyBorder="1" applyAlignment="1">
      <alignment horizontal="center" vertical="center"/>
    </xf>
    <xf numFmtId="4" fontId="12" fillId="13" borderId="18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0" fillId="0" borderId="42" xfId="0" applyBorder="1"/>
    <xf numFmtId="0" fontId="2" fillId="13" borderId="20" xfId="0" applyFont="1" applyFill="1" applyBorder="1" applyAlignment="1">
      <alignment horizontal="left" vertical="center" wrapText="1"/>
    </xf>
    <xf numFmtId="0" fontId="0" fillId="0" borderId="43" xfId="0" applyBorder="1"/>
    <xf numFmtId="175" fontId="1" fillId="0" borderId="13" xfId="0" applyNumberFormat="1" applyFont="1" applyBorder="1" applyAlignment="1">
      <alignment horizontal="center"/>
    </xf>
    <xf numFmtId="49" fontId="2" fillId="13" borderId="9" xfId="0" applyNumberFormat="1" applyFont="1" applyFill="1" applyAlignment="1">
      <alignment horizontal="center"/>
    </xf>
    <xf numFmtId="0" fontId="2" fillId="13" borderId="13" xfId="0" applyFont="1" applyFill="1" applyBorder="1" applyAlignment="1">
      <alignment horizontal="center"/>
    </xf>
    <xf numFmtId="174" fontId="2" fillId="13" borderId="20" xfId="0" applyNumberFormat="1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3" fontId="2" fillId="13" borderId="16" xfId="0" applyNumberFormat="1" applyFont="1" applyFill="1" applyBorder="1" applyAlignment="1">
      <alignment horizontal="center"/>
    </xf>
    <xf numFmtId="0" fontId="0" fillId="0" borderId="41" xfId="0" applyBorder="1"/>
    <xf numFmtId="0" fontId="1" fillId="0" borderId="9" xfId="0" applyFont="1" applyAlignment="1">
      <alignment horizontal="left"/>
    </xf>
    <xf numFmtId="173" fontId="5" fillId="0" borderId="20" xfId="0" applyNumberFormat="1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0" fontId="9" fillId="0" borderId="9" xfId="0" applyFont="1" applyAlignment="1">
      <alignment horizontal="right"/>
    </xf>
    <xf numFmtId="178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2" fontId="20" fillId="2" borderId="9" xfId="0" applyNumberFormat="1" applyFont="1" applyFill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0" borderId="2" xfId="0" applyFont="1" applyBorder="1"/>
    <xf numFmtId="0" fontId="5" fillId="0" borderId="9" xfId="0" applyFont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0" fontId="16" fillId="0" borderId="9" xfId="0" applyFont="1" applyAlignment="1">
      <alignment horizontal="right"/>
    </xf>
  </cellXfs>
  <cellStyles count="1">
    <cellStyle name="Normal" xfId="0" builtinId="0"/>
  </cellStyles>
  <dxfs count="13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workbookViewId="0">
      <selection activeCell="E17" sqref="E17:F17"/>
    </sheetView>
  </sheetViews>
  <sheetFormatPr defaultColWidth="12.453125" defaultRowHeight="15" customHeight="1" x14ac:dyDescent="0.3"/>
  <cols>
    <col min="1" max="1" width="2.453125" style="4" customWidth="1"/>
    <col min="2" max="2" width="28.26953125" style="4" customWidth="1"/>
    <col min="3" max="6" width="13.81640625" style="4" customWidth="1"/>
    <col min="7" max="7" width="14.7265625" style="4" customWidth="1"/>
    <col min="8" max="8" width="12.453125" style="4" customWidth="1"/>
    <col min="9" max="9" width="40.1796875" style="4" customWidth="1"/>
    <col min="10" max="10" width="12.453125" style="4" customWidth="1"/>
    <col min="11" max="16384" width="12.453125" style="4"/>
  </cols>
  <sheetData>
    <row r="1" spans="1:10" ht="15" customHeight="1" x14ac:dyDescent="0.3">
      <c r="B1" s="7"/>
      <c r="C1" s="7"/>
      <c r="D1" s="7"/>
      <c r="E1" s="7"/>
      <c r="F1" s="7"/>
      <c r="G1" s="7"/>
      <c r="H1" s="7"/>
      <c r="I1" s="7"/>
    </row>
    <row r="2" spans="1:10" ht="15.75" customHeight="1" x14ac:dyDescent="0.3">
      <c r="A2" s="15"/>
      <c r="B2" s="16" t="s">
        <v>0</v>
      </c>
      <c r="C2" s="295" t="str">
        <f>C3&amp;" : "&amp;C4</f>
        <v>1475.HK : NISSIN FOODS</v>
      </c>
      <c r="D2" s="271"/>
      <c r="E2" s="17"/>
      <c r="F2" s="17"/>
      <c r="G2" s="17"/>
      <c r="H2" s="17"/>
      <c r="I2" s="17"/>
      <c r="J2" s="7"/>
    </row>
    <row r="3" spans="1:10" ht="15.75" customHeight="1" x14ac:dyDescent="0.3">
      <c r="B3" s="21" t="s">
        <v>1</v>
      </c>
      <c r="C3" s="304" t="s">
        <v>2</v>
      </c>
      <c r="D3" s="269"/>
      <c r="E3" s="20"/>
      <c r="F3" s="7"/>
      <c r="G3" s="7"/>
      <c r="H3" s="7"/>
      <c r="I3" s="7"/>
    </row>
    <row r="4" spans="1:10" ht="15.75" customHeight="1" x14ac:dyDescent="0.3">
      <c r="B4" s="6" t="s">
        <v>3</v>
      </c>
      <c r="C4" s="305" t="s">
        <v>4</v>
      </c>
      <c r="D4" s="274"/>
      <c r="E4" s="7"/>
    </row>
    <row r="5" spans="1:10" ht="15.75" customHeight="1" x14ac:dyDescent="0.3">
      <c r="B5" s="6" t="s">
        <v>5</v>
      </c>
      <c r="C5" s="306" t="s">
        <v>6</v>
      </c>
      <c r="D5" s="267"/>
      <c r="E5" s="8" t="str">
        <f ca="1">IF(C5+30&gt;=TODAY(),"-&gt; 30 days Patience MOS: +20% in effect","")</f>
        <v>-&gt; 30 days Patience MOS: +20% in effect</v>
      </c>
    </row>
    <row r="6" spans="1:10" ht="15.75" customHeight="1" x14ac:dyDescent="0.3">
      <c r="B6" s="9" t="s">
        <v>7</v>
      </c>
      <c r="C6" s="307" t="s">
        <v>8</v>
      </c>
      <c r="D6" s="277"/>
      <c r="E6" s="7"/>
      <c r="F6" s="7"/>
    </row>
    <row r="7" spans="1:10" ht="15.75" customHeight="1" x14ac:dyDescent="0.3">
      <c r="B7" s="6" t="s">
        <v>9</v>
      </c>
      <c r="C7" s="60">
        <v>6.54</v>
      </c>
      <c r="D7" s="61" t="s">
        <v>10</v>
      </c>
      <c r="F7" s="7"/>
      <c r="G7" s="7"/>
    </row>
    <row r="8" spans="1:10" ht="15.75" customHeight="1" x14ac:dyDescent="0.3">
      <c r="B8" s="6" t="s">
        <v>11</v>
      </c>
      <c r="C8" s="308">
        <v>1043689984</v>
      </c>
      <c r="D8" s="309"/>
      <c r="E8" s="7"/>
      <c r="F8" s="7"/>
      <c r="G8" s="7"/>
    </row>
    <row r="9" spans="1:10" ht="15.75" customHeight="1" x14ac:dyDescent="0.3">
      <c r="B9" s="6" t="s">
        <v>12</v>
      </c>
      <c r="C9" s="311">
        <f>C7*C8/1000000</f>
        <v>6825.73249536</v>
      </c>
      <c r="D9" s="267"/>
      <c r="E9" s="29" t="s">
        <v>13</v>
      </c>
      <c r="F9" s="29"/>
      <c r="G9" s="17"/>
      <c r="H9" s="7"/>
    </row>
    <row r="10" spans="1:10" ht="15.75" customHeight="1" x14ac:dyDescent="0.3">
      <c r="B10" s="9" t="s">
        <v>14</v>
      </c>
      <c r="C10" s="27">
        <f>IF(Data!F3&lt;=0,"NNI",C7/((Data!F3*C14)/(C8/Data!C4)))</f>
        <v>22.466295928721191</v>
      </c>
      <c r="D10" s="23">
        <f>IF(C10="NNI","NNI",1/C10)</f>
        <v>4.451112026533878E-2</v>
      </c>
      <c r="E10" s="310" t="s">
        <v>15</v>
      </c>
      <c r="F10" s="269"/>
      <c r="G10" s="62">
        <v>3.8309999999999997E-2</v>
      </c>
      <c r="H10" s="6" t="s">
        <v>16</v>
      </c>
    </row>
    <row r="11" spans="1:10" ht="15.75" customHeight="1" x14ac:dyDescent="0.3">
      <c r="B11" s="6" t="str">
        <f>'FCF Model'!C3&amp;"yrs PEG Ratio:"</f>
        <v>4yrs PEG Ratio:</v>
      </c>
      <c r="C11" s="312">
        <f>IF('FCF Model'!C4&lt;=0,"Negative PEG",IFERROR(C10/('FCF Model'!C4*100),"NNI"))</f>
        <v>1.2802132262140447</v>
      </c>
      <c r="D11" s="274"/>
      <c r="E11" s="310" t="s">
        <v>17</v>
      </c>
      <c r="F11" s="269"/>
      <c r="G11" s="19">
        <v>0.03</v>
      </c>
      <c r="H11" s="6" t="s">
        <v>18</v>
      </c>
    </row>
    <row r="12" spans="1:10" ht="15.75" customHeight="1" x14ac:dyDescent="0.3">
      <c r="B12" s="6" t="s">
        <v>19</v>
      </c>
      <c r="C12" s="52">
        <f>C7/(Data!C25*C14*Data!C4/Common_Shares)</f>
        <v>1.7293732601357001</v>
      </c>
      <c r="D12" s="53">
        <f>IF('Asset Model'!D53/'FCF Model'!C16&lt;0,"Negative EV",'Asset Model'!D53/'FCF Model'!C16)</f>
        <v>12.865601322336614</v>
      </c>
      <c r="E12" s="313" t="s">
        <v>20</v>
      </c>
      <c r="F12" s="269"/>
      <c r="G12" s="19">
        <f>IF(G10+G11&lt;6%,6%,G10+G11)</f>
        <v>6.8309999999999996E-2</v>
      </c>
      <c r="H12" s="18" t="s">
        <v>21</v>
      </c>
    </row>
    <row r="13" spans="1:10" ht="15.75" customHeight="1" x14ac:dyDescent="0.3">
      <c r="B13" s="9" t="s">
        <v>22</v>
      </c>
      <c r="C13" s="307" t="s">
        <v>10</v>
      </c>
      <c r="D13" s="277"/>
      <c r="E13" s="310" t="s">
        <v>23</v>
      </c>
      <c r="F13" s="269"/>
      <c r="G13" s="19">
        <v>4.4999999999999998E-2</v>
      </c>
      <c r="H13" s="6" t="s">
        <v>24</v>
      </c>
    </row>
    <row r="14" spans="1:10" ht="15.75" customHeight="1" x14ac:dyDescent="0.3">
      <c r="B14" s="10" t="s">
        <v>25</v>
      </c>
      <c r="C14" s="63">
        <v>1</v>
      </c>
      <c r="D14" s="51" t="str">
        <f>IF(C13=Dashboard!D7,D7,C13&amp;Dashboard!D7)</f>
        <v>HKD</v>
      </c>
      <c r="E14" s="294" t="s">
        <v>26</v>
      </c>
      <c r="F14" s="271"/>
      <c r="G14" s="28">
        <f>IF(G10+G13&lt;8%,8%,G10+G13)</f>
        <v>8.3309999999999995E-2</v>
      </c>
      <c r="H14" s="18" t="s">
        <v>27</v>
      </c>
    </row>
    <row r="15" spans="1:10" ht="15.75" customHeight="1" x14ac:dyDescent="0.3">
      <c r="C15" s="7"/>
      <c r="D15" s="7"/>
      <c r="E15" s="11"/>
      <c r="F15" s="7"/>
      <c r="G15" s="7"/>
    </row>
    <row r="16" spans="1:10" ht="15.75" customHeight="1" x14ac:dyDescent="0.3">
      <c r="A16" s="15"/>
      <c r="B16" s="26" t="s">
        <v>28</v>
      </c>
      <c r="C16" s="295" t="s">
        <v>29</v>
      </c>
      <c r="D16" s="271"/>
      <c r="E16" s="295" t="s">
        <v>30</v>
      </c>
      <c r="F16" s="271"/>
      <c r="G16" s="17"/>
      <c r="H16" s="17"/>
      <c r="I16" s="10"/>
    </row>
    <row r="17" spans="1:12" ht="15.75" customHeight="1" x14ac:dyDescent="0.3">
      <c r="A17" s="7"/>
      <c r="B17" s="24" t="s">
        <v>31</v>
      </c>
      <c r="C17" s="296">
        <f>'FCF Model'!C61</f>
        <v>6.2335975309564997</v>
      </c>
      <c r="D17" s="277"/>
      <c r="E17" s="296">
        <f>'Asset Model'!D6</f>
        <v>2.124859719099025</v>
      </c>
      <c r="F17" s="277"/>
      <c r="G17" s="22" t="s">
        <v>32</v>
      </c>
      <c r="H17" s="45">
        <f>C21/E17-1</f>
        <v>1.4001584453596223</v>
      </c>
      <c r="I17" s="7"/>
      <c r="K17" s="7"/>
    </row>
    <row r="18" spans="1:12" ht="15.75" customHeight="1" x14ac:dyDescent="0.3">
      <c r="B18" s="25" t="s">
        <v>33</v>
      </c>
      <c r="C18" s="39">
        <f>'FCF Model'!E61</f>
        <v>21.413738047555729</v>
      </c>
      <c r="D18" s="39">
        <f>'FCF Model'!G61</f>
        <v>1.6483512055786074</v>
      </c>
      <c r="E18" s="39">
        <f>'Asset Model'!H5</f>
        <v>7.2993466752749354</v>
      </c>
      <c r="F18" s="39">
        <f>'Asset Model'!H6</f>
        <v>0.56187699996166807</v>
      </c>
      <c r="G18" s="25" t="s">
        <v>34</v>
      </c>
      <c r="H18" s="50">
        <f ca="1">AVERAGE((1-'Qualitative Analysis'!E29),(1-'Qualitative Analysis'!E63),H17)+IF(C5+30&gt;=TODAY(),20%,0)</f>
        <v>0.7222750373420963</v>
      </c>
      <c r="I18" s="7"/>
      <c r="J18" s="7"/>
      <c r="L18" s="7"/>
    </row>
    <row r="19" spans="1:12" ht="15.75" customHeight="1" x14ac:dyDescent="0.3">
      <c r="B19" s="12"/>
      <c r="C19" s="12"/>
      <c r="D19" s="12"/>
      <c r="E19" s="12"/>
      <c r="F19" s="12"/>
      <c r="G19" s="7"/>
      <c r="H19" s="7"/>
    </row>
    <row r="20" spans="1:12" ht="15.75" customHeight="1" x14ac:dyDescent="0.3">
      <c r="A20" s="7"/>
      <c r="B20" s="29" t="s">
        <v>35</v>
      </c>
      <c r="C20" s="35"/>
      <c r="D20" s="17"/>
      <c r="E20" s="17"/>
      <c r="F20" s="17"/>
      <c r="G20" s="17"/>
      <c r="H20" s="17"/>
      <c r="J20" s="7"/>
      <c r="K20" s="7"/>
    </row>
    <row r="21" spans="1:12" ht="15.75" customHeight="1" x14ac:dyDescent="0.3">
      <c r="B21" s="31" t="s">
        <v>36</v>
      </c>
      <c r="C21" s="298">
        <v>5.0999999999999996</v>
      </c>
      <c r="D21" s="290"/>
      <c r="E21" s="272" t="s">
        <v>37</v>
      </c>
      <c r="F21" s="269"/>
      <c r="G21" s="276">
        <f ca="1">G10+G13*H18</f>
        <v>7.0812376680394334E-2</v>
      </c>
      <c r="H21" s="277"/>
      <c r="I21" s="7"/>
      <c r="L21" s="7"/>
    </row>
    <row r="22" spans="1:12" ht="15.75" customHeight="1" x14ac:dyDescent="0.3">
      <c r="B22" s="43" t="s">
        <v>33</v>
      </c>
      <c r="C22" s="46">
        <f>IF(Data!F3&lt;=0,"NNI",C21/((Data!F3*C14)/(C8/Data!C4)))</f>
        <v>17.519588568268816</v>
      </c>
      <c r="D22" s="46">
        <f>C21/(Data!C25*C14*Data!C4/Common_Shares)</f>
        <v>1.3485938267113258</v>
      </c>
      <c r="E22" s="268" t="s">
        <v>38</v>
      </c>
      <c r="F22" s="269"/>
      <c r="G22" s="273">
        <f>(('FCF Model'!C40*Data!C4/'FCF Model'!G24)/Common_Shares)/C21</f>
        <v>7.2270696973788531E-2</v>
      </c>
      <c r="H22" s="274"/>
      <c r="I22" s="7"/>
      <c r="L22" s="7"/>
    </row>
    <row r="23" spans="1:12" ht="15.75" customHeight="1" x14ac:dyDescent="0.3">
      <c r="B23" s="13" t="s">
        <v>39</v>
      </c>
      <c r="C23" s="266">
        <f>IF(C17&lt;=0,100%,-(C17-C21)/C21)</f>
        <v>-0.22227402567774512</v>
      </c>
      <c r="D23" s="267"/>
      <c r="E23" s="270" t="s">
        <v>40</v>
      </c>
      <c r="F23" s="271"/>
      <c r="G23" s="275">
        <f>(-C23+1)^(1/3)-1</f>
        <v>6.9193215363562821E-2</v>
      </c>
      <c r="H23" s="267"/>
      <c r="I23" s="14"/>
      <c r="L23" s="7"/>
    </row>
    <row r="24" spans="1:12" ht="15.75" customHeight="1" x14ac:dyDescent="0.3">
      <c r="C24" s="7"/>
      <c r="D24" s="7"/>
      <c r="E24" s="7"/>
      <c r="F24" s="7"/>
      <c r="G24" s="7"/>
      <c r="H24" s="7"/>
      <c r="J24" s="7"/>
      <c r="K24" s="7"/>
    </row>
    <row r="25" spans="1:12" ht="15.75" customHeight="1" x14ac:dyDescent="0.3">
      <c r="A25" s="5"/>
      <c r="B25" s="26" t="s">
        <v>41</v>
      </c>
      <c r="C25" s="10"/>
      <c r="D25" s="17"/>
      <c r="E25" s="17"/>
      <c r="F25" s="17"/>
      <c r="G25" s="17"/>
      <c r="H25" s="17"/>
      <c r="I25" s="17"/>
    </row>
    <row r="26" spans="1:12" ht="15.75" customHeight="1" x14ac:dyDescent="0.3">
      <c r="A26" s="7"/>
      <c r="B26" s="32" t="s">
        <v>42</v>
      </c>
      <c r="C26" s="297"/>
      <c r="D26" s="269"/>
      <c r="E26" s="269"/>
      <c r="F26" s="269"/>
      <c r="G26" s="269"/>
      <c r="H26" s="269"/>
      <c r="I26" s="290"/>
      <c r="J26" s="7"/>
    </row>
    <row r="27" spans="1:12" ht="52.5" customHeight="1" x14ac:dyDescent="0.3">
      <c r="A27" s="7"/>
      <c r="B27" s="32" t="s">
        <v>43</v>
      </c>
      <c r="C27" s="299"/>
      <c r="D27" s="300"/>
      <c r="E27" s="300"/>
      <c r="F27" s="274"/>
      <c r="G27" s="299"/>
      <c r="H27" s="300"/>
      <c r="I27" s="274"/>
      <c r="J27" s="7"/>
    </row>
    <row r="28" spans="1:12" ht="52.5" customHeight="1" x14ac:dyDescent="0.3">
      <c r="A28" s="7"/>
      <c r="B28" s="33" t="s">
        <v>44</v>
      </c>
      <c r="C28" s="301"/>
      <c r="D28" s="302"/>
      <c r="E28" s="302"/>
      <c r="F28" s="267"/>
      <c r="G28" s="301"/>
      <c r="H28" s="302"/>
      <c r="I28" s="267"/>
      <c r="J28" s="7"/>
    </row>
    <row r="29" spans="1:12" ht="15.75" customHeight="1" x14ac:dyDescent="0.3">
      <c r="B29" s="7"/>
      <c r="C29" s="7"/>
      <c r="D29" s="7"/>
      <c r="E29" s="7"/>
      <c r="F29" s="11"/>
      <c r="G29" s="7"/>
      <c r="H29" s="7"/>
      <c r="I29" s="7"/>
    </row>
    <row r="30" spans="1:12" ht="15.75" customHeight="1" x14ac:dyDescent="0.3">
      <c r="A30" s="5"/>
      <c r="B30" s="26" t="s">
        <v>45</v>
      </c>
      <c r="C30" s="30" t="s">
        <v>46</v>
      </c>
      <c r="D30" s="64">
        <v>700000</v>
      </c>
      <c r="E30" s="17"/>
      <c r="F30" s="10"/>
      <c r="G30" s="17"/>
      <c r="H30" s="17"/>
      <c r="I30" s="17"/>
    </row>
    <row r="31" spans="1:12" ht="15.75" customHeight="1" x14ac:dyDescent="0.3">
      <c r="B31" s="31" t="s">
        <v>47</v>
      </c>
      <c r="C31" s="278"/>
      <c r="D31" s="277"/>
      <c r="E31" s="278"/>
      <c r="F31" s="277"/>
      <c r="G31" s="278"/>
      <c r="H31" s="277"/>
      <c r="I31" s="54" t="s">
        <v>48</v>
      </c>
      <c r="J31" s="7"/>
    </row>
    <row r="32" spans="1:12" ht="15.75" customHeight="1" x14ac:dyDescent="0.3">
      <c r="B32" s="31" t="s">
        <v>49</v>
      </c>
      <c r="C32" s="280">
        <f>C36/D30</f>
        <v>0</v>
      </c>
      <c r="D32" s="274"/>
      <c r="E32" s="279">
        <f>E36/D30</f>
        <v>0</v>
      </c>
      <c r="F32" s="274"/>
      <c r="G32" s="303">
        <f>G36/D30</f>
        <v>0</v>
      </c>
      <c r="H32" s="274"/>
      <c r="I32" s="40">
        <f>C32+E32+G32</f>
        <v>0</v>
      </c>
      <c r="J32" s="7"/>
    </row>
    <row r="33" spans="2:10" ht="15.75" customHeight="1" x14ac:dyDescent="0.3">
      <c r="B33" s="31" t="s">
        <v>50</v>
      </c>
      <c r="C33" s="281"/>
      <c r="D33" s="274"/>
      <c r="E33" s="281"/>
      <c r="F33" s="274"/>
      <c r="G33" s="281"/>
      <c r="H33" s="274"/>
      <c r="I33" s="41">
        <f>C33+E33+G33</f>
        <v>0</v>
      </c>
      <c r="J33" s="7"/>
    </row>
    <row r="34" spans="2:10" ht="15.75" customHeight="1" x14ac:dyDescent="0.3">
      <c r="B34" s="31" t="s">
        <v>51</v>
      </c>
      <c r="C34" s="282"/>
      <c r="D34" s="274"/>
      <c r="E34" s="282"/>
      <c r="F34" s="274"/>
      <c r="G34" s="282"/>
      <c r="H34" s="274"/>
      <c r="I34" s="264"/>
      <c r="J34" s="7"/>
    </row>
    <row r="35" spans="2:10" ht="15.75" customHeight="1" x14ac:dyDescent="0.3">
      <c r="B35" s="31" t="s">
        <v>52</v>
      </c>
      <c r="C35" s="283">
        <f>C34*$C$8/1000000</f>
        <v>0</v>
      </c>
      <c r="D35" s="267"/>
      <c r="E35" s="283">
        <f>E34*$C$8/1000000</f>
        <v>0</v>
      </c>
      <c r="F35" s="267"/>
      <c r="G35" s="283">
        <f>G34*$C$8/1000000</f>
        <v>0</v>
      </c>
      <c r="H35" s="267"/>
      <c r="I35" s="265"/>
      <c r="J35" s="7"/>
    </row>
    <row r="36" spans="2:10" ht="15.75" customHeight="1" x14ac:dyDescent="0.3">
      <c r="B36" s="3" t="s">
        <v>53</v>
      </c>
      <c r="C36" s="288">
        <f>C33*C34</f>
        <v>0</v>
      </c>
      <c r="D36" s="277"/>
      <c r="E36" s="289">
        <f>E33*E34</f>
        <v>0</v>
      </c>
      <c r="F36" s="290"/>
      <c r="G36" s="288">
        <f>G33*G34</f>
        <v>0</v>
      </c>
      <c r="H36" s="277"/>
      <c r="I36" s="55">
        <f>C36+E36+G36</f>
        <v>0</v>
      </c>
      <c r="J36" s="7"/>
    </row>
    <row r="37" spans="2:10" ht="15.75" customHeight="1" x14ac:dyDescent="0.3">
      <c r="B37" s="1" t="s">
        <v>54</v>
      </c>
      <c r="C37" s="284"/>
      <c r="D37" s="269"/>
      <c r="E37" s="291" t="str">
        <f>IF(C36=0,"-",(C36+E36)/(C33+E33))</f>
        <v>-</v>
      </c>
      <c r="F37" s="274"/>
      <c r="G37" s="292"/>
      <c r="H37" s="293"/>
      <c r="I37" s="42" t="str">
        <f>IF(I36=0,"",I36/I33)</f>
        <v/>
      </c>
      <c r="J37" s="7"/>
    </row>
    <row r="38" spans="2:10" ht="15.75" customHeight="1" x14ac:dyDescent="0.3">
      <c r="B38" s="1" t="s">
        <v>55</v>
      </c>
      <c r="C38" s="285"/>
      <c r="D38" s="271"/>
      <c r="E38" s="283" t="str">
        <f>IF(E37="-","-",E37*$C$8/1000000)</f>
        <v>-</v>
      </c>
      <c r="F38" s="267"/>
      <c r="G38" s="286"/>
      <c r="H38" s="287"/>
      <c r="I38" s="2" t="str">
        <f>IF(I37="","",I37*$C$8/1000000)</f>
        <v/>
      </c>
      <c r="J38" s="7"/>
    </row>
    <row r="39" spans="2:10" ht="15.75" customHeight="1" x14ac:dyDescent="0.3">
      <c r="C39" s="7"/>
      <c r="D39" s="7"/>
      <c r="E39" s="7"/>
      <c r="F39" s="7"/>
      <c r="G39" s="7"/>
      <c r="H39" s="7"/>
    </row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mergeCells count="55">
    <mergeCell ref="C8:D8"/>
    <mergeCell ref="E10:F10"/>
    <mergeCell ref="C9:D9"/>
    <mergeCell ref="C11:D11"/>
    <mergeCell ref="C13:D13"/>
    <mergeCell ref="E11:F11"/>
    <mergeCell ref="E12:F12"/>
    <mergeCell ref="E13:F13"/>
    <mergeCell ref="C2:D2"/>
    <mergeCell ref="C3:D3"/>
    <mergeCell ref="C4:D4"/>
    <mergeCell ref="C5:D5"/>
    <mergeCell ref="C6:D6"/>
    <mergeCell ref="E14:F14"/>
    <mergeCell ref="E16:F16"/>
    <mergeCell ref="E17:F17"/>
    <mergeCell ref="E35:F35"/>
    <mergeCell ref="C26:I26"/>
    <mergeCell ref="C16:D16"/>
    <mergeCell ref="C17:D17"/>
    <mergeCell ref="C21:D21"/>
    <mergeCell ref="G35:H35"/>
    <mergeCell ref="C27:F27"/>
    <mergeCell ref="G27:I27"/>
    <mergeCell ref="C28:F28"/>
    <mergeCell ref="G28:I28"/>
    <mergeCell ref="G31:H31"/>
    <mergeCell ref="G32:H32"/>
    <mergeCell ref="E33:F33"/>
    <mergeCell ref="C37:D37"/>
    <mergeCell ref="C38:D38"/>
    <mergeCell ref="E38:F38"/>
    <mergeCell ref="G38:H38"/>
    <mergeCell ref="C36:D36"/>
    <mergeCell ref="E36:F36"/>
    <mergeCell ref="G36:H36"/>
    <mergeCell ref="E37:F37"/>
    <mergeCell ref="G37:H37"/>
    <mergeCell ref="C34:D34"/>
    <mergeCell ref="C35:D35"/>
    <mergeCell ref="G33:H33"/>
    <mergeCell ref="E34:F34"/>
    <mergeCell ref="G34:H34"/>
    <mergeCell ref="E31:F31"/>
    <mergeCell ref="E32:F32"/>
    <mergeCell ref="C31:D31"/>
    <mergeCell ref="C32:D32"/>
    <mergeCell ref="C33:D33"/>
    <mergeCell ref="C23:D23"/>
    <mergeCell ref="E22:F22"/>
    <mergeCell ref="E23:F23"/>
    <mergeCell ref="E21:F21"/>
    <mergeCell ref="G22:H22"/>
    <mergeCell ref="G23:H23"/>
    <mergeCell ref="G21:H21"/>
  </mergeCells>
  <conditionalFormatting sqref="G21">
    <cfRule type="cellIs" dxfId="12" priority="10" operator="lessThan">
      <formula>0</formula>
    </cfRule>
  </conditionalFormatting>
  <conditionalFormatting sqref="G22:H23">
    <cfRule type="cellIs" dxfId="11" priority="9" operator="lessThan">
      <formula>$G$21</formula>
    </cfRule>
  </conditionalFormatting>
  <conditionalFormatting sqref="C31:H31 C33:H34">
    <cfRule type="containsBlanks" priority="4">
      <formula>LEN(TRIM(C31))=0</formula>
    </cfRule>
  </conditionalFormatting>
  <conditionalFormatting sqref="C21">
    <cfRule type="cellIs" dxfId="10" priority="17" operator="greaterThan">
      <formula>$C$17</formula>
    </cfRule>
  </conditionalFormatting>
  <conditionalFormatting sqref="H17:H18">
    <cfRule type="cellIs" dxfId="9" priority="2" operator="lessThan">
      <formula>0</formula>
    </cfRule>
  </conditionalFormatting>
  <dataValidations count="2">
    <dataValidation type="list" allowBlank="1" showInputMessage="1" showErrorMessage="1" sqref="C6" xr:uid="{00000000-0002-0000-0000-000000000000}">
      <formula1>"HK,US:NASDAQ,CN"</formula1>
    </dataValidation>
    <dataValidation type="list" allowBlank="1" showInputMessage="1" showErrorMessage="1" sqref="C13" xr:uid="{00000000-0002-0000-0000-000001000000}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workbookViewId="0">
      <selection activeCell="D49" sqref="D49:E49"/>
    </sheetView>
  </sheetViews>
  <sheetFormatPr defaultColWidth="12.453125" defaultRowHeight="15" customHeight="1" x14ac:dyDescent="0.3"/>
  <cols>
    <col min="1" max="1" width="1.453125" style="4" customWidth="1"/>
    <col min="2" max="2" width="26.453125" style="4" customWidth="1"/>
    <col min="3" max="13" width="24.7265625" style="4" customWidth="1"/>
    <col min="14" max="14" width="12.453125" style="4" customWidth="1"/>
    <col min="15" max="16384" width="12.453125" style="4"/>
  </cols>
  <sheetData>
    <row r="1" spans="1:14" ht="8.25" customHeight="1" x14ac:dyDescent="0.3">
      <c r="A1" s="66"/>
      <c r="B1" s="67"/>
      <c r="C1" s="68"/>
      <c r="D1" s="68"/>
      <c r="E1" s="68"/>
      <c r="F1" s="68"/>
    </row>
    <row r="2" spans="1:14" ht="15.75" customHeight="1" x14ac:dyDescent="0.3">
      <c r="A2" s="69"/>
      <c r="B2" s="16" t="s">
        <v>56</v>
      </c>
      <c r="C2" s="70"/>
      <c r="D2" s="70"/>
      <c r="E2" s="70"/>
      <c r="F2" s="70"/>
      <c r="G2" s="17"/>
      <c r="H2" s="17"/>
      <c r="I2" s="17"/>
      <c r="J2" s="17"/>
      <c r="K2" s="17"/>
      <c r="L2" s="17"/>
      <c r="M2" s="17"/>
    </row>
    <row r="3" spans="1:14" ht="15.75" customHeight="1" x14ac:dyDescent="0.3">
      <c r="A3" s="11"/>
      <c r="B3" s="6" t="s">
        <v>57</v>
      </c>
      <c r="C3" s="59">
        <v>2021</v>
      </c>
      <c r="D3" s="7"/>
      <c r="E3" s="71">
        <v>1</v>
      </c>
      <c r="F3" s="72">
        <f t="array" ref="F3">AVERAGE(C18:INDEX(C18:M18,1,E3))</f>
        <v>303821</v>
      </c>
      <c r="G3" s="7"/>
      <c r="H3" s="6" t="str">
        <f>"Past "&amp;'FCF Model'!C3&amp;" yrs Revenue CAGR"</f>
        <v>Past 4 yrs Revenue CAGR</v>
      </c>
      <c r="I3" s="7"/>
      <c r="J3" s="73">
        <f t="array" ref="J3">(C7/INDEX(C7:L7,0,'FCF Model'!C3+1))^(1/('FCF Model'!C3))-1</f>
        <v>9.5080759497716549E-2</v>
      </c>
      <c r="K3" s="7"/>
      <c r="L3" s="7"/>
      <c r="M3" s="7"/>
    </row>
    <row r="4" spans="1:14" ht="15.75" customHeight="1" x14ac:dyDescent="0.3">
      <c r="A4" s="11"/>
      <c r="B4" s="6" t="s">
        <v>58</v>
      </c>
      <c r="C4" s="65">
        <v>1000</v>
      </c>
      <c r="D4" s="7"/>
      <c r="E4" s="74">
        <f>E3</f>
        <v>1</v>
      </c>
      <c r="F4" s="75">
        <f>AVERAGE(C16:INDEX(C16:M16,1,E4))</f>
        <v>353426.25</v>
      </c>
      <c r="G4" s="7"/>
      <c r="H4" s="4" t="str">
        <f>"Past "&amp;'FCF Model'!C3&amp;" yrs EBIT CAGR"</f>
        <v>Past 4 yrs EBIT CAGR</v>
      </c>
      <c r="I4" s="7"/>
      <c r="J4" s="76">
        <f t="array" ref="J4">IFERROR((C14/INDEX(C14:L14,0,'FCF Model'!C3))^(1/('FCF Model'!C3-1))-1,"NA")</f>
        <v>0.17548870351199564</v>
      </c>
      <c r="K4" s="7"/>
    </row>
    <row r="5" spans="1:14" ht="15.75" customHeight="1" x14ac:dyDescent="0.3">
      <c r="A5" s="11"/>
      <c r="C5" s="7"/>
      <c r="F5" s="7"/>
      <c r="J5" s="7"/>
    </row>
    <row r="6" spans="1:14" ht="15.75" customHeight="1" x14ac:dyDescent="0.3">
      <c r="A6" s="11"/>
      <c r="B6" s="77"/>
      <c r="C6" s="78" t="str">
        <f>"FY "&amp;$C$3</f>
        <v>FY 2021</v>
      </c>
      <c r="D6" s="79" t="str">
        <f>"FY "&amp;$C$3-1</f>
        <v>FY 2020</v>
      </c>
      <c r="E6" s="79" t="str">
        <f>"FY "&amp;$C$3-2</f>
        <v>FY 2019</v>
      </c>
      <c r="F6" s="79" t="str">
        <f>"FY "&amp;$C$3-3</f>
        <v>FY 2018</v>
      </c>
      <c r="G6" s="79" t="str">
        <f>"FY "&amp;$C$3-4</f>
        <v>FY 2017</v>
      </c>
      <c r="H6" s="79" t="str">
        <f>"FY "&amp;$C$3-5</f>
        <v>FY 2016</v>
      </c>
      <c r="I6" s="79" t="str">
        <f>"FY "&amp;$C$3-6</f>
        <v>FY 2015</v>
      </c>
      <c r="J6" s="79" t="str">
        <f>"FY "&amp;$C$3-7</f>
        <v>FY 2014</v>
      </c>
      <c r="K6" s="79" t="str">
        <f>"FY "&amp;$C$3-8</f>
        <v>FY 2013</v>
      </c>
      <c r="L6" s="79" t="str">
        <f>"FY "&amp;$C$3-9</f>
        <v>FY 2012</v>
      </c>
      <c r="M6" s="79" t="str">
        <f>"FY "&amp;$C$3-10</f>
        <v>FY 2011</v>
      </c>
    </row>
    <row r="7" spans="1:14" ht="15.75" customHeight="1" x14ac:dyDescent="0.3">
      <c r="A7" s="11"/>
      <c r="B7" s="80" t="s">
        <v>59</v>
      </c>
      <c r="C7" s="65">
        <v>3866335</v>
      </c>
      <c r="D7" s="65">
        <v>3518847</v>
      </c>
      <c r="E7" s="65">
        <v>3087781</v>
      </c>
      <c r="F7" s="65">
        <v>2998828</v>
      </c>
      <c r="G7" s="65">
        <v>2688530</v>
      </c>
      <c r="H7" s="65"/>
      <c r="I7" s="65"/>
      <c r="J7" s="65"/>
      <c r="K7" s="65"/>
      <c r="L7" s="65"/>
      <c r="M7" s="65"/>
      <c r="N7" s="7"/>
    </row>
    <row r="8" spans="1:14" ht="15.75" customHeight="1" x14ac:dyDescent="0.3">
      <c r="A8" s="11"/>
      <c r="B8" s="81" t="s">
        <v>60</v>
      </c>
      <c r="C8" s="19">
        <f t="shared" ref="C8:L8" si="0">IF(D7="","",C7/D7-1)</f>
        <v>9.8750528227001588E-2</v>
      </c>
      <c r="D8" s="19">
        <f t="shared" si="0"/>
        <v>0.13960381257608612</v>
      </c>
      <c r="E8" s="19">
        <f t="shared" si="0"/>
        <v>2.9662588184450778E-2</v>
      </c>
      <c r="F8" s="19">
        <f t="shared" si="0"/>
        <v>0.11541548727371453</v>
      </c>
      <c r="G8" s="19" t="str">
        <f t="shared" si="0"/>
        <v/>
      </c>
      <c r="H8" s="19" t="str">
        <f t="shared" si="0"/>
        <v/>
      </c>
      <c r="I8" s="19" t="str">
        <f t="shared" si="0"/>
        <v/>
      </c>
      <c r="J8" s="19" t="str">
        <f t="shared" si="0"/>
        <v/>
      </c>
      <c r="K8" s="19" t="str">
        <f t="shared" si="0"/>
        <v/>
      </c>
      <c r="L8" s="19" t="str">
        <f t="shared" si="0"/>
        <v/>
      </c>
      <c r="M8" s="19"/>
      <c r="N8" s="7"/>
    </row>
    <row r="9" spans="1:14" ht="15.75" customHeight="1" x14ac:dyDescent="0.3">
      <c r="A9" s="11"/>
      <c r="B9" s="81" t="s">
        <v>61</v>
      </c>
      <c r="C9" s="65">
        <v>2639016</v>
      </c>
      <c r="D9" s="65">
        <v>2360170</v>
      </c>
      <c r="E9" s="65">
        <v>2074351</v>
      </c>
      <c r="F9" s="65">
        <v>2065429</v>
      </c>
      <c r="G9" s="65">
        <v>1867706</v>
      </c>
      <c r="H9" s="65"/>
      <c r="I9" s="65"/>
      <c r="J9" s="65"/>
      <c r="K9" s="65"/>
      <c r="L9" s="65"/>
      <c r="M9" s="65"/>
      <c r="N9" s="7"/>
    </row>
    <row r="10" spans="1:14" ht="15.75" customHeight="1" x14ac:dyDescent="0.3">
      <c r="A10" s="11"/>
      <c r="B10" s="81" t="s">
        <v>62</v>
      </c>
      <c r="C10" s="19">
        <f t="shared" ref="C10:M10" si="1">IF(C7="","",(C7-C9)/C7)</f>
        <v>0.31743731466621489</v>
      </c>
      <c r="D10" s="19">
        <f t="shared" si="1"/>
        <v>0.32927745934961083</v>
      </c>
      <c r="E10" s="19">
        <f t="shared" si="1"/>
        <v>0.32820656646310087</v>
      </c>
      <c r="F10" s="19">
        <f t="shared" si="1"/>
        <v>0.31125459679581491</v>
      </c>
      <c r="G10" s="19">
        <f t="shared" si="1"/>
        <v>0.30530587346988874</v>
      </c>
      <c r="H10" s="19" t="str">
        <f t="shared" si="1"/>
        <v/>
      </c>
      <c r="I10" s="19" t="str">
        <f t="shared" si="1"/>
        <v/>
      </c>
      <c r="J10" s="19" t="str">
        <f t="shared" si="1"/>
        <v/>
      </c>
      <c r="K10" s="19" t="str">
        <f t="shared" si="1"/>
        <v/>
      </c>
      <c r="L10" s="19" t="str">
        <f t="shared" si="1"/>
        <v/>
      </c>
      <c r="M10" s="19" t="str">
        <f t="shared" si="1"/>
        <v/>
      </c>
      <c r="N10" s="7"/>
    </row>
    <row r="11" spans="1:14" ht="15.75" customHeight="1" x14ac:dyDescent="0.3">
      <c r="A11" s="11"/>
      <c r="B11" s="81" t="s">
        <v>63</v>
      </c>
      <c r="C11" s="65">
        <v>756084</v>
      </c>
      <c r="D11" s="65">
        <v>664065</v>
      </c>
      <c r="E11" s="65">
        <v>672083</v>
      </c>
      <c r="F11" s="65">
        <v>643276</v>
      </c>
      <c r="G11" s="65">
        <f>389978+162975+40212</f>
        <v>593165</v>
      </c>
      <c r="H11" s="65"/>
      <c r="I11" s="65"/>
      <c r="J11" s="65"/>
      <c r="K11" s="65"/>
      <c r="L11" s="65"/>
      <c r="M11" s="65"/>
      <c r="N11" s="7"/>
    </row>
    <row r="12" spans="1:14" ht="15.75" customHeight="1" x14ac:dyDescent="0.3">
      <c r="A12" s="11"/>
      <c r="B12" s="81" t="s">
        <v>64</v>
      </c>
      <c r="C12" s="19">
        <f t="shared" ref="C12:M12" si="2">IF(C7="","",C10-C13)</f>
        <v>0.19555573947937774</v>
      </c>
      <c r="D12" s="19">
        <f t="shared" si="2"/>
        <v>0.18871664496921861</v>
      </c>
      <c r="E12" s="19">
        <f t="shared" si="2"/>
        <v>0.21765889485037965</v>
      </c>
      <c r="F12" s="19">
        <f t="shared" si="2"/>
        <v>0.21450913490203508</v>
      </c>
      <c r="G12" s="19">
        <f t="shared" si="2"/>
        <v>0.22062800117536346</v>
      </c>
      <c r="H12" s="19" t="str">
        <f t="shared" si="2"/>
        <v/>
      </c>
      <c r="I12" s="19" t="str">
        <f t="shared" si="2"/>
        <v/>
      </c>
      <c r="J12" s="19" t="str">
        <f t="shared" si="2"/>
        <v/>
      </c>
      <c r="K12" s="19" t="str">
        <f t="shared" si="2"/>
        <v/>
      </c>
      <c r="L12" s="19" t="str">
        <f t="shared" si="2"/>
        <v/>
      </c>
      <c r="M12" s="19" t="str">
        <f t="shared" si="2"/>
        <v/>
      </c>
      <c r="N12" s="7"/>
    </row>
    <row r="13" spans="1:14" ht="15.75" customHeight="1" x14ac:dyDescent="0.3">
      <c r="A13" s="11"/>
      <c r="B13" s="81" t="s">
        <v>65</v>
      </c>
      <c r="C13" s="19">
        <f t="shared" ref="C13:M13" si="3">IF(C14="","",C14/C7)</f>
        <v>0.12188157518683715</v>
      </c>
      <c r="D13" s="19">
        <f t="shared" si="3"/>
        <v>0.14056081438039222</v>
      </c>
      <c r="E13" s="19">
        <f t="shared" si="3"/>
        <v>0.11054767161272123</v>
      </c>
      <c r="F13" s="19">
        <f t="shared" si="3"/>
        <v>9.6745461893779833E-2</v>
      </c>
      <c r="G13" s="19">
        <f t="shared" si="3"/>
        <v>8.4677872294525267E-2</v>
      </c>
      <c r="H13" s="19" t="str">
        <f t="shared" si="3"/>
        <v/>
      </c>
      <c r="I13" s="19" t="str">
        <f t="shared" si="3"/>
        <v/>
      </c>
      <c r="J13" s="19" t="str">
        <f t="shared" si="3"/>
        <v/>
      </c>
      <c r="K13" s="19" t="str">
        <f t="shared" si="3"/>
        <v/>
      </c>
      <c r="L13" s="19" t="str">
        <f t="shared" si="3"/>
        <v/>
      </c>
      <c r="M13" s="19" t="str">
        <f t="shared" si="3"/>
        <v/>
      </c>
      <c r="N13" s="7"/>
    </row>
    <row r="14" spans="1:14" ht="15.75" customHeight="1" x14ac:dyDescent="0.3">
      <c r="A14" s="11"/>
      <c r="B14" s="81" t="s">
        <v>66</v>
      </c>
      <c r="C14" s="41">
        <f t="shared" ref="C14:M14" si="4">IF(C7="","",C7-C9-C11)</f>
        <v>471235</v>
      </c>
      <c r="D14" s="41">
        <f t="shared" si="4"/>
        <v>494612</v>
      </c>
      <c r="E14" s="41">
        <f t="shared" si="4"/>
        <v>341347</v>
      </c>
      <c r="F14" s="41">
        <f t="shared" si="4"/>
        <v>290123</v>
      </c>
      <c r="G14" s="41">
        <f t="shared" si="4"/>
        <v>227659</v>
      </c>
      <c r="H14" s="41" t="str">
        <f t="shared" si="4"/>
        <v/>
      </c>
      <c r="I14" s="41" t="str">
        <f t="shared" si="4"/>
        <v/>
      </c>
      <c r="J14" s="41" t="str">
        <f t="shared" si="4"/>
        <v/>
      </c>
      <c r="K14" s="41" t="str">
        <f t="shared" si="4"/>
        <v/>
      </c>
      <c r="L14" s="41" t="str">
        <f t="shared" si="4"/>
        <v/>
      </c>
      <c r="M14" s="41" t="str">
        <f t="shared" si="4"/>
        <v/>
      </c>
      <c r="N14" s="7"/>
    </row>
    <row r="15" spans="1:14" ht="15.75" customHeight="1" x14ac:dyDescent="0.3">
      <c r="A15" s="11"/>
      <c r="B15" s="81" t="s">
        <v>67</v>
      </c>
      <c r="C15" s="19">
        <f t="shared" ref="C15:M15" si="5">IF(D14="","",IF(ABS(C14+D14)=ABS(C14)+ABS(D14),IF(C14&lt;0,-1,1)*(C14-D14)/D14,"Turn"))</f>
        <v>-4.726330942233508E-2</v>
      </c>
      <c r="D15" s="19">
        <f t="shared" si="5"/>
        <v>0.44900057712532992</v>
      </c>
      <c r="E15" s="19">
        <f t="shared" si="5"/>
        <v>0.17655959713638697</v>
      </c>
      <c r="F15" s="19">
        <f t="shared" si="5"/>
        <v>0.27437527178806898</v>
      </c>
      <c r="G15" s="19" t="str">
        <f t="shared" si="5"/>
        <v/>
      </c>
      <c r="H15" s="19" t="str">
        <f t="shared" si="5"/>
        <v/>
      </c>
      <c r="I15" s="19" t="str">
        <f t="shared" si="5"/>
        <v/>
      </c>
      <c r="J15" s="19" t="str">
        <f t="shared" si="5"/>
        <v/>
      </c>
      <c r="K15" s="19" t="str">
        <f t="shared" si="5"/>
        <v/>
      </c>
      <c r="L15" s="19" t="str">
        <f t="shared" si="5"/>
        <v/>
      </c>
      <c r="M15" s="19" t="str">
        <f t="shared" si="5"/>
        <v/>
      </c>
      <c r="N15" s="7"/>
    </row>
    <row r="16" spans="1:14" ht="15.75" customHeight="1" x14ac:dyDescent="0.3">
      <c r="A16" s="11"/>
      <c r="B16" s="81" t="s">
        <v>68</v>
      </c>
      <c r="C16" s="41">
        <f>IF(C14="","",C14*(1-'FCF Model'!$D$17))</f>
        <v>353426.25</v>
      </c>
      <c r="D16" s="41">
        <f>IF(D14="","",D14*(1-'FCF Model'!$D$17))</f>
        <v>370959</v>
      </c>
      <c r="E16" s="41">
        <f>IF(E14="","",E14*(1-'FCF Model'!$D$17))</f>
        <v>256010.25</v>
      </c>
      <c r="F16" s="41">
        <f>IF(F14="","",F14*(1-'FCF Model'!$D$17))</f>
        <v>217592.25</v>
      </c>
      <c r="G16" s="41">
        <f>IF(G14="","",G14*(1-'FCF Model'!$D$17))</f>
        <v>170744.25</v>
      </c>
      <c r="H16" s="41" t="str">
        <f>IF(H14="","",H14*(1-'FCF Model'!$D$17))</f>
        <v/>
      </c>
      <c r="I16" s="41" t="str">
        <f>IF(I14="","",I14*(1-'FCF Model'!$D$17))</f>
        <v/>
      </c>
      <c r="J16" s="41" t="str">
        <f>IF(J14="","",J14*(1-'FCF Model'!$D$17))</f>
        <v/>
      </c>
      <c r="K16" s="41" t="str">
        <f>IF(K14="","",K14*(1-'FCF Model'!$D$17))</f>
        <v/>
      </c>
      <c r="L16" s="41" t="str">
        <f>IF(L14="","",L14*(1-'FCF Model'!$D$17))</f>
        <v/>
      </c>
      <c r="M16" s="41" t="str">
        <f>IF(M14="","",M14*(1-'FCF Model'!$D$17))</f>
        <v/>
      </c>
      <c r="N16" s="7"/>
    </row>
    <row r="17" spans="1:14" ht="15.75" customHeight="1" x14ac:dyDescent="0.3">
      <c r="A17" s="11"/>
      <c r="B17" s="81" t="s">
        <v>69</v>
      </c>
      <c r="C17" s="65">
        <v>365</v>
      </c>
      <c r="D17" s="65">
        <v>116</v>
      </c>
      <c r="E17" s="65">
        <v>64</v>
      </c>
      <c r="F17" s="65">
        <v>0</v>
      </c>
      <c r="G17" s="65">
        <v>0</v>
      </c>
      <c r="H17" s="65"/>
      <c r="I17" s="65"/>
      <c r="J17" s="65"/>
      <c r="K17" s="65"/>
      <c r="L17" s="65"/>
      <c r="M17" s="65"/>
      <c r="N17" s="7"/>
    </row>
    <row r="18" spans="1:14" ht="15.75" customHeight="1" x14ac:dyDescent="0.3">
      <c r="A18" s="11"/>
      <c r="B18" s="81" t="s">
        <v>70</v>
      </c>
      <c r="C18" s="65">
        <v>303821</v>
      </c>
      <c r="D18" s="65">
        <v>301912</v>
      </c>
      <c r="E18" s="65">
        <v>250964</v>
      </c>
      <c r="F18" s="65">
        <v>205448</v>
      </c>
      <c r="G18" s="65">
        <v>195363</v>
      </c>
      <c r="H18" s="65"/>
      <c r="I18" s="65"/>
      <c r="J18" s="65"/>
      <c r="K18" s="65"/>
      <c r="L18" s="65"/>
      <c r="M18" s="65"/>
      <c r="N18" s="7"/>
    </row>
    <row r="19" spans="1:14" ht="15.75" customHeight="1" x14ac:dyDescent="0.3">
      <c r="A19" s="11"/>
      <c r="B19" s="81" t="s">
        <v>71</v>
      </c>
      <c r="C19" s="19">
        <f t="shared" ref="C19:M19" si="6">IF(C7="","",C18/C7)</f>
        <v>7.8581136916485508E-2</v>
      </c>
      <c r="D19" s="19">
        <f t="shared" si="6"/>
        <v>8.579855844826445E-2</v>
      </c>
      <c r="E19" s="19">
        <f t="shared" si="6"/>
        <v>8.1276489491968501E-2</v>
      </c>
      <c r="F19" s="19">
        <f t="shared" si="6"/>
        <v>6.8509431017717587E-2</v>
      </c>
      <c r="G19" s="19">
        <f t="shared" si="6"/>
        <v>7.2665359880678293E-2</v>
      </c>
      <c r="H19" s="19" t="str">
        <f t="shared" si="6"/>
        <v/>
      </c>
      <c r="I19" s="19" t="str">
        <f t="shared" si="6"/>
        <v/>
      </c>
      <c r="J19" s="19" t="str">
        <f t="shared" si="6"/>
        <v/>
      </c>
      <c r="K19" s="19" t="str">
        <f t="shared" si="6"/>
        <v/>
      </c>
      <c r="L19" s="19" t="str">
        <f t="shared" si="6"/>
        <v/>
      </c>
      <c r="M19" s="19" t="str">
        <f t="shared" si="6"/>
        <v/>
      </c>
      <c r="N19" s="7"/>
    </row>
    <row r="20" spans="1:14" ht="15.75" customHeight="1" x14ac:dyDescent="0.3">
      <c r="A20" s="11"/>
      <c r="B20" s="81" t="s">
        <v>72</v>
      </c>
      <c r="C20" s="82">
        <f>'Asset Model'!C21</f>
        <v>2925507</v>
      </c>
      <c r="D20" s="65">
        <v>3296593</v>
      </c>
      <c r="E20" s="65">
        <v>2995218</v>
      </c>
      <c r="F20" s="65">
        <v>2922746</v>
      </c>
      <c r="G20" s="65">
        <v>2928529</v>
      </c>
      <c r="H20" s="65"/>
      <c r="I20" s="65"/>
      <c r="J20" s="65"/>
      <c r="K20" s="65"/>
      <c r="L20" s="65"/>
      <c r="M20" s="65"/>
      <c r="N20" s="7"/>
    </row>
    <row r="21" spans="1:14" ht="15.75" customHeight="1" x14ac:dyDescent="0.3">
      <c r="A21" s="11"/>
      <c r="B21" s="81" t="s">
        <v>73</v>
      </c>
      <c r="C21" s="82">
        <f>'Asset Model'!H21</f>
        <v>972761</v>
      </c>
      <c r="D21" s="65">
        <v>1065331</v>
      </c>
      <c r="E21" s="65">
        <v>859227</v>
      </c>
      <c r="F21" s="65">
        <v>796096</v>
      </c>
      <c r="G21" s="65">
        <v>856948</v>
      </c>
      <c r="H21" s="65"/>
      <c r="I21" s="65"/>
      <c r="J21" s="65"/>
      <c r="K21" s="65"/>
      <c r="L21" s="65"/>
      <c r="M21" s="65"/>
      <c r="N21" s="7"/>
    </row>
    <row r="22" spans="1:14" ht="15.75" customHeight="1" x14ac:dyDescent="0.3">
      <c r="A22" s="11"/>
      <c r="B22" s="81" t="s">
        <v>74</v>
      </c>
      <c r="C22" s="82">
        <f>'Asset Model'!H10+'Asset Model'!H12</f>
        <v>890177</v>
      </c>
      <c r="D22" s="65">
        <v>7278</v>
      </c>
      <c r="E22" s="65">
        <v>1660</v>
      </c>
      <c r="F22" s="65">
        <v>0</v>
      </c>
      <c r="G22" s="65">
        <v>0</v>
      </c>
      <c r="H22" s="65"/>
      <c r="I22" s="65"/>
      <c r="J22" s="65"/>
      <c r="K22" s="65"/>
      <c r="L22" s="65"/>
      <c r="M22" s="65"/>
      <c r="N22" s="7"/>
    </row>
    <row r="23" spans="1:14" ht="15.75" customHeight="1" x14ac:dyDescent="0.3">
      <c r="A23" s="11"/>
      <c r="B23" s="81" t="s">
        <v>75</v>
      </c>
      <c r="C23" s="82">
        <f>'Asset Model'!H23+'Asset Model'!H24</f>
        <v>2335</v>
      </c>
      <c r="D23" s="65">
        <v>9396</v>
      </c>
      <c r="E23" s="65">
        <v>131</v>
      </c>
      <c r="F23" s="65">
        <v>0</v>
      </c>
      <c r="G23" s="65">
        <v>0</v>
      </c>
      <c r="H23" s="65"/>
      <c r="I23" s="65"/>
      <c r="J23" s="65"/>
      <c r="K23" s="65"/>
      <c r="L23" s="65"/>
      <c r="M23" s="65"/>
      <c r="N23" s="7"/>
    </row>
    <row r="24" spans="1:14" ht="15.75" customHeight="1" x14ac:dyDescent="0.3">
      <c r="A24" s="11"/>
      <c r="B24" s="81" t="s">
        <v>76</v>
      </c>
      <c r="C24" s="41">
        <f t="shared" ref="C24:M24" si="7">IF(C7="","",C22+C23)</f>
        <v>892512</v>
      </c>
      <c r="D24" s="41">
        <f t="shared" si="7"/>
        <v>16674</v>
      </c>
      <c r="E24" s="41">
        <f t="shared" si="7"/>
        <v>1791</v>
      </c>
      <c r="F24" s="41">
        <f t="shared" si="7"/>
        <v>0</v>
      </c>
      <c r="G24" s="41">
        <f t="shared" si="7"/>
        <v>0</v>
      </c>
      <c r="H24" s="41" t="str">
        <f t="shared" si="7"/>
        <v/>
      </c>
      <c r="I24" s="41" t="str">
        <f t="shared" si="7"/>
        <v/>
      </c>
      <c r="J24" s="41" t="str">
        <f t="shared" si="7"/>
        <v/>
      </c>
      <c r="K24" s="41" t="str">
        <f t="shared" si="7"/>
        <v/>
      </c>
      <c r="L24" s="41" t="str">
        <f t="shared" si="7"/>
        <v/>
      </c>
      <c r="M24" s="41" t="str">
        <f t="shared" si="7"/>
        <v/>
      </c>
      <c r="N24" s="7"/>
    </row>
    <row r="25" spans="1:14" ht="15.75" customHeight="1" x14ac:dyDescent="0.3">
      <c r="A25" s="11"/>
      <c r="B25" s="81" t="s">
        <v>77</v>
      </c>
      <c r="C25" s="82">
        <f>'Asset Model'!D3</f>
        <v>3946940</v>
      </c>
      <c r="D25" s="65">
        <v>4043183</v>
      </c>
      <c r="E25" s="65">
        <v>3712318</v>
      </c>
      <c r="F25" s="65">
        <v>3595173</v>
      </c>
      <c r="G25" s="65">
        <v>3551074</v>
      </c>
      <c r="H25" s="65"/>
      <c r="I25" s="65"/>
      <c r="J25" s="65"/>
      <c r="K25" s="65"/>
      <c r="L25" s="65"/>
      <c r="M25" s="65"/>
      <c r="N25" s="7"/>
    </row>
    <row r="26" spans="1:14" ht="15.75" customHeight="1" x14ac:dyDescent="0.3">
      <c r="A26" s="11"/>
      <c r="B26" s="81" t="s">
        <v>78</v>
      </c>
      <c r="C26" s="82">
        <f>'Asset Model'!C43</f>
        <v>138648</v>
      </c>
      <c r="D26" s="65">
        <v>147504</v>
      </c>
      <c r="E26" s="65">
        <v>122753</v>
      </c>
      <c r="F26" s="65">
        <v>114637</v>
      </c>
      <c r="G26" s="65">
        <v>111878</v>
      </c>
      <c r="H26" s="65"/>
      <c r="I26" s="65"/>
      <c r="J26" s="65"/>
      <c r="K26" s="65"/>
      <c r="L26" s="65"/>
      <c r="M26" s="65"/>
      <c r="N26" s="7"/>
    </row>
    <row r="27" spans="1:14" ht="15.75" customHeight="1" x14ac:dyDescent="0.3">
      <c r="A27" s="11"/>
      <c r="B27" s="81" t="s">
        <v>79</v>
      </c>
      <c r="C27" s="82">
        <f>'Asset Model'!D52</f>
        <v>1659687</v>
      </c>
      <c r="D27" s="65">
        <v>1607247</v>
      </c>
      <c r="E27" s="65">
        <v>1505261</v>
      </c>
      <c r="F27" s="65">
        <v>1384707</v>
      </c>
      <c r="G27" s="65">
        <v>1693459</v>
      </c>
      <c r="H27" s="65"/>
      <c r="I27" s="65"/>
      <c r="J27" s="65"/>
      <c r="K27" s="65"/>
      <c r="L27" s="65"/>
      <c r="M27" s="65"/>
      <c r="N27" s="7"/>
    </row>
    <row r="28" spans="1:14" ht="15.75" customHeight="1" x14ac:dyDescent="0.3">
      <c r="A28" s="11"/>
      <c r="B28" s="81" t="s">
        <v>80</v>
      </c>
      <c r="C28" s="82">
        <f>'Asset Model'!C23+'Asset Model'!C24+'Asset Model'!C27</f>
        <v>1835208</v>
      </c>
      <c r="D28" s="65">
        <v>1704401</v>
      </c>
      <c r="E28" s="65">
        <v>1517342</v>
      </c>
      <c r="F28" s="65">
        <v>1400067</v>
      </c>
      <c r="G28" s="65">
        <f>1295386</f>
        <v>1295386</v>
      </c>
      <c r="H28" s="65"/>
      <c r="I28" s="65"/>
      <c r="J28" s="65"/>
      <c r="K28" s="65"/>
      <c r="L28" s="65"/>
      <c r="M28" s="65"/>
      <c r="N28" s="7"/>
    </row>
    <row r="29" spans="1:14" ht="15.75" customHeight="1" x14ac:dyDescent="0.3">
      <c r="A29" s="11"/>
      <c r="B29" s="81" t="s">
        <v>81</v>
      </c>
      <c r="C29" s="19">
        <f t="shared" ref="C29:M29" si="8">IF(D7="","",(C28-D28)/C28)</f>
        <v>7.127638937929652E-2</v>
      </c>
      <c r="D29" s="19">
        <f t="shared" si="8"/>
        <v>0.10975058099590414</v>
      </c>
      <c r="E29" s="19">
        <f t="shared" si="8"/>
        <v>7.7289760647237082E-2</v>
      </c>
      <c r="F29" s="19">
        <f t="shared" si="8"/>
        <v>7.4768564647263308E-2</v>
      </c>
      <c r="G29" s="19" t="str">
        <f t="shared" si="8"/>
        <v/>
      </c>
      <c r="H29" s="19" t="str">
        <f t="shared" si="8"/>
        <v/>
      </c>
      <c r="I29" s="19" t="str">
        <f t="shared" si="8"/>
        <v/>
      </c>
      <c r="J29" s="19" t="str">
        <f t="shared" si="8"/>
        <v/>
      </c>
      <c r="K29" s="19" t="str">
        <f t="shared" si="8"/>
        <v/>
      </c>
      <c r="L29" s="19" t="str">
        <f t="shared" si="8"/>
        <v/>
      </c>
      <c r="M29" s="19" t="str">
        <f t="shared" si="8"/>
        <v/>
      </c>
      <c r="N29" s="7"/>
    </row>
    <row r="30" spans="1:14" ht="15.75" customHeight="1" x14ac:dyDescent="0.3">
      <c r="A30" s="11"/>
      <c r="B30" s="81" t="s">
        <v>82</v>
      </c>
      <c r="C30" s="41">
        <f t="shared" ref="C30:M30" si="9">IF(D7="","",(C7-D7)*$D$49)</f>
        <v>22829.961599999999</v>
      </c>
      <c r="D30" s="41">
        <f t="shared" si="9"/>
        <v>28321.036199999999</v>
      </c>
      <c r="E30" s="41">
        <f t="shared" si="9"/>
        <v>5844.2120999999997</v>
      </c>
      <c r="F30" s="41">
        <f t="shared" si="9"/>
        <v>20386.578599999997</v>
      </c>
      <c r="G30" s="41" t="str">
        <f t="shared" si="9"/>
        <v/>
      </c>
      <c r="H30" s="41" t="str">
        <f t="shared" si="9"/>
        <v/>
      </c>
      <c r="I30" s="41" t="str">
        <f t="shared" si="9"/>
        <v/>
      </c>
      <c r="J30" s="41" t="str">
        <f t="shared" si="9"/>
        <v/>
      </c>
      <c r="K30" s="41" t="str">
        <f t="shared" si="9"/>
        <v/>
      </c>
      <c r="L30" s="41" t="str">
        <f t="shared" si="9"/>
        <v/>
      </c>
      <c r="M30" s="41" t="str">
        <f t="shared" si="9"/>
        <v/>
      </c>
      <c r="N30" s="7"/>
    </row>
    <row r="31" spans="1:14" ht="15.75" customHeight="1" x14ac:dyDescent="0.3">
      <c r="A31" s="11"/>
      <c r="B31" s="81" t="s">
        <v>83</v>
      </c>
      <c r="C31" s="41">
        <f t="shared" ref="C31:M31" si="10">IF(D7="","",C28-D28+C30)</f>
        <v>153636.96160000001</v>
      </c>
      <c r="D31" s="41">
        <f t="shared" si="10"/>
        <v>215380.0362</v>
      </c>
      <c r="E31" s="41">
        <f t="shared" si="10"/>
        <v>123119.2121</v>
      </c>
      <c r="F31" s="41">
        <f t="shared" si="10"/>
        <v>125067.57859999999</v>
      </c>
      <c r="G31" s="41" t="str">
        <f t="shared" si="10"/>
        <v/>
      </c>
      <c r="H31" s="41" t="str">
        <f t="shared" si="10"/>
        <v/>
      </c>
      <c r="I31" s="41" t="str">
        <f t="shared" si="10"/>
        <v/>
      </c>
      <c r="J31" s="41" t="str">
        <f t="shared" si="10"/>
        <v/>
      </c>
      <c r="K31" s="41" t="str">
        <f t="shared" si="10"/>
        <v/>
      </c>
      <c r="L31" s="41" t="str">
        <f t="shared" si="10"/>
        <v/>
      </c>
      <c r="M31" s="41" t="str">
        <f t="shared" si="10"/>
        <v/>
      </c>
      <c r="N31" s="7"/>
    </row>
    <row r="32" spans="1:14" ht="15.75" customHeight="1" x14ac:dyDescent="0.3">
      <c r="A32" s="11"/>
      <c r="B32" s="81" t="s">
        <v>84</v>
      </c>
      <c r="C32" s="19">
        <f t="shared" ref="C32:M32" si="11">IF(C31="","",C31/C16)</f>
        <v>0.43470727372400891</v>
      </c>
      <c r="D32" s="19">
        <f t="shared" si="11"/>
        <v>0.58060334484403942</v>
      </c>
      <c r="E32" s="19">
        <f t="shared" si="11"/>
        <v>0.48091516687320141</v>
      </c>
      <c r="F32" s="19">
        <f t="shared" si="11"/>
        <v>0.5747795640699519</v>
      </c>
      <c r="G32" s="19" t="str">
        <f t="shared" si="11"/>
        <v/>
      </c>
      <c r="H32" s="19" t="str">
        <f t="shared" si="11"/>
        <v/>
      </c>
      <c r="I32" s="19" t="str">
        <f t="shared" si="11"/>
        <v/>
      </c>
      <c r="J32" s="19" t="str">
        <f t="shared" si="11"/>
        <v/>
      </c>
      <c r="K32" s="19" t="str">
        <f t="shared" si="11"/>
        <v/>
      </c>
      <c r="L32" s="19" t="str">
        <f t="shared" si="11"/>
        <v/>
      </c>
      <c r="M32" s="19" t="str">
        <f t="shared" si="11"/>
        <v/>
      </c>
      <c r="N32" s="7"/>
    </row>
    <row r="33" spans="1:14" ht="15.75" customHeight="1" x14ac:dyDescent="0.3">
      <c r="A33" s="11"/>
      <c r="B33" s="83" t="s">
        <v>85</v>
      </c>
      <c r="C33" s="84">
        <f t="shared" ref="C33:M33" si="12">IF(C25="","",C25-C27+C24)</f>
        <v>3179765</v>
      </c>
      <c r="D33" s="84">
        <f t="shared" si="12"/>
        <v>2452610</v>
      </c>
      <c r="E33" s="84">
        <f t="shared" si="12"/>
        <v>2208848</v>
      </c>
      <c r="F33" s="84">
        <f t="shared" si="12"/>
        <v>2210466</v>
      </c>
      <c r="G33" s="84">
        <f t="shared" si="12"/>
        <v>1857615</v>
      </c>
      <c r="H33" s="84" t="str">
        <f t="shared" si="12"/>
        <v/>
      </c>
      <c r="I33" s="84" t="str">
        <f t="shared" si="12"/>
        <v/>
      </c>
      <c r="J33" s="84" t="str">
        <f t="shared" si="12"/>
        <v/>
      </c>
      <c r="K33" s="84" t="str">
        <f t="shared" si="12"/>
        <v/>
      </c>
      <c r="L33" s="84" t="str">
        <f t="shared" si="12"/>
        <v/>
      </c>
      <c r="M33" s="84" t="str">
        <f t="shared" si="12"/>
        <v/>
      </c>
      <c r="N33" s="7"/>
    </row>
    <row r="34" spans="1:14" ht="15.75" customHeight="1" x14ac:dyDescent="0.3">
      <c r="A34" s="11"/>
      <c r="B34" s="85" t="s">
        <v>86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4" ht="15.75" customHeight="1" x14ac:dyDescent="0.3">
      <c r="A35" s="11"/>
      <c r="B35" s="80" t="s">
        <v>87</v>
      </c>
      <c r="C35" s="86">
        <f>IF(C16="","",(C16*$C$4)/(Dashboard!$C$9*1000000))</f>
        <v>5.1778508788654157E-2</v>
      </c>
      <c r="D35" s="86">
        <f>IF(D16="","",(D16*$C$4)/(Dashboard!$C$9*1000000))</f>
        <v>5.4347134208990865E-2</v>
      </c>
      <c r="E35" s="86">
        <f>IF(E16="","",(E16*$C$4)/(Dashboard!$C$9*1000000))</f>
        <v>3.7506633928890531E-2</v>
      </c>
      <c r="F35" s="86">
        <f>IF(F16="","",(F16*$C$4)/(Dashboard!$C$9*1000000))</f>
        <v>3.1878227010495211E-2</v>
      </c>
      <c r="G35" s="86">
        <f>IF(G16="","",(G16*$C$4)/(Dashboard!$C$9*1000000))</f>
        <v>2.5014787807179466E-2</v>
      </c>
      <c r="H35" s="86" t="str">
        <f>IF(H16="","",(H16*$C$4)/(Dashboard!$C$9*1000000))</f>
        <v/>
      </c>
      <c r="I35" s="86" t="str">
        <f>IF(I16="","",(I16*$C$4)/(Dashboard!$C$9*1000000))</f>
        <v/>
      </c>
      <c r="J35" s="86" t="str">
        <f>IF(J16="","",(J16*$C$4)/(Dashboard!$C$9*1000000))</f>
        <v/>
      </c>
      <c r="K35" s="86" t="str">
        <f>IF(K16="","",(K16*$C$4)/(Dashboard!$C$9*1000000))</f>
        <v/>
      </c>
      <c r="L35" s="86" t="str">
        <f>IF(L16="","",(L16*$C$4)/(Dashboard!$C$9*1000000))</f>
        <v/>
      </c>
      <c r="M35" s="86" t="str">
        <f>IF(M16="","",(M16*$C$4)/(Dashboard!$C$9*1000000))</f>
        <v/>
      </c>
      <c r="N35" s="7"/>
    </row>
    <row r="36" spans="1:14" ht="15.75" customHeight="1" x14ac:dyDescent="0.3">
      <c r="A36" s="11"/>
      <c r="B36" s="83" t="s">
        <v>88</v>
      </c>
      <c r="C36" s="87">
        <f>IF(C18="","",(C18*$C$4)/(Dashboard!$C$9*1000000))</f>
        <v>4.4511120265338794E-2</v>
      </c>
      <c r="D36" s="87">
        <f>IF(D18="","",(D18*$C$4)/(Dashboard!$C$9*1000000))</f>
        <v>4.423144332205136E-2</v>
      </c>
      <c r="E36" s="87">
        <f>IF(E18="","",(E18*$C$4)/(Dashboard!$C$9*1000000))</f>
        <v>3.6767335984907182E-2</v>
      </c>
      <c r="F36" s="87">
        <f>IF(F18="","",(F18*$C$4)/(Dashboard!$C$9*1000000))</f>
        <v>3.0099040672874239E-2</v>
      </c>
      <c r="G36" s="87">
        <f>IF(G18="","",(G18*$C$4)/(Dashboard!$C$9*1000000))</f>
        <v>2.8621543568079173E-2</v>
      </c>
      <c r="H36" s="87" t="str">
        <f>IF(H18="","",(H18*$C$4)/(Dashboard!$C$9*1000000))</f>
        <v/>
      </c>
      <c r="I36" s="87" t="str">
        <f>IF(I18="","",(I18*$C$4)/(Dashboard!$C$9*1000000))</f>
        <v/>
      </c>
      <c r="J36" s="87" t="str">
        <f>IF(J18="","",(J18*$C$4)/(Dashboard!$C$9*1000000))</f>
        <v/>
      </c>
      <c r="K36" s="87" t="str">
        <f>IF(K18="","",(K18*$C$4)/(Dashboard!$C$9*1000000))</f>
        <v/>
      </c>
      <c r="L36" s="87" t="str">
        <f>IF(L18="","",(L18*$C$4)/(Dashboard!$C$9*1000000))</f>
        <v/>
      </c>
      <c r="M36" s="87" t="str">
        <f>IF(M18="","",(M18*$C$4)/(Dashboard!$C$9*1000000))</f>
        <v/>
      </c>
      <c r="N36" s="7"/>
    </row>
    <row r="37" spans="1:14" ht="15.75" customHeight="1" x14ac:dyDescent="0.3">
      <c r="A37" s="11"/>
      <c r="B37" s="207" t="s">
        <v>89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4" ht="15.75" customHeight="1" x14ac:dyDescent="0.3">
      <c r="A38" s="11"/>
      <c r="B38" s="80" t="s">
        <v>90</v>
      </c>
      <c r="C38" s="86">
        <f t="shared" ref="C38:M38" si="13">IF(C7="","",C16/C7)</f>
        <v>9.1411181390127855E-2</v>
      </c>
      <c r="D38" s="86">
        <f t="shared" si="13"/>
        <v>0.10542061078529416</v>
      </c>
      <c r="E38" s="86">
        <f t="shared" si="13"/>
        <v>8.291075370954093E-2</v>
      </c>
      <c r="F38" s="86">
        <f t="shared" si="13"/>
        <v>7.2559096420334881E-2</v>
      </c>
      <c r="G38" s="86">
        <f t="shared" si="13"/>
        <v>6.3508404220893946E-2</v>
      </c>
      <c r="H38" s="86" t="str">
        <f t="shared" si="13"/>
        <v/>
      </c>
      <c r="I38" s="86" t="str">
        <f t="shared" si="13"/>
        <v/>
      </c>
      <c r="J38" s="86" t="str">
        <f t="shared" si="13"/>
        <v/>
      </c>
      <c r="K38" s="86" t="str">
        <f t="shared" si="13"/>
        <v/>
      </c>
      <c r="L38" s="86" t="str">
        <f t="shared" si="13"/>
        <v/>
      </c>
      <c r="M38" s="86" t="str">
        <f t="shared" si="13"/>
        <v/>
      </c>
      <c r="N38" s="7"/>
    </row>
    <row r="39" spans="1:14" ht="15.75" customHeight="1" x14ac:dyDescent="0.3">
      <c r="A39" s="11"/>
      <c r="B39" s="81" t="s">
        <v>91</v>
      </c>
      <c r="C39" s="88">
        <f t="shared" ref="C39:L39" si="14">IF(D33="","",C7/D33)</f>
        <v>1.576416552162798</v>
      </c>
      <c r="D39" s="88">
        <f t="shared" si="14"/>
        <v>1.5930688757216431</v>
      </c>
      <c r="E39" s="88">
        <f t="shared" si="14"/>
        <v>1.3968914247041122</v>
      </c>
      <c r="F39" s="88">
        <f t="shared" si="14"/>
        <v>1.6143431227676348</v>
      </c>
      <c r="G39" s="88" t="str">
        <f t="shared" si="14"/>
        <v/>
      </c>
      <c r="H39" s="88" t="str">
        <f t="shared" si="14"/>
        <v/>
      </c>
      <c r="I39" s="88" t="str">
        <f t="shared" si="14"/>
        <v/>
      </c>
      <c r="J39" s="88" t="str">
        <f t="shared" si="14"/>
        <v/>
      </c>
      <c r="K39" s="88" t="str">
        <f t="shared" si="14"/>
        <v/>
      </c>
      <c r="L39" s="88" t="str">
        <f t="shared" si="14"/>
        <v/>
      </c>
      <c r="M39" s="89"/>
      <c r="N39" s="7"/>
    </row>
    <row r="40" spans="1:14" ht="15.75" customHeight="1" x14ac:dyDescent="0.3">
      <c r="A40" s="11"/>
      <c r="B40" s="83" t="s">
        <v>92</v>
      </c>
      <c r="C40" s="87">
        <f t="shared" ref="C40:L40" si="15">IF(D33="","",C16/D33)</f>
        <v>0.14410209939615348</v>
      </c>
      <c r="D40" s="87">
        <f t="shared" si="15"/>
        <v>0.1679422939016175</v>
      </c>
      <c r="E40" s="87">
        <f t="shared" si="15"/>
        <v>0.11581732087261239</v>
      </c>
      <c r="F40" s="87">
        <f t="shared" si="15"/>
        <v>0.11713527830040132</v>
      </c>
      <c r="G40" s="87" t="str">
        <f t="shared" si="15"/>
        <v/>
      </c>
      <c r="H40" s="87" t="str">
        <f t="shared" si="15"/>
        <v/>
      </c>
      <c r="I40" s="87" t="str">
        <f t="shared" si="15"/>
        <v/>
      </c>
      <c r="J40" s="87" t="str">
        <f t="shared" si="15"/>
        <v/>
      </c>
      <c r="K40" s="87" t="str">
        <f t="shared" si="15"/>
        <v/>
      </c>
      <c r="L40" s="87" t="str">
        <f t="shared" si="15"/>
        <v/>
      </c>
      <c r="M40" s="90"/>
      <c r="N40" s="7"/>
    </row>
    <row r="41" spans="1:14" ht="15.75" customHeight="1" x14ac:dyDescent="0.3">
      <c r="A41" s="11"/>
      <c r="B41" s="207" t="s">
        <v>93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4" ht="15.75" customHeight="1" x14ac:dyDescent="0.3">
      <c r="A42" s="11"/>
      <c r="B42" s="80" t="s">
        <v>94</v>
      </c>
      <c r="C42" s="86">
        <f t="shared" ref="C42:M42" si="16">IF(C33="","",C23/C25)</f>
        <v>5.9159754138649186E-4</v>
      </c>
      <c r="D42" s="86">
        <f t="shared" si="16"/>
        <v>2.323911631009529E-3</v>
      </c>
      <c r="E42" s="86">
        <f t="shared" si="16"/>
        <v>3.5287925226233311E-5</v>
      </c>
      <c r="F42" s="86">
        <f t="shared" si="16"/>
        <v>0</v>
      </c>
      <c r="G42" s="86">
        <f t="shared" si="16"/>
        <v>0</v>
      </c>
      <c r="H42" s="86" t="str">
        <f t="shared" si="16"/>
        <v/>
      </c>
      <c r="I42" s="86" t="str">
        <f t="shared" si="16"/>
        <v/>
      </c>
      <c r="J42" s="86" t="str">
        <f t="shared" si="16"/>
        <v/>
      </c>
      <c r="K42" s="86" t="str">
        <f t="shared" si="16"/>
        <v/>
      </c>
      <c r="L42" s="86" t="str">
        <f t="shared" si="16"/>
        <v/>
      </c>
      <c r="M42" s="86" t="str">
        <f t="shared" si="16"/>
        <v/>
      </c>
      <c r="N42" s="7"/>
    </row>
    <row r="43" spans="1:14" ht="15.75" customHeight="1" x14ac:dyDescent="0.3">
      <c r="A43" s="11"/>
      <c r="B43" s="81" t="s">
        <v>95</v>
      </c>
      <c r="C43" s="19">
        <f t="shared" ref="C43:M43" si="17">IF(C33="","",C24/C25)</f>
        <v>0.22612758238027433</v>
      </c>
      <c r="D43" s="19">
        <f t="shared" si="17"/>
        <v>4.1239785584773186E-3</v>
      </c>
      <c r="E43" s="19">
        <f t="shared" si="17"/>
        <v>4.8244789374186155E-4</v>
      </c>
      <c r="F43" s="19">
        <f t="shared" si="17"/>
        <v>0</v>
      </c>
      <c r="G43" s="19">
        <f t="shared" si="17"/>
        <v>0</v>
      </c>
      <c r="H43" s="19" t="str">
        <f t="shared" si="17"/>
        <v/>
      </c>
      <c r="I43" s="19" t="str">
        <f t="shared" si="17"/>
        <v/>
      </c>
      <c r="J43" s="19" t="str">
        <f t="shared" si="17"/>
        <v/>
      </c>
      <c r="K43" s="19" t="str">
        <f t="shared" si="17"/>
        <v/>
      </c>
      <c r="L43" s="19" t="str">
        <f t="shared" si="17"/>
        <v/>
      </c>
      <c r="M43" s="19" t="str">
        <f t="shared" si="17"/>
        <v/>
      </c>
      <c r="N43" s="7"/>
    </row>
    <row r="44" spans="1:14" ht="15.75" customHeight="1" x14ac:dyDescent="0.3">
      <c r="A44" s="11"/>
      <c r="B44" s="81" t="s">
        <v>96</v>
      </c>
      <c r="C44" s="91">
        <f t="shared" ref="C44:M44" si="18">IF(C33="","",IF(C24&lt;=0,"-",C14/C24))</f>
        <v>0.52798729877021267</v>
      </c>
      <c r="D44" s="91">
        <f t="shared" si="18"/>
        <v>29.663667986086121</v>
      </c>
      <c r="E44" s="91">
        <f t="shared" si="18"/>
        <v>190.59017308766053</v>
      </c>
      <c r="F44" s="91" t="str">
        <f t="shared" si="18"/>
        <v>-</v>
      </c>
      <c r="G44" s="91" t="str">
        <f t="shared" si="18"/>
        <v>-</v>
      </c>
      <c r="H44" s="91" t="str">
        <f t="shared" si="18"/>
        <v/>
      </c>
      <c r="I44" s="91" t="str">
        <f t="shared" si="18"/>
        <v/>
      </c>
      <c r="J44" s="91" t="str">
        <f t="shared" si="18"/>
        <v/>
      </c>
      <c r="K44" s="91" t="str">
        <f t="shared" si="18"/>
        <v/>
      </c>
      <c r="L44" s="91" t="str">
        <f t="shared" si="18"/>
        <v/>
      </c>
      <c r="M44" s="91" t="str">
        <f t="shared" si="18"/>
        <v/>
      </c>
      <c r="N44" s="7"/>
    </row>
    <row r="45" spans="1:14" ht="15.75" customHeight="1" x14ac:dyDescent="0.3">
      <c r="A45" s="11"/>
      <c r="B45" s="81" t="s">
        <v>97</v>
      </c>
      <c r="C45" s="91">
        <f t="shared" ref="C45:M45" si="19">IF(C31="","",IF(C17&lt;=0,"-",C17/C16))</f>
        <v>1.0327472846173706E-3</v>
      </c>
      <c r="D45" s="91">
        <f t="shared" si="19"/>
        <v>3.127030210885839E-4</v>
      </c>
      <c r="E45" s="91">
        <f t="shared" si="19"/>
        <v>2.4998999063514059E-4</v>
      </c>
      <c r="F45" s="91" t="str">
        <f t="shared" si="19"/>
        <v>-</v>
      </c>
      <c r="G45" s="91" t="str">
        <f t="shared" si="19"/>
        <v/>
      </c>
      <c r="H45" s="91" t="str">
        <f t="shared" si="19"/>
        <v/>
      </c>
      <c r="I45" s="91" t="str">
        <f t="shared" si="19"/>
        <v/>
      </c>
      <c r="J45" s="91" t="str">
        <f t="shared" si="19"/>
        <v/>
      </c>
      <c r="K45" s="91" t="str">
        <f t="shared" si="19"/>
        <v/>
      </c>
      <c r="L45" s="91" t="str">
        <f t="shared" si="19"/>
        <v/>
      </c>
      <c r="M45" s="91" t="str">
        <f t="shared" si="19"/>
        <v/>
      </c>
      <c r="N45" s="7"/>
    </row>
    <row r="46" spans="1:14" ht="15.75" customHeight="1" x14ac:dyDescent="0.3">
      <c r="A46" s="11"/>
      <c r="B46" s="83" t="s">
        <v>98</v>
      </c>
      <c r="C46" s="92">
        <f t="shared" ref="C46:M46" si="20">IF(C33="","",C20/C21)</f>
        <v>3.0074262845652733</v>
      </c>
      <c r="D46" s="92">
        <f t="shared" si="20"/>
        <v>3.0944307449985029</v>
      </c>
      <c r="E46" s="92">
        <f t="shared" si="20"/>
        <v>3.4859449249150689</v>
      </c>
      <c r="F46" s="92">
        <f t="shared" si="20"/>
        <v>3.6713486815660423</v>
      </c>
      <c r="G46" s="92">
        <f t="shared" si="20"/>
        <v>3.4173940542483323</v>
      </c>
      <c r="H46" s="92" t="str">
        <f t="shared" si="20"/>
        <v/>
      </c>
      <c r="I46" s="92" t="str">
        <f t="shared" si="20"/>
        <v/>
      </c>
      <c r="J46" s="92" t="str">
        <f t="shared" si="20"/>
        <v/>
      </c>
      <c r="K46" s="92" t="str">
        <f t="shared" si="20"/>
        <v/>
      </c>
      <c r="L46" s="92" t="str">
        <f t="shared" si="20"/>
        <v/>
      </c>
      <c r="M46" s="92" t="str">
        <f t="shared" si="20"/>
        <v/>
      </c>
      <c r="N46" s="7"/>
    </row>
    <row r="47" spans="1:14" ht="15.75" customHeight="1" x14ac:dyDescent="0.3">
      <c r="A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4" ht="15.75" customHeight="1" x14ac:dyDescent="0.3">
      <c r="A48" s="11"/>
      <c r="B48" s="29" t="s">
        <v>99</v>
      </c>
      <c r="C48" s="93"/>
      <c r="D48" s="93"/>
      <c r="E48" s="93"/>
      <c r="F48" s="93"/>
    </row>
    <row r="49" spans="1:6" ht="15.75" customHeight="1" x14ac:dyDescent="0.3">
      <c r="A49" s="11"/>
      <c r="B49" s="7" t="s">
        <v>100</v>
      </c>
      <c r="C49" s="7"/>
      <c r="D49" s="317">
        <v>6.5699999999999995E-2</v>
      </c>
      <c r="E49" s="274"/>
      <c r="F49" s="7"/>
    </row>
    <row r="50" spans="1:6" ht="15" customHeight="1" x14ac:dyDescent="0.3">
      <c r="A50" s="11"/>
      <c r="B50" s="94" t="s">
        <v>101</v>
      </c>
      <c r="C50" s="7"/>
      <c r="D50" s="305" t="s">
        <v>102</v>
      </c>
      <c r="E50" s="274"/>
      <c r="F50" s="7"/>
    </row>
    <row r="51" spans="1:6" ht="15" customHeight="1" x14ac:dyDescent="0.3">
      <c r="A51" s="11"/>
      <c r="B51" s="94"/>
      <c r="D51" s="31"/>
      <c r="E51" s="31"/>
    </row>
    <row r="52" spans="1:6" ht="15.75" customHeight="1" x14ac:dyDescent="0.3">
      <c r="A52" s="11"/>
      <c r="B52" s="95" t="s">
        <v>103</v>
      </c>
      <c r="C52" s="96"/>
      <c r="D52" s="314">
        <v>5</v>
      </c>
      <c r="E52" s="315"/>
      <c r="F52" s="97"/>
    </row>
    <row r="53" spans="1:6" ht="15.75" customHeight="1" x14ac:dyDescent="0.3">
      <c r="A53" s="11"/>
      <c r="B53" s="98" t="s">
        <v>104</v>
      </c>
      <c r="C53" s="99" t="s">
        <v>105</v>
      </c>
      <c r="D53" s="316" t="s">
        <v>106</v>
      </c>
      <c r="E53" s="269"/>
      <c r="F53" s="100" t="s">
        <v>107</v>
      </c>
    </row>
    <row r="54" spans="1:6" ht="15.75" customHeight="1" x14ac:dyDescent="0.3">
      <c r="A54" s="11"/>
      <c r="B54" s="101" t="str">
        <f>C6</f>
        <v>FY 2021</v>
      </c>
      <c r="C54" s="102"/>
      <c r="D54" s="103">
        <f>1</f>
        <v>1</v>
      </c>
      <c r="E54" s="104">
        <f t="shared" ref="E54:E64" si="21">C54*D54</f>
        <v>0</v>
      </c>
      <c r="F54" s="105">
        <v>0</v>
      </c>
    </row>
    <row r="55" spans="1:6" ht="15.75" customHeight="1" x14ac:dyDescent="0.3">
      <c r="A55" s="11"/>
      <c r="B55" s="106">
        <f>IF(D7="","",-1)</f>
        <v>-1</v>
      </c>
      <c r="C55" s="102"/>
      <c r="D55" s="103">
        <f t="shared" ref="D55:D64" si="22">IF(B55&lt;0,(D$52+B55)/D$52,0)</f>
        <v>0.8</v>
      </c>
      <c r="E55" s="104">
        <f t="shared" si="21"/>
        <v>0</v>
      </c>
      <c r="F55" s="105">
        <f t="shared" ref="F55:F64" si="23">IF(B55&lt;0,C55/$D$52,0)</f>
        <v>0</v>
      </c>
    </row>
    <row r="56" spans="1:6" ht="15.75" customHeight="1" x14ac:dyDescent="0.3">
      <c r="A56" s="11"/>
      <c r="B56" s="106">
        <f t="shared" ref="B56:B64" si="24">IF((0-B55)&lt;$D$52,IF(B55&gt;-1, ,B55-1), )</f>
        <v>-2</v>
      </c>
      <c r="C56" s="102"/>
      <c r="D56" s="103">
        <f t="shared" si="22"/>
        <v>0.6</v>
      </c>
      <c r="E56" s="104">
        <f t="shared" si="21"/>
        <v>0</v>
      </c>
      <c r="F56" s="105">
        <f t="shared" si="23"/>
        <v>0</v>
      </c>
    </row>
    <row r="57" spans="1:6" ht="15.75" customHeight="1" x14ac:dyDescent="0.3">
      <c r="A57" s="11"/>
      <c r="B57" s="106">
        <f t="shared" si="24"/>
        <v>-3</v>
      </c>
      <c r="C57" s="102"/>
      <c r="D57" s="103">
        <f t="shared" si="22"/>
        <v>0.4</v>
      </c>
      <c r="E57" s="104">
        <f t="shared" si="21"/>
        <v>0</v>
      </c>
      <c r="F57" s="105">
        <f t="shared" si="23"/>
        <v>0</v>
      </c>
    </row>
    <row r="58" spans="1:6" ht="15.75" customHeight="1" x14ac:dyDescent="0.3">
      <c r="A58" s="11"/>
      <c r="B58" s="106">
        <f t="shared" si="24"/>
        <v>-4</v>
      </c>
      <c r="C58" s="102"/>
      <c r="D58" s="103">
        <f t="shared" si="22"/>
        <v>0.2</v>
      </c>
      <c r="E58" s="104">
        <f t="shared" si="21"/>
        <v>0</v>
      </c>
      <c r="F58" s="105">
        <f t="shared" si="23"/>
        <v>0</v>
      </c>
    </row>
    <row r="59" spans="1:6" ht="15.75" customHeight="1" x14ac:dyDescent="0.3">
      <c r="A59" s="11"/>
      <c r="B59" s="106">
        <f t="shared" si="24"/>
        <v>-5</v>
      </c>
      <c r="C59" s="102"/>
      <c r="D59" s="103">
        <f t="shared" si="22"/>
        <v>0</v>
      </c>
      <c r="E59" s="104">
        <f t="shared" si="21"/>
        <v>0</v>
      </c>
      <c r="F59" s="105">
        <f t="shared" si="23"/>
        <v>0</v>
      </c>
    </row>
    <row r="60" spans="1:6" ht="15.75" customHeight="1" x14ac:dyDescent="0.3">
      <c r="A60" s="11"/>
      <c r="B60" s="106">
        <f t="shared" si="24"/>
        <v>0</v>
      </c>
      <c r="C60" s="102"/>
      <c r="D60" s="103">
        <f t="shared" si="22"/>
        <v>0</v>
      </c>
      <c r="E60" s="104">
        <f t="shared" si="21"/>
        <v>0</v>
      </c>
      <c r="F60" s="105">
        <f t="shared" si="23"/>
        <v>0</v>
      </c>
    </row>
    <row r="61" spans="1:6" ht="15.75" customHeight="1" x14ac:dyDescent="0.3">
      <c r="A61" s="11"/>
      <c r="B61" s="106">
        <f t="shared" si="24"/>
        <v>0</v>
      </c>
      <c r="C61" s="102"/>
      <c r="D61" s="103">
        <f t="shared" si="22"/>
        <v>0</v>
      </c>
      <c r="E61" s="104">
        <f t="shared" si="21"/>
        <v>0</v>
      </c>
      <c r="F61" s="105">
        <f t="shared" si="23"/>
        <v>0</v>
      </c>
    </row>
    <row r="62" spans="1:6" ht="15.75" customHeight="1" x14ac:dyDescent="0.3">
      <c r="A62" s="11"/>
      <c r="B62" s="106">
        <f t="shared" si="24"/>
        <v>0</v>
      </c>
      <c r="C62" s="102"/>
      <c r="D62" s="103">
        <f t="shared" si="22"/>
        <v>0</v>
      </c>
      <c r="E62" s="104">
        <f t="shared" si="21"/>
        <v>0</v>
      </c>
      <c r="F62" s="105">
        <f t="shared" si="23"/>
        <v>0</v>
      </c>
    </row>
    <row r="63" spans="1:6" ht="15.75" customHeight="1" x14ac:dyDescent="0.3">
      <c r="A63" s="11"/>
      <c r="B63" s="106">
        <f t="shared" si="24"/>
        <v>0</v>
      </c>
      <c r="C63" s="102"/>
      <c r="D63" s="103">
        <f t="shared" si="22"/>
        <v>0</v>
      </c>
      <c r="E63" s="104">
        <f t="shared" si="21"/>
        <v>0</v>
      </c>
      <c r="F63" s="105">
        <f t="shared" si="23"/>
        <v>0</v>
      </c>
    </row>
    <row r="64" spans="1:6" ht="15.75" customHeight="1" x14ac:dyDescent="0.3">
      <c r="A64" s="11"/>
      <c r="B64" s="106">
        <f t="shared" si="24"/>
        <v>0</v>
      </c>
      <c r="C64" s="102"/>
      <c r="D64" s="103">
        <f t="shared" si="22"/>
        <v>0</v>
      </c>
      <c r="E64" s="104">
        <f t="shared" si="21"/>
        <v>0</v>
      </c>
      <c r="F64" s="105">
        <f t="shared" si="23"/>
        <v>0</v>
      </c>
    </row>
    <row r="65" spans="1:6" ht="15.75" customHeight="1" x14ac:dyDescent="0.3">
      <c r="A65" s="11"/>
      <c r="B65" s="107" t="s">
        <v>108</v>
      </c>
      <c r="C65" s="94"/>
      <c r="D65" s="94"/>
      <c r="E65" s="104">
        <f>SUM(E54:E64)</f>
        <v>0</v>
      </c>
      <c r="F65" s="108"/>
    </row>
    <row r="66" spans="1:6" ht="15.75" customHeight="1" x14ac:dyDescent="0.3">
      <c r="A66" s="11"/>
      <c r="B66" s="107" t="s">
        <v>109</v>
      </c>
      <c r="C66" s="94"/>
      <c r="D66" s="94"/>
      <c r="E66" s="94"/>
      <c r="F66" s="105">
        <f>SUM(F55:F64)</f>
        <v>0</v>
      </c>
    </row>
    <row r="67" spans="1:6" ht="15.75" customHeight="1" x14ac:dyDescent="0.3">
      <c r="A67" s="11"/>
      <c r="B67" s="107"/>
      <c r="C67" s="94"/>
      <c r="D67" s="94"/>
      <c r="E67" s="94"/>
      <c r="F67" s="108"/>
    </row>
    <row r="68" spans="1:6" ht="15.75" customHeight="1" x14ac:dyDescent="0.3">
      <c r="A68" s="11"/>
      <c r="B68" s="109"/>
      <c r="C68" s="110" t="s">
        <v>110</v>
      </c>
      <c r="D68" s="110" t="s">
        <v>111</v>
      </c>
      <c r="E68" s="111" t="s">
        <v>112</v>
      </c>
      <c r="F68" s="112" t="s">
        <v>113</v>
      </c>
    </row>
    <row r="69" spans="1:6" ht="15.75" customHeight="1" x14ac:dyDescent="0.3">
      <c r="A69" s="11"/>
      <c r="B69" s="107" t="s">
        <v>114</v>
      </c>
      <c r="C69" s="113">
        <f>C14</f>
        <v>471235</v>
      </c>
      <c r="D69" s="113">
        <f>C69+C54-F66</f>
        <v>471235</v>
      </c>
      <c r="E69" s="94" t="s">
        <v>115</v>
      </c>
      <c r="F69" s="108" t="s">
        <v>116</v>
      </c>
    </row>
    <row r="70" spans="1:6" ht="15.75" customHeight="1" x14ac:dyDescent="0.3">
      <c r="A70" s="11"/>
      <c r="B70" s="107" t="s">
        <v>117</v>
      </c>
      <c r="C70" s="114">
        <f>C69/$C$7</f>
        <v>0.12188157518683715</v>
      </c>
      <c r="D70" s="114">
        <f>D69/$C$7</f>
        <v>0.12188157518683715</v>
      </c>
      <c r="E70" s="94" t="s">
        <v>118</v>
      </c>
      <c r="F70" s="108" t="s">
        <v>119</v>
      </c>
    </row>
    <row r="71" spans="1:6" ht="15.75" customHeight="1" x14ac:dyDescent="0.3">
      <c r="A71" s="11"/>
      <c r="B71" s="107" t="s">
        <v>120</v>
      </c>
      <c r="C71" s="113">
        <f>C31</f>
        <v>153636.96160000001</v>
      </c>
      <c r="D71" s="113">
        <f>C71+E65-F66</f>
        <v>153636.96160000001</v>
      </c>
      <c r="E71" s="94" t="s">
        <v>121</v>
      </c>
      <c r="F71" s="108" t="s">
        <v>122</v>
      </c>
    </row>
    <row r="72" spans="1:6" ht="15.75" customHeight="1" x14ac:dyDescent="0.3">
      <c r="A72" s="11"/>
      <c r="B72" s="107" t="s">
        <v>123</v>
      </c>
      <c r="C72" s="113">
        <f>C16</f>
        <v>353426.25</v>
      </c>
      <c r="D72" s="113">
        <f>C72+C55</f>
        <v>353426.25</v>
      </c>
      <c r="E72" s="94" t="s">
        <v>124</v>
      </c>
      <c r="F72" s="108" t="s">
        <v>125</v>
      </c>
    </row>
    <row r="73" spans="1:6" ht="15.75" customHeight="1" x14ac:dyDescent="0.3">
      <c r="A73" s="11"/>
      <c r="B73" s="107" t="s">
        <v>126</v>
      </c>
      <c r="C73" s="113">
        <f>F3</f>
        <v>303821</v>
      </c>
      <c r="D73" s="113">
        <f>C73+C54-F66</f>
        <v>303821</v>
      </c>
      <c r="E73" s="94" t="s">
        <v>127</v>
      </c>
      <c r="F73" s="108" t="s">
        <v>125</v>
      </c>
    </row>
    <row r="74" spans="1:6" ht="15.75" customHeight="1" x14ac:dyDescent="0.3">
      <c r="A74" s="11"/>
      <c r="B74" s="115" t="s">
        <v>128</v>
      </c>
      <c r="C74" s="116">
        <f>C33</f>
        <v>3179765</v>
      </c>
      <c r="D74" s="116">
        <f>C74+E65</f>
        <v>3179765</v>
      </c>
      <c r="E74" s="10" t="s">
        <v>129</v>
      </c>
      <c r="F74" s="117" t="s">
        <v>125</v>
      </c>
    </row>
    <row r="75" spans="1:6" ht="15.75" customHeight="1" x14ac:dyDescent="0.3">
      <c r="A75" s="11"/>
      <c r="B75" s="94"/>
      <c r="C75" s="118"/>
      <c r="D75" s="118"/>
    </row>
    <row r="76" spans="1:6" ht="15.75" customHeight="1" x14ac:dyDescent="0.3">
      <c r="A76" s="11"/>
      <c r="B76" s="94"/>
      <c r="C76" s="118"/>
      <c r="D76" s="118"/>
    </row>
    <row r="77" spans="1:6" ht="15.75" customHeight="1" x14ac:dyDescent="0.3">
      <c r="A77" s="11"/>
      <c r="B77" s="94"/>
      <c r="C77" s="118"/>
      <c r="D77" s="118"/>
    </row>
    <row r="78" spans="1:6" ht="15.75" customHeight="1" x14ac:dyDescent="0.3">
      <c r="A78" s="11"/>
      <c r="B78" s="94"/>
      <c r="C78" s="119"/>
      <c r="D78" s="119"/>
    </row>
    <row r="79" spans="1:6" ht="15.75" customHeight="1" x14ac:dyDescent="0.3">
      <c r="A79" s="11"/>
      <c r="B79" s="94"/>
      <c r="C79" s="118"/>
      <c r="D79" s="118"/>
    </row>
    <row r="80" spans="1:6" ht="15.75" customHeight="1" x14ac:dyDescent="0.3">
      <c r="A80" s="11"/>
      <c r="B80" s="94"/>
      <c r="C80" s="119"/>
      <c r="D80" s="119"/>
    </row>
    <row r="81" spans="1:1" ht="15.75" customHeight="1" x14ac:dyDescent="0.3">
      <c r="A81" s="11"/>
    </row>
    <row r="82" spans="1:1" ht="15.75" customHeight="1" x14ac:dyDescent="0.3">
      <c r="A82" s="11"/>
    </row>
    <row r="83" spans="1:1" ht="15.75" customHeight="1" x14ac:dyDescent="0.3">
      <c r="A83" s="11"/>
    </row>
    <row r="84" spans="1:1" ht="15.75" customHeight="1" x14ac:dyDescent="0.3">
      <c r="A84" s="11"/>
    </row>
    <row r="85" spans="1:1" ht="15.75" customHeight="1" x14ac:dyDescent="0.3">
      <c r="A85" s="11"/>
    </row>
    <row r="86" spans="1:1" ht="15.75" customHeight="1" x14ac:dyDescent="0.3">
      <c r="A86" s="11"/>
    </row>
    <row r="87" spans="1:1" ht="15.75" customHeight="1" x14ac:dyDescent="0.3">
      <c r="A87" s="11"/>
    </row>
    <row r="88" spans="1:1" ht="15.75" customHeight="1" x14ac:dyDescent="0.3">
      <c r="A88" s="11"/>
    </row>
    <row r="89" spans="1:1" ht="15.75" customHeight="1" x14ac:dyDescent="0.3">
      <c r="A89" s="11"/>
    </row>
    <row r="90" spans="1:1" ht="15.75" customHeight="1" x14ac:dyDescent="0.3">
      <c r="A90" s="11"/>
    </row>
    <row r="91" spans="1:1" ht="15.75" customHeight="1" x14ac:dyDescent="0.3">
      <c r="A91" s="11"/>
    </row>
    <row r="92" spans="1:1" ht="15.75" customHeight="1" x14ac:dyDescent="0.3">
      <c r="A92" s="11"/>
    </row>
    <row r="93" spans="1:1" ht="15.75" customHeight="1" x14ac:dyDescent="0.3">
      <c r="A93" s="11"/>
    </row>
    <row r="94" spans="1:1" ht="15.75" customHeight="1" x14ac:dyDescent="0.3">
      <c r="A94" s="11"/>
    </row>
    <row r="95" spans="1:1" ht="15.75" customHeight="1" x14ac:dyDescent="0.3">
      <c r="A95" s="11"/>
    </row>
    <row r="96" spans="1:1" ht="15.75" customHeight="1" x14ac:dyDescent="0.3">
      <c r="A96" s="11"/>
    </row>
    <row r="97" spans="1:1" ht="15.75" customHeight="1" x14ac:dyDescent="0.3">
      <c r="A97" s="11"/>
    </row>
    <row r="98" spans="1:1" ht="15.75" customHeight="1" x14ac:dyDescent="0.3">
      <c r="A98" s="11"/>
    </row>
    <row r="99" spans="1:1" ht="15.75" customHeight="1" x14ac:dyDescent="0.3">
      <c r="A99" s="11"/>
    </row>
    <row r="100" spans="1:1" ht="15.75" customHeight="1" x14ac:dyDescent="0.3">
      <c r="A100" s="11"/>
    </row>
    <row r="101" spans="1:1" ht="15.75" customHeight="1" x14ac:dyDescent="0.3">
      <c r="A101" s="11"/>
    </row>
    <row r="102" spans="1:1" ht="15.75" customHeight="1" x14ac:dyDescent="0.3">
      <c r="A102" s="11"/>
    </row>
    <row r="103" spans="1:1" ht="15.75" customHeight="1" x14ac:dyDescent="0.3">
      <c r="A103" s="11"/>
    </row>
    <row r="104" spans="1:1" ht="15.75" customHeight="1" x14ac:dyDescent="0.3">
      <c r="A104" s="11"/>
    </row>
    <row r="105" spans="1:1" ht="15.75" customHeight="1" x14ac:dyDescent="0.3">
      <c r="A105" s="11"/>
    </row>
    <row r="106" spans="1:1" ht="15.75" customHeight="1" x14ac:dyDescent="0.3">
      <c r="A106" s="11"/>
    </row>
    <row r="107" spans="1:1" ht="15.75" customHeight="1" x14ac:dyDescent="0.3">
      <c r="A107" s="11"/>
    </row>
    <row r="108" spans="1:1" ht="15.75" customHeight="1" x14ac:dyDescent="0.3">
      <c r="A108" s="11"/>
    </row>
    <row r="109" spans="1:1" ht="15.75" customHeight="1" x14ac:dyDescent="0.3">
      <c r="A109" s="11"/>
    </row>
    <row r="110" spans="1:1" ht="15.75" customHeight="1" x14ac:dyDescent="0.3">
      <c r="A110" s="11"/>
    </row>
    <row r="111" spans="1:1" ht="15.75" customHeight="1" x14ac:dyDescent="0.3">
      <c r="A111" s="11"/>
    </row>
    <row r="112" spans="1:1" ht="15.75" customHeight="1" x14ac:dyDescent="0.3">
      <c r="A112" s="11"/>
    </row>
    <row r="113" spans="1:1" ht="15.75" customHeight="1" x14ac:dyDescent="0.3">
      <c r="A113" s="11"/>
    </row>
    <row r="114" spans="1:1" ht="15.75" customHeight="1" x14ac:dyDescent="0.3">
      <c r="A114" s="11"/>
    </row>
    <row r="115" spans="1:1" ht="15.75" customHeight="1" x14ac:dyDescent="0.3">
      <c r="A115" s="11"/>
    </row>
    <row r="116" spans="1:1" ht="15.75" customHeight="1" x14ac:dyDescent="0.3">
      <c r="A116" s="11"/>
    </row>
    <row r="117" spans="1:1" ht="15.75" customHeight="1" x14ac:dyDescent="0.3">
      <c r="A117" s="11"/>
    </row>
    <row r="118" spans="1:1" ht="15.75" customHeight="1" x14ac:dyDescent="0.3">
      <c r="A118" s="11"/>
    </row>
    <row r="119" spans="1:1" ht="15.75" customHeight="1" x14ac:dyDescent="0.3">
      <c r="A119" s="11"/>
    </row>
    <row r="120" spans="1:1" ht="15.75" customHeight="1" x14ac:dyDescent="0.3">
      <c r="A120" s="11"/>
    </row>
    <row r="121" spans="1:1" ht="15.75" customHeight="1" x14ac:dyDescent="0.3">
      <c r="A121" s="11"/>
    </row>
    <row r="122" spans="1:1" ht="15.75" customHeight="1" x14ac:dyDescent="0.3">
      <c r="A122" s="11"/>
    </row>
    <row r="123" spans="1:1" ht="15.75" customHeight="1" x14ac:dyDescent="0.3">
      <c r="A123" s="11"/>
    </row>
    <row r="124" spans="1:1" ht="15.75" customHeight="1" x14ac:dyDescent="0.3">
      <c r="A124" s="11"/>
    </row>
    <row r="125" spans="1:1" ht="15.75" customHeight="1" x14ac:dyDescent="0.3">
      <c r="A125" s="11"/>
    </row>
    <row r="126" spans="1:1" ht="15.75" customHeight="1" x14ac:dyDescent="0.3">
      <c r="A126" s="11"/>
    </row>
    <row r="127" spans="1:1" ht="15.75" customHeight="1" x14ac:dyDescent="0.3">
      <c r="A127" s="11"/>
    </row>
    <row r="128" spans="1:1" ht="15.75" customHeight="1" x14ac:dyDescent="0.3">
      <c r="A128" s="11"/>
    </row>
    <row r="129" spans="1:1" ht="15.75" customHeight="1" x14ac:dyDescent="0.3">
      <c r="A129" s="11"/>
    </row>
    <row r="130" spans="1:1" ht="15.75" customHeight="1" x14ac:dyDescent="0.3">
      <c r="A130" s="11"/>
    </row>
    <row r="131" spans="1:1" ht="15.75" customHeight="1" x14ac:dyDescent="0.3">
      <c r="A131" s="11"/>
    </row>
    <row r="132" spans="1:1" ht="15.75" customHeight="1" x14ac:dyDescent="0.3">
      <c r="A132" s="11"/>
    </row>
    <row r="133" spans="1:1" ht="15.75" customHeight="1" x14ac:dyDescent="0.3">
      <c r="A133" s="11"/>
    </row>
    <row r="134" spans="1:1" ht="15.75" customHeight="1" x14ac:dyDescent="0.3">
      <c r="A134" s="11"/>
    </row>
    <row r="135" spans="1:1" ht="15.75" customHeight="1" x14ac:dyDescent="0.3">
      <c r="A135" s="11"/>
    </row>
    <row r="136" spans="1:1" ht="15.75" customHeight="1" x14ac:dyDescent="0.3">
      <c r="A136" s="11"/>
    </row>
    <row r="137" spans="1:1" ht="15.75" customHeight="1" x14ac:dyDescent="0.3">
      <c r="A137" s="11"/>
    </row>
    <row r="138" spans="1:1" ht="15.75" customHeight="1" x14ac:dyDescent="0.3">
      <c r="A138" s="11"/>
    </row>
    <row r="139" spans="1:1" ht="15.75" customHeight="1" x14ac:dyDescent="0.3">
      <c r="A139" s="11"/>
    </row>
    <row r="140" spans="1:1" ht="15.75" customHeight="1" x14ac:dyDescent="0.3">
      <c r="A140" s="11"/>
    </row>
    <row r="141" spans="1:1" ht="15.75" customHeight="1" x14ac:dyDescent="0.3">
      <c r="A141" s="11"/>
    </row>
    <row r="142" spans="1:1" ht="15.75" customHeight="1" x14ac:dyDescent="0.3">
      <c r="A142" s="11"/>
    </row>
    <row r="143" spans="1:1" ht="15.75" customHeight="1" x14ac:dyDescent="0.3">
      <c r="A143" s="11"/>
    </row>
    <row r="144" spans="1:1" ht="15.75" customHeight="1" x14ac:dyDescent="0.3">
      <c r="A144" s="11"/>
    </row>
    <row r="145" spans="1:1" ht="15.75" customHeight="1" x14ac:dyDescent="0.3">
      <c r="A145" s="11"/>
    </row>
    <row r="146" spans="1:1" ht="15.75" customHeight="1" x14ac:dyDescent="0.3">
      <c r="A146" s="11"/>
    </row>
    <row r="147" spans="1:1" ht="15.75" customHeight="1" x14ac:dyDescent="0.3">
      <c r="A147" s="11"/>
    </row>
    <row r="148" spans="1:1" ht="15.75" customHeight="1" x14ac:dyDescent="0.3">
      <c r="A148" s="11"/>
    </row>
    <row r="149" spans="1:1" ht="15.75" customHeight="1" x14ac:dyDescent="0.3">
      <c r="A149" s="11"/>
    </row>
    <row r="150" spans="1:1" ht="15.75" customHeight="1" x14ac:dyDescent="0.3">
      <c r="A150" s="11"/>
    </row>
    <row r="151" spans="1:1" ht="15.75" customHeight="1" x14ac:dyDescent="0.3">
      <c r="A151" s="11"/>
    </row>
    <row r="152" spans="1:1" ht="15.75" customHeight="1" x14ac:dyDescent="0.3">
      <c r="A152" s="11"/>
    </row>
    <row r="153" spans="1:1" ht="15.75" customHeight="1" x14ac:dyDescent="0.3">
      <c r="A153" s="11"/>
    </row>
    <row r="154" spans="1:1" ht="15.75" customHeight="1" x14ac:dyDescent="0.3">
      <c r="A154" s="11"/>
    </row>
    <row r="155" spans="1:1" ht="15.75" customHeight="1" x14ac:dyDescent="0.3">
      <c r="A155" s="11"/>
    </row>
    <row r="156" spans="1:1" ht="15.75" customHeight="1" x14ac:dyDescent="0.3">
      <c r="A156" s="11"/>
    </row>
    <row r="157" spans="1:1" ht="15.75" customHeight="1" x14ac:dyDescent="0.3">
      <c r="A157" s="11"/>
    </row>
    <row r="158" spans="1:1" ht="15.75" customHeight="1" x14ac:dyDescent="0.3">
      <c r="A158" s="11"/>
    </row>
    <row r="159" spans="1:1" ht="15.75" customHeight="1" x14ac:dyDescent="0.3">
      <c r="A159" s="11"/>
    </row>
    <row r="160" spans="1:1" ht="15.75" customHeight="1" x14ac:dyDescent="0.3">
      <c r="A160" s="11"/>
    </row>
    <row r="161" spans="1:1" ht="15.75" customHeight="1" x14ac:dyDescent="0.3">
      <c r="A161" s="11"/>
    </row>
    <row r="162" spans="1:1" ht="15.75" customHeight="1" x14ac:dyDescent="0.3">
      <c r="A162" s="11"/>
    </row>
    <row r="163" spans="1:1" ht="15.75" customHeight="1" x14ac:dyDescent="0.3">
      <c r="A163" s="11"/>
    </row>
    <row r="164" spans="1:1" ht="15.75" customHeight="1" x14ac:dyDescent="0.3">
      <c r="A164" s="11"/>
    </row>
    <row r="165" spans="1:1" ht="15.75" customHeight="1" x14ac:dyDescent="0.3">
      <c r="A165" s="11"/>
    </row>
    <row r="166" spans="1:1" ht="15.75" customHeight="1" x14ac:dyDescent="0.3">
      <c r="A166" s="11"/>
    </row>
    <row r="167" spans="1:1" ht="15.75" customHeight="1" x14ac:dyDescent="0.3">
      <c r="A167" s="11"/>
    </row>
    <row r="168" spans="1:1" ht="15.75" customHeight="1" x14ac:dyDescent="0.3">
      <c r="A168" s="11"/>
    </row>
    <row r="169" spans="1:1" ht="15.75" customHeight="1" x14ac:dyDescent="0.3">
      <c r="A169" s="11"/>
    </row>
    <row r="170" spans="1:1" ht="15.75" customHeight="1" x14ac:dyDescent="0.3">
      <c r="A170" s="11"/>
    </row>
    <row r="171" spans="1:1" ht="15.75" customHeight="1" x14ac:dyDescent="0.3">
      <c r="A171" s="11"/>
    </row>
    <row r="172" spans="1:1" ht="15.75" customHeight="1" x14ac:dyDescent="0.3">
      <c r="A172" s="11"/>
    </row>
    <row r="173" spans="1:1" ht="15.75" customHeight="1" x14ac:dyDescent="0.3">
      <c r="A173" s="11"/>
    </row>
    <row r="174" spans="1:1" ht="15.75" customHeight="1" x14ac:dyDescent="0.3">
      <c r="A174" s="11"/>
    </row>
    <row r="175" spans="1:1" ht="15.75" customHeight="1" x14ac:dyDescent="0.3">
      <c r="A175" s="11"/>
    </row>
    <row r="176" spans="1:1" ht="15.75" customHeight="1" x14ac:dyDescent="0.3">
      <c r="A176" s="11"/>
    </row>
    <row r="177" spans="1:1" ht="15.75" customHeight="1" x14ac:dyDescent="0.3">
      <c r="A177" s="11"/>
    </row>
    <row r="178" spans="1:1" ht="15.75" customHeight="1" x14ac:dyDescent="0.3">
      <c r="A178" s="11"/>
    </row>
    <row r="179" spans="1:1" ht="15.75" customHeight="1" x14ac:dyDescent="0.3">
      <c r="A179" s="11"/>
    </row>
    <row r="180" spans="1:1" ht="15.75" customHeight="1" x14ac:dyDescent="0.3">
      <c r="A180" s="11"/>
    </row>
    <row r="181" spans="1:1" ht="15.75" customHeight="1" x14ac:dyDescent="0.3">
      <c r="A181" s="11"/>
    </row>
    <row r="182" spans="1:1" ht="15.75" customHeight="1" x14ac:dyDescent="0.3">
      <c r="A182" s="11"/>
    </row>
    <row r="183" spans="1:1" ht="15.75" customHeight="1" x14ac:dyDescent="0.3">
      <c r="A183" s="11"/>
    </row>
    <row r="184" spans="1:1" ht="15.75" customHeight="1" x14ac:dyDescent="0.3">
      <c r="A184" s="11"/>
    </row>
    <row r="185" spans="1:1" ht="15.75" customHeight="1" x14ac:dyDescent="0.3">
      <c r="A185" s="11"/>
    </row>
    <row r="186" spans="1:1" ht="15.75" customHeight="1" x14ac:dyDescent="0.3">
      <c r="A186" s="11"/>
    </row>
    <row r="187" spans="1:1" ht="15.75" customHeight="1" x14ac:dyDescent="0.3">
      <c r="A187" s="11"/>
    </row>
    <row r="188" spans="1:1" ht="15.75" customHeight="1" x14ac:dyDescent="0.3">
      <c r="A188" s="11"/>
    </row>
    <row r="189" spans="1:1" ht="15.75" customHeight="1" x14ac:dyDescent="0.3">
      <c r="A189" s="11"/>
    </row>
    <row r="190" spans="1:1" ht="15.75" customHeight="1" x14ac:dyDescent="0.3">
      <c r="A190" s="11"/>
    </row>
    <row r="191" spans="1:1" ht="15.75" customHeight="1" x14ac:dyDescent="0.3">
      <c r="A191" s="11"/>
    </row>
    <row r="192" spans="1:1" ht="15.75" customHeight="1" x14ac:dyDescent="0.3">
      <c r="A192" s="11"/>
    </row>
    <row r="193" spans="1:1" ht="15.75" customHeight="1" x14ac:dyDescent="0.3">
      <c r="A193" s="11"/>
    </row>
    <row r="194" spans="1:1" ht="15.75" customHeight="1" x14ac:dyDescent="0.3">
      <c r="A194" s="11"/>
    </row>
    <row r="195" spans="1:1" ht="15.75" customHeight="1" x14ac:dyDescent="0.3">
      <c r="A195" s="11"/>
    </row>
    <row r="196" spans="1:1" ht="15.75" customHeight="1" x14ac:dyDescent="0.3">
      <c r="A196" s="11"/>
    </row>
    <row r="197" spans="1:1" ht="15.75" customHeight="1" x14ac:dyDescent="0.3">
      <c r="A197" s="11"/>
    </row>
    <row r="198" spans="1:1" ht="15.75" customHeight="1" x14ac:dyDescent="0.3">
      <c r="A198" s="11"/>
    </row>
    <row r="199" spans="1:1" ht="15.75" customHeight="1" x14ac:dyDescent="0.3">
      <c r="A199" s="11"/>
    </row>
    <row r="200" spans="1:1" ht="15.75" customHeight="1" x14ac:dyDescent="0.3">
      <c r="A200" s="11"/>
    </row>
    <row r="201" spans="1:1" ht="15.75" customHeight="1" x14ac:dyDescent="0.3">
      <c r="A201" s="11"/>
    </row>
    <row r="202" spans="1:1" ht="15.75" customHeight="1" x14ac:dyDescent="0.3">
      <c r="A202" s="11"/>
    </row>
    <row r="203" spans="1:1" ht="15.75" customHeight="1" x14ac:dyDescent="0.3">
      <c r="A203" s="11"/>
    </row>
    <row r="204" spans="1:1" ht="15.75" customHeight="1" x14ac:dyDescent="0.3">
      <c r="A204" s="11"/>
    </row>
    <row r="205" spans="1:1" ht="15.75" customHeight="1" x14ac:dyDescent="0.3">
      <c r="A205" s="11"/>
    </row>
    <row r="206" spans="1:1" ht="15.75" customHeight="1" x14ac:dyDescent="0.3">
      <c r="A206" s="11"/>
    </row>
    <row r="207" spans="1:1" ht="15.75" customHeight="1" x14ac:dyDescent="0.3">
      <c r="A207" s="11"/>
    </row>
    <row r="208" spans="1:1" ht="15.75" customHeight="1" x14ac:dyDescent="0.3">
      <c r="A208" s="11"/>
    </row>
    <row r="209" spans="1:1" ht="15.75" customHeight="1" x14ac:dyDescent="0.3">
      <c r="A209" s="11"/>
    </row>
    <row r="210" spans="1:1" ht="15.75" customHeight="1" x14ac:dyDescent="0.3">
      <c r="A210" s="11"/>
    </row>
    <row r="211" spans="1:1" ht="15.75" customHeight="1" x14ac:dyDescent="0.3">
      <c r="A211" s="11"/>
    </row>
    <row r="212" spans="1:1" ht="15.75" customHeight="1" x14ac:dyDescent="0.3">
      <c r="A212" s="11"/>
    </row>
    <row r="213" spans="1:1" ht="15.75" customHeight="1" x14ac:dyDescent="0.3">
      <c r="A213" s="11"/>
    </row>
    <row r="214" spans="1:1" ht="15.75" customHeight="1" x14ac:dyDescent="0.3">
      <c r="A214" s="11"/>
    </row>
    <row r="215" spans="1:1" ht="15.75" customHeight="1" x14ac:dyDescent="0.3">
      <c r="A215" s="11"/>
    </row>
    <row r="216" spans="1:1" ht="15.75" customHeight="1" x14ac:dyDescent="0.3">
      <c r="A216" s="11"/>
    </row>
    <row r="217" spans="1:1" ht="15.75" customHeight="1" x14ac:dyDescent="0.3">
      <c r="A217" s="11"/>
    </row>
    <row r="218" spans="1:1" ht="15.75" customHeight="1" x14ac:dyDescent="0.3">
      <c r="A218" s="11"/>
    </row>
    <row r="219" spans="1:1" ht="15.75" customHeight="1" x14ac:dyDescent="0.3">
      <c r="A219" s="11"/>
    </row>
    <row r="220" spans="1:1" ht="15.75" customHeight="1" x14ac:dyDescent="0.3">
      <c r="A220" s="11"/>
    </row>
    <row r="221" spans="1:1" ht="15.75" customHeight="1" x14ac:dyDescent="0.3">
      <c r="A221" s="11"/>
    </row>
    <row r="222" spans="1:1" ht="15.75" customHeight="1" x14ac:dyDescent="0.3">
      <c r="A222" s="11"/>
    </row>
    <row r="223" spans="1:1" ht="15.75" customHeight="1" x14ac:dyDescent="0.3">
      <c r="A223" s="11"/>
    </row>
    <row r="224" spans="1:1" ht="15.75" customHeight="1" x14ac:dyDescent="0.3">
      <c r="A224" s="11"/>
    </row>
    <row r="225" spans="1:1" ht="15.75" customHeight="1" x14ac:dyDescent="0.3">
      <c r="A225" s="11"/>
    </row>
    <row r="226" spans="1:1" ht="15.75" customHeight="1" x14ac:dyDescent="0.3">
      <c r="A226" s="11"/>
    </row>
    <row r="227" spans="1:1" ht="15.75" customHeight="1" x14ac:dyDescent="0.3">
      <c r="A227" s="11"/>
    </row>
    <row r="228" spans="1:1" ht="15.75" customHeight="1" x14ac:dyDescent="0.3">
      <c r="A228" s="11"/>
    </row>
    <row r="229" spans="1:1" ht="15.75" customHeight="1" x14ac:dyDescent="0.3">
      <c r="A229" s="11"/>
    </row>
    <row r="230" spans="1:1" ht="15.75" customHeight="1" x14ac:dyDescent="0.3">
      <c r="A230" s="11"/>
    </row>
    <row r="231" spans="1:1" ht="15.75" customHeight="1" x14ac:dyDescent="0.3">
      <c r="A231" s="11"/>
    </row>
    <row r="232" spans="1:1" ht="15.75" customHeight="1" x14ac:dyDescent="0.3">
      <c r="A232" s="11"/>
    </row>
    <row r="233" spans="1:1" ht="15.75" customHeight="1" x14ac:dyDescent="0.3">
      <c r="A233" s="11"/>
    </row>
    <row r="234" spans="1:1" ht="15.75" customHeight="1" x14ac:dyDescent="0.3">
      <c r="A234" s="11"/>
    </row>
    <row r="235" spans="1:1" ht="15.75" customHeight="1" x14ac:dyDescent="0.3">
      <c r="A235" s="11"/>
    </row>
    <row r="236" spans="1:1" ht="15.75" customHeight="1" x14ac:dyDescent="0.3">
      <c r="A236" s="11"/>
    </row>
    <row r="237" spans="1:1" ht="15.75" customHeight="1" x14ac:dyDescent="0.3">
      <c r="A237" s="11"/>
    </row>
    <row r="238" spans="1:1" ht="15.75" customHeight="1" x14ac:dyDescent="0.3">
      <c r="A238" s="11"/>
    </row>
    <row r="239" spans="1:1" ht="15.75" customHeight="1" x14ac:dyDescent="0.3">
      <c r="A239" s="11"/>
    </row>
    <row r="240" spans="1:1" ht="15.75" customHeight="1" x14ac:dyDescent="0.3">
      <c r="A240" s="11"/>
    </row>
    <row r="241" spans="1:1" ht="15.75" customHeight="1" x14ac:dyDescent="0.3">
      <c r="A241" s="11"/>
    </row>
    <row r="242" spans="1:1" ht="15.75" customHeight="1" x14ac:dyDescent="0.3">
      <c r="A242" s="11"/>
    </row>
    <row r="243" spans="1:1" ht="15.75" customHeight="1" x14ac:dyDescent="0.3">
      <c r="A243" s="11"/>
    </row>
    <row r="244" spans="1:1" ht="15.75" customHeight="1" x14ac:dyDescent="0.3">
      <c r="A244" s="11"/>
    </row>
    <row r="245" spans="1:1" ht="15.75" customHeight="1" x14ac:dyDescent="0.3">
      <c r="A245" s="11"/>
    </row>
    <row r="246" spans="1:1" ht="15.75" customHeight="1" x14ac:dyDescent="0.3">
      <c r="A246" s="11"/>
    </row>
    <row r="247" spans="1:1" ht="15.75" customHeight="1" x14ac:dyDescent="0.3">
      <c r="A247" s="11"/>
    </row>
    <row r="248" spans="1:1" ht="15.75" customHeight="1" x14ac:dyDescent="0.3">
      <c r="A248" s="11"/>
    </row>
    <row r="249" spans="1:1" ht="15.75" customHeight="1" x14ac:dyDescent="0.3">
      <c r="A249" s="11"/>
    </row>
    <row r="250" spans="1:1" ht="15.75" customHeight="1" x14ac:dyDescent="0.3">
      <c r="A250" s="11"/>
    </row>
    <row r="251" spans="1:1" ht="15.75" customHeight="1" x14ac:dyDescent="0.3">
      <c r="A251" s="11"/>
    </row>
    <row r="252" spans="1:1" ht="15.75" customHeight="1" x14ac:dyDescent="0.3">
      <c r="A252" s="11"/>
    </row>
    <row r="253" spans="1:1" ht="15.75" customHeight="1" x14ac:dyDescent="0.3">
      <c r="A253" s="11"/>
    </row>
    <row r="254" spans="1:1" ht="15.75" customHeight="1" x14ac:dyDescent="0.3">
      <c r="A254" s="11"/>
    </row>
    <row r="255" spans="1:1" ht="15.75" customHeight="1" x14ac:dyDescent="0.3">
      <c r="A255" s="11"/>
    </row>
    <row r="256" spans="1:1" ht="15.75" customHeight="1" x14ac:dyDescent="0.3">
      <c r="A256" s="11"/>
    </row>
    <row r="257" spans="1:1" ht="15.75" customHeight="1" x14ac:dyDescent="0.3">
      <c r="A257" s="11"/>
    </row>
    <row r="258" spans="1:1" ht="15.75" customHeight="1" x14ac:dyDescent="0.3">
      <c r="A258" s="11"/>
    </row>
    <row r="259" spans="1:1" ht="15.75" customHeight="1" x14ac:dyDescent="0.3">
      <c r="A259" s="11"/>
    </row>
    <row r="260" spans="1:1" ht="15.75" customHeight="1" x14ac:dyDescent="0.3">
      <c r="A260" s="11"/>
    </row>
    <row r="261" spans="1:1" ht="15.75" customHeight="1" x14ac:dyDescent="0.3">
      <c r="A261" s="11"/>
    </row>
    <row r="262" spans="1:1" ht="15.75" customHeight="1" x14ac:dyDescent="0.3">
      <c r="A262" s="11"/>
    </row>
    <row r="263" spans="1:1" ht="15.75" customHeight="1" x14ac:dyDescent="0.3">
      <c r="A263" s="11"/>
    </row>
    <row r="264" spans="1:1" ht="15.75" customHeight="1" x14ac:dyDescent="0.3">
      <c r="A264" s="11"/>
    </row>
    <row r="265" spans="1:1" ht="15.75" customHeight="1" x14ac:dyDescent="0.3">
      <c r="A265" s="11"/>
    </row>
    <row r="266" spans="1:1" ht="15.75" customHeight="1" x14ac:dyDescent="0.3">
      <c r="A266" s="11"/>
    </row>
    <row r="267" spans="1:1" ht="15.75" customHeight="1" x14ac:dyDescent="0.3">
      <c r="A267" s="11"/>
    </row>
    <row r="268" spans="1:1" ht="15.75" customHeight="1" x14ac:dyDescent="0.3">
      <c r="A268" s="11"/>
    </row>
    <row r="269" spans="1:1" ht="15.75" customHeight="1" x14ac:dyDescent="0.3">
      <c r="A269" s="11"/>
    </row>
    <row r="270" spans="1:1" ht="15.75" customHeight="1" x14ac:dyDescent="0.3">
      <c r="A270" s="11"/>
    </row>
    <row r="271" spans="1:1" ht="15.75" customHeight="1" x14ac:dyDescent="0.3">
      <c r="A271" s="11"/>
    </row>
    <row r="272" spans="1:1" ht="15.75" customHeight="1" x14ac:dyDescent="0.3">
      <c r="A272" s="11"/>
    </row>
    <row r="273" spans="1:1" ht="15.75" customHeight="1" x14ac:dyDescent="0.3">
      <c r="A273" s="11"/>
    </row>
    <row r="274" spans="1:1" ht="15.75" customHeight="1" x14ac:dyDescent="0.3">
      <c r="A274" s="11"/>
    </row>
    <row r="275" spans="1:1" ht="15.75" customHeight="1" x14ac:dyDescent="0.3">
      <c r="A275" s="11"/>
    </row>
    <row r="276" spans="1:1" ht="15.75" customHeight="1" x14ac:dyDescent="0.3">
      <c r="A276" s="11"/>
    </row>
    <row r="277" spans="1:1" ht="15.75" customHeight="1" x14ac:dyDescent="0.3">
      <c r="A277" s="11"/>
    </row>
    <row r="278" spans="1:1" ht="15.75" customHeight="1" x14ac:dyDescent="0.3">
      <c r="A278" s="11"/>
    </row>
    <row r="279" spans="1:1" ht="15.75" customHeight="1" x14ac:dyDescent="0.3">
      <c r="A279" s="11"/>
    </row>
    <row r="280" spans="1:1" ht="15.75" customHeight="1" x14ac:dyDescent="0.3">
      <c r="A280" s="11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howInputMessage="1" showErrorMessage="1" sqref="D52" xr:uid="{00000000-0002-0000-0100-000000000000}">
      <formula1>1</formula1>
      <formula2>10</formula2>
    </dataValidation>
    <dataValidation type="decimal" allowBlank="1" showDropDown="1" showInputMessage="1" showErrorMessage="1" sqref="C3" xr:uid="{00000000-0002-0000-0100-000001000000}">
      <formula1>2000</formula1>
      <formula2>2100</formula2>
    </dataValidation>
    <dataValidation type="list" allowBlank="1" showInputMessage="1" showErrorMessage="1" sqref="D50" xr:uid="{00000000-0002-0000-0100-000002000000}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H49" sqref="H49"/>
    </sheetView>
  </sheetViews>
  <sheetFormatPr defaultColWidth="12.453125" defaultRowHeight="15" customHeight="1" x14ac:dyDescent="0.3"/>
  <cols>
    <col min="1" max="1" width="2.453125" style="4" customWidth="1"/>
    <col min="2" max="2" width="25.1796875" style="4" customWidth="1"/>
    <col min="3" max="5" width="17.453125" style="4" customWidth="1"/>
    <col min="6" max="6" width="7.453125" style="4" customWidth="1"/>
    <col min="7" max="7" width="17.453125" style="4" customWidth="1"/>
    <col min="8" max="8" width="12.453125" style="4" customWidth="1"/>
    <col min="9" max="16384" width="12.453125" style="4"/>
  </cols>
  <sheetData>
    <row r="2" spans="1:9" ht="15" customHeight="1" x14ac:dyDescent="0.3">
      <c r="A2" s="5"/>
      <c r="B2" s="319" t="s">
        <v>130</v>
      </c>
      <c r="C2" s="271"/>
      <c r="D2" s="271"/>
      <c r="E2" s="17"/>
      <c r="F2" s="17"/>
      <c r="G2" s="17"/>
      <c r="H2" s="17"/>
    </row>
    <row r="3" spans="1:9" ht="15" customHeight="1" x14ac:dyDescent="0.3">
      <c r="B3" s="6" t="s">
        <v>131</v>
      </c>
      <c r="C3" s="7"/>
      <c r="D3" s="120">
        <f>C39-H39</f>
        <v>3946940</v>
      </c>
      <c r="E3" s="7"/>
      <c r="F3" s="7"/>
      <c r="G3" s="7"/>
      <c r="H3" s="7"/>
    </row>
    <row r="4" spans="1:9" ht="15" customHeight="1" x14ac:dyDescent="0.3">
      <c r="D4" s="7"/>
      <c r="E4" s="31" t="s">
        <v>132</v>
      </c>
      <c r="H4" s="7"/>
    </row>
    <row r="5" spans="1:9" ht="15" customHeight="1" x14ac:dyDescent="0.3">
      <c r="B5" s="121" t="s">
        <v>133</v>
      </c>
      <c r="C5" s="7"/>
      <c r="D5" s="122">
        <f>E39-H39-E43</f>
        <v>2217694.8062287057</v>
      </c>
      <c r="E5" s="19">
        <f>1-D5/D3</f>
        <v>0.43812300003833204</v>
      </c>
      <c r="F5" s="7"/>
      <c r="G5" s="123" t="s">
        <v>134</v>
      </c>
      <c r="H5" s="36">
        <f>IF(Data!F3&lt;=0,"NNI",D6/((Data!F3*Dashboard!C14)/(Dashboard!C8/Data!C4)))</f>
        <v>7.2993466752749354</v>
      </c>
      <c r="I5" s="7"/>
    </row>
    <row r="6" spans="1:9" ht="15" customHeight="1" x14ac:dyDescent="0.3">
      <c r="B6" s="94" t="s">
        <v>135</v>
      </c>
      <c r="D6" s="124">
        <f>(D5*Dashboard!C14*Data!C4)/Dashboard!C8</f>
        <v>2.124859719099025</v>
      </c>
      <c r="E6" s="125"/>
      <c r="G6" s="123" t="s">
        <v>136</v>
      </c>
      <c r="H6" s="36">
        <f>D6/(Data!C25*Dashboard!C14*Data!C4/Common_Shares)</f>
        <v>0.56187699996166807</v>
      </c>
      <c r="I6" s="7"/>
    </row>
    <row r="7" spans="1:9" ht="15" customHeight="1" x14ac:dyDescent="0.3">
      <c r="D7" s="7"/>
      <c r="H7" s="7"/>
    </row>
    <row r="8" spans="1:9" ht="15" customHeight="1" x14ac:dyDescent="0.3">
      <c r="A8" s="5"/>
      <c r="B8" s="319" t="s">
        <v>137</v>
      </c>
      <c r="C8" s="271"/>
      <c r="D8" s="271"/>
      <c r="E8" s="10"/>
      <c r="F8" s="17"/>
      <c r="G8" s="17"/>
      <c r="H8" s="17"/>
    </row>
    <row r="9" spans="1:9" ht="15" customHeight="1" x14ac:dyDescent="0.3">
      <c r="B9" s="6" t="s">
        <v>138</v>
      </c>
      <c r="C9" s="31" t="s">
        <v>139</v>
      </c>
      <c r="D9" s="31" t="s">
        <v>140</v>
      </c>
      <c r="E9" s="31" t="s">
        <v>141</v>
      </c>
      <c r="F9" s="7"/>
      <c r="G9" s="126" t="s">
        <v>142</v>
      </c>
      <c r="H9" s="31" t="s">
        <v>139</v>
      </c>
    </row>
    <row r="10" spans="1:9" ht="15" customHeight="1" x14ac:dyDescent="0.3">
      <c r="B10" s="6" t="s">
        <v>143</v>
      </c>
      <c r="C10" s="127">
        <v>1577834</v>
      </c>
      <c r="D10" s="128">
        <v>1</v>
      </c>
      <c r="E10" s="41">
        <f t="shared" ref="E10:E17" si="0">C10*D10</f>
        <v>1577834</v>
      </c>
      <c r="F10" s="7"/>
      <c r="G10" s="6" t="s">
        <v>144</v>
      </c>
      <c r="H10" s="127">
        <v>0</v>
      </c>
      <c r="I10" s="7"/>
    </row>
    <row r="11" spans="1:9" ht="14.15" customHeight="1" x14ac:dyDescent="0.3">
      <c r="B11" s="6" t="s">
        <v>145</v>
      </c>
      <c r="C11" s="127">
        <v>27660</v>
      </c>
      <c r="D11" s="128">
        <v>0</v>
      </c>
      <c r="E11" s="41">
        <f t="shared" si="0"/>
        <v>0</v>
      </c>
      <c r="F11" s="7"/>
      <c r="G11" s="6" t="s">
        <v>146</v>
      </c>
      <c r="H11" s="127">
        <v>7353</v>
      </c>
      <c r="I11" s="7"/>
    </row>
    <row r="12" spans="1:9" ht="14.15" customHeight="1" x14ac:dyDescent="0.3">
      <c r="B12" s="6" t="s">
        <v>147</v>
      </c>
      <c r="C12" s="127">
        <v>201467</v>
      </c>
      <c r="D12" s="128">
        <v>0.7</v>
      </c>
      <c r="E12" s="41">
        <f t="shared" si="0"/>
        <v>141026.9</v>
      </c>
      <c r="F12" s="7"/>
      <c r="G12" s="6" t="s">
        <v>148</v>
      </c>
      <c r="H12" s="127">
        <v>890177</v>
      </c>
      <c r="I12" s="7"/>
    </row>
    <row r="13" spans="1:9" ht="14.15" customHeight="1" x14ac:dyDescent="0.3">
      <c r="B13" s="6" t="s">
        <v>149</v>
      </c>
      <c r="C13" s="127">
        <v>674336</v>
      </c>
      <c r="D13" s="128">
        <v>0.8</v>
      </c>
      <c r="E13" s="41">
        <f t="shared" si="0"/>
        <v>539468.80000000005</v>
      </c>
      <c r="F13" s="7"/>
      <c r="G13" s="6" t="s">
        <v>150</v>
      </c>
      <c r="H13" s="127">
        <v>0</v>
      </c>
      <c r="I13" s="7"/>
    </row>
    <row r="14" spans="1:9" ht="14.15" customHeight="1" x14ac:dyDescent="0.3">
      <c r="B14" s="6" t="s">
        <v>151</v>
      </c>
      <c r="C14" s="127">
        <v>0</v>
      </c>
      <c r="D14" s="128">
        <v>0.8</v>
      </c>
      <c r="E14" s="41">
        <f t="shared" si="0"/>
        <v>0</v>
      </c>
      <c r="F14" s="7"/>
      <c r="G14" s="6" t="s">
        <v>152</v>
      </c>
      <c r="H14" s="127">
        <v>28197</v>
      </c>
      <c r="I14" s="7"/>
    </row>
    <row r="15" spans="1:9" ht="14.15" customHeight="1" x14ac:dyDescent="0.3">
      <c r="B15" s="6" t="s">
        <v>153</v>
      </c>
      <c r="C15" s="127">
        <v>951</v>
      </c>
      <c r="D15" s="128">
        <v>0.95</v>
      </c>
      <c r="E15" s="41">
        <f t="shared" si="0"/>
        <v>903.44999999999993</v>
      </c>
      <c r="F15" s="7"/>
      <c r="G15" s="6" t="s">
        <v>154</v>
      </c>
      <c r="H15" s="127">
        <v>47034</v>
      </c>
      <c r="I15" s="7"/>
    </row>
    <row r="16" spans="1:9" ht="14.15" customHeight="1" x14ac:dyDescent="0.3">
      <c r="B16" s="6" t="s">
        <v>155</v>
      </c>
      <c r="C16" s="127">
        <v>443259</v>
      </c>
      <c r="D16" s="128">
        <v>0.6</v>
      </c>
      <c r="E16" s="41">
        <f t="shared" si="0"/>
        <v>265955.39999999997</v>
      </c>
      <c r="F16" s="7"/>
      <c r="G16" s="6" t="s">
        <v>156</v>
      </c>
      <c r="H16" s="127">
        <v>0</v>
      </c>
      <c r="I16" s="7"/>
    </row>
    <row r="17" spans="2:9" ht="14.15" customHeight="1" x14ac:dyDescent="0.3">
      <c r="B17" s="6" t="s">
        <v>157</v>
      </c>
      <c r="C17" s="127">
        <v>0</v>
      </c>
      <c r="D17" s="128">
        <v>0</v>
      </c>
      <c r="E17" s="41">
        <f t="shared" si="0"/>
        <v>0</v>
      </c>
      <c r="F17" s="7"/>
      <c r="H17" s="7"/>
    </row>
    <row r="18" spans="2:9" ht="15" customHeight="1" x14ac:dyDescent="0.3">
      <c r="C18" s="7"/>
      <c r="D18" s="7"/>
      <c r="E18" s="7"/>
      <c r="H18" s="7"/>
    </row>
    <row r="19" spans="2:9" ht="15" customHeight="1" x14ac:dyDescent="0.3">
      <c r="B19" s="129" t="s">
        <v>158</v>
      </c>
      <c r="C19" s="130">
        <f>SUM(C10:C12)+C14</f>
        <v>1806961</v>
      </c>
      <c r="D19" s="131">
        <f>E19/C19</f>
        <v>0.9512440500929461</v>
      </c>
      <c r="E19" s="132">
        <f>SUM(E10:E12)+E14</f>
        <v>1718860.9</v>
      </c>
      <c r="F19" s="7"/>
      <c r="G19" s="129" t="s">
        <v>159</v>
      </c>
      <c r="H19" s="133">
        <f>E19/$H$21</f>
        <v>1.7669919949504553</v>
      </c>
      <c r="I19" s="18" t="str">
        <f>IF(H19&lt;1,"Liquidity Problem!","")</f>
        <v/>
      </c>
    </row>
    <row r="20" spans="2:9" ht="15" customHeight="1" x14ac:dyDescent="0.3">
      <c r="B20" s="129" t="s">
        <v>160</v>
      </c>
      <c r="C20" s="130">
        <f>C19+C13</f>
        <v>2481297</v>
      </c>
      <c r="D20" s="131">
        <f>E20/C20</f>
        <v>0.91014082554406028</v>
      </c>
      <c r="E20" s="41">
        <f>E19+E13</f>
        <v>2258329.7000000002</v>
      </c>
      <c r="F20" s="7"/>
      <c r="G20" s="129" t="s">
        <v>161</v>
      </c>
      <c r="H20" s="133">
        <f>E20/$H$21</f>
        <v>2.321566859691127</v>
      </c>
      <c r="I20" s="18"/>
    </row>
    <row r="21" spans="2:9" ht="15" customHeight="1" x14ac:dyDescent="0.3">
      <c r="B21" s="6" t="s">
        <v>162</v>
      </c>
      <c r="C21" s="130">
        <f>SUM(C10:C17)</f>
        <v>2925507</v>
      </c>
      <c r="D21" s="19">
        <f>E21/C21</f>
        <v>0.86316270991660604</v>
      </c>
      <c r="E21" s="41">
        <f>SUM(E10:E17)</f>
        <v>2525188.5500000003</v>
      </c>
      <c r="F21" s="7"/>
      <c r="G21" s="6" t="s">
        <v>73</v>
      </c>
      <c r="H21" s="130">
        <f>SUM(H10:H16)</f>
        <v>972761</v>
      </c>
      <c r="I21" s="18"/>
    </row>
    <row r="22" spans="2:9" ht="15" customHeight="1" x14ac:dyDescent="0.3">
      <c r="C22" s="7"/>
      <c r="D22" s="7"/>
      <c r="E22" s="7"/>
      <c r="H22" s="7"/>
    </row>
    <row r="23" spans="2:9" ht="15" customHeight="1" x14ac:dyDescent="0.3">
      <c r="B23" s="6" t="s">
        <v>163</v>
      </c>
      <c r="C23" s="127">
        <v>1597278</v>
      </c>
      <c r="D23" s="128">
        <v>0.5</v>
      </c>
      <c r="E23" s="41">
        <f t="shared" ref="E23:E31" si="1">C23*D23</f>
        <v>798639</v>
      </c>
      <c r="F23" s="7"/>
      <c r="G23" s="6" t="s">
        <v>164</v>
      </c>
      <c r="H23" s="127">
        <v>0</v>
      </c>
      <c r="I23" s="7"/>
    </row>
    <row r="24" spans="2:9" ht="15" customHeight="1" x14ac:dyDescent="0.3">
      <c r="B24" s="6" t="s">
        <v>165</v>
      </c>
      <c r="C24" s="127">
        <v>199795</v>
      </c>
      <c r="D24" s="128">
        <v>0.5</v>
      </c>
      <c r="E24" s="41">
        <f t="shared" si="1"/>
        <v>99897.5</v>
      </c>
      <c r="F24" s="7"/>
      <c r="G24" s="6" t="s">
        <v>166</v>
      </c>
      <c r="H24" s="127">
        <v>2335</v>
      </c>
      <c r="I24" s="7"/>
    </row>
    <row r="25" spans="2:9" ht="15" customHeight="1" x14ac:dyDescent="0.3">
      <c r="B25" s="6" t="s">
        <v>167</v>
      </c>
      <c r="C25" s="127">
        <v>0</v>
      </c>
      <c r="D25" s="128">
        <v>0.85</v>
      </c>
      <c r="E25" s="41">
        <f t="shared" si="1"/>
        <v>0</v>
      </c>
      <c r="F25" s="7"/>
      <c r="G25" s="6" t="s">
        <v>168</v>
      </c>
      <c r="H25" s="127">
        <v>0</v>
      </c>
      <c r="I25" s="7"/>
    </row>
    <row r="26" spans="2:9" ht="15" customHeight="1" x14ac:dyDescent="0.3">
      <c r="B26" s="6" t="s">
        <v>169</v>
      </c>
      <c r="C26" s="127">
        <v>116</v>
      </c>
      <c r="D26" s="128">
        <v>0.8</v>
      </c>
      <c r="E26" s="41">
        <f t="shared" si="1"/>
        <v>92.800000000000011</v>
      </c>
      <c r="F26" s="7"/>
      <c r="G26" s="6" t="s">
        <v>170</v>
      </c>
      <c r="H26" s="127">
        <v>0</v>
      </c>
      <c r="I26" s="7"/>
    </row>
    <row r="27" spans="2:9" ht="14.15" customHeight="1" x14ac:dyDescent="0.3">
      <c r="B27" s="6" t="s">
        <v>171</v>
      </c>
      <c r="C27" s="127">
        <v>38135</v>
      </c>
      <c r="D27" s="128">
        <v>0.1</v>
      </c>
      <c r="E27" s="41">
        <f t="shared" si="1"/>
        <v>3813.5</v>
      </c>
      <c r="F27" s="7"/>
      <c r="G27" s="6" t="s">
        <v>172</v>
      </c>
      <c r="H27" s="127">
        <v>61106</v>
      </c>
      <c r="I27" s="7"/>
    </row>
    <row r="28" spans="2:9" ht="14.15" customHeight="1" x14ac:dyDescent="0.3">
      <c r="B28" s="6" t="s">
        <v>173</v>
      </c>
      <c r="C28" s="127">
        <v>34143</v>
      </c>
      <c r="D28" s="128">
        <v>0.8</v>
      </c>
      <c r="E28" s="41">
        <f t="shared" si="1"/>
        <v>27314.400000000001</v>
      </c>
      <c r="F28" s="7"/>
      <c r="G28" s="6" t="s">
        <v>174</v>
      </c>
      <c r="H28" s="127">
        <v>18749</v>
      </c>
      <c r="I28" s="7"/>
    </row>
    <row r="29" spans="2:9" ht="14.15" customHeight="1" x14ac:dyDescent="0.3">
      <c r="B29" s="6" t="s">
        <v>175</v>
      </c>
      <c r="C29" s="127">
        <v>0</v>
      </c>
      <c r="D29" s="128">
        <v>0</v>
      </c>
      <c r="E29" s="41">
        <f t="shared" si="1"/>
        <v>0</v>
      </c>
      <c r="F29" s="7"/>
      <c r="H29" s="7"/>
    </row>
    <row r="30" spans="2:9" ht="15" customHeight="1" x14ac:dyDescent="0.3">
      <c r="B30" s="6" t="s">
        <v>176</v>
      </c>
      <c r="C30" s="127">
        <v>60384</v>
      </c>
      <c r="D30" s="128">
        <v>0.95</v>
      </c>
      <c r="E30" s="41">
        <f t="shared" si="1"/>
        <v>57364.799999999996</v>
      </c>
      <c r="F30" s="7"/>
    </row>
    <row r="31" spans="2:9" ht="14.15" customHeight="1" x14ac:dyDescent="0.3">
      <c r="B31" s="6" t="s">
        <v>177</v>
      </c>
      <c r="C31" s="127">
        <v>547</v>
      </c>
      <c r="D31" s="128">
        <v>0.2</v>
      </c>
      <c r="E31" s="41">
        <f t="shared" si="1"/>
        <v>109.4</v>
      </c>
      <c r="F31" s="7"/>
    </row>
    <row r="32" spans="2:9" ht="15" customHeight="1" x14ac:dyDescent="0.3">
      <c r="B32" s="6" t="s">
        <v>178</v>
      </c>
      <c r="C32" s="127">
        <v>81853</v>
      </c>
      <c r="D32" s="128">
        <v>1</v>
      </c>
      <c r="E32" s="41">
        <v>0</v>
      </c>
      <c r="F32" s="7"/>
    </row>
    <row r="33" spans="2:9" ht="15" customHeight="1" x14ac:dyDescent="0.3">
      <c r="B33" s="6" t="s">
        <v>179</v>
      </c>
      <c r="C33" s="127">
        <v>64133</v>
      </c>
      <c r="D33" s="128">
        <v>0</v>
      </c>
      <c r="E33" s="41">
        <f>C33*D33</f>
        <v>0</v>
      </c>
      <c r="F33" s="7"/>
    </row>
    <row r="34" spans="2:9" ht="15" customHeight="1" x14ac:dyDescent="0.3">
      <c r="C34" s="7"/>
      <c r="D34" s="7"/>
      <c r="E34" s="7"/>
      <c r="H34" s="7"/>
    </row>
    <row r="35" spans="2:9" ht="14.15" customHeight="1" x14ac:dyDescent="0.3">
      <c r="B35" s="6" t="s">
        <v>180</v>
      </c>
      <c r="C35" s="130">
        <f>SUM(C23:C33)</f>
        <v>2076384</v>
      </c>
      <c r="D35" s="19">
        <f>E35/C35</f>
        <v>0.4754570445543792</v>
      </c>
      <c r="E35" s="41">
        <f>SUM(E23:E33)</f>
        <v>987231.40000000014</v>
      </c>
      <c r="F35" s="7"/>
      <c r="G35" s="6" t="s">
        <v>181</v>
      </c>
      <c r="H35" s="130">
        <f>SUM(H23:H28)</f>
        <v>82190</v>
      </c>
      <c r="I35" s="7"/>
    </row>
    <row r="36" spans="2:9" ht="15" customHeight="1" x14ac:dyDescent="0.3">
      <c r="C36" s="7"/>
      <c r="D36" s="7"/>
      <c r="E36" s="7"/>
      <c r="H36" s="7"/>
    </row>
    <row r="37" spans="2:9" ht="15" customHeight="1" x14ac:dyDescent="0.3">
      <c r="B37" s="129" t="s">
        <v>182</v>
      </c>
      <c r="C37" s="130">
        <f>C19+(C28+C29)+C32</f>
        <v>1922957</v>
      </c>
      <c r="D37" s="131">
        <f>E37/C37</f>
        <v>0.90806778310695446</v>
      </c>
      <c r="E37" s="132">
        <f>E19+(E28+E29)+E32</f>
        <v>1746175.2999999998</v>
      </c>
      <c r="F37" s="7"/>
      <c r="G37" s="129" t="s">
        <v>183</v>
      </c>
      <c r="H37" s="133">
        <f>E37/$H$39</f>
        <v>1.655219341941</v>
      </c>
      <c r="I37" s="18" t="str">
        <f>IF(H37&lt;1,"Liquidity Problem!","")</f>
        <v/>
      </c>
    </row>
    <row r="38" spans="2:9" ht="15" customHeight="1" x14ac:dyDescent="0.3">
      <c r="B38" s="129" t="s">
        <v>184</v>
      </c>
      <c r="C38" s="134">
        <f>C37+C31</f>
        <v>1923504</v>
      </c>
      <c r="D38" s="131">
        <f>E38/C38</f>
        <v>0.90786642502433046</v>
      </c>
      <c r="E38" s="41">
        <f>E37+E31</f>
        <v>1746284.6999999997</v>
      </c>
      <c r="F38" s="7"/>
      <c r="G38" s="129" t="s">
        <v>185</v>
      </c>
      <c r="H38" s="133">
        <f>E38/$H$39</f>
        <v>1.655323043439932</v>
      </c>
      <c r="I38" s="7"/>
    </row>
    <row r="39" spans="2:9" ht="15" customHeight="1" x14ac:dyDescent="0.3">
      <c r="B39" s="6" t="s">
        <v>186</v>
      </c>
      <c r="C39" s="134">
        <f>C21+C35</f>
        <v>5001891</v>
      </c>
      <c r="D39" s="19">
        <f>E39/C39</f>
        <v>0.70221841099696103</v>
      </c>
      <c r="E39" s="41">
        <f>E21+E35</f>
        <v>3512419.95</v>
      </c>
      <c r="F39" s="7"/>
      <c r="G39" s="6" t="s">
        <v>187</v>
      </c>
      <c r="H39" s="134">
        <f>H21+H35</f>
        <v>1054951</v>
      </c>
      <c r="I39" s="7"/>
    </row>
    <row r="40" spans="2:9" ht="15" customHeight="1" x14ac:dyDescent="0.3">
      <c r="C40" s="7"/>
      <c r="D40" s="7"/>
      <c r="E40" s="7"/>
      <c r="H40" s="7"/>
    </row>
    <row r="41" spans="2:9" ht="14.15" customHeight="1" x14ac:dyDescent="0.3">
      <c r="B41" s="29" t="s">
        <v>188</v>
      </c>
      <c r="C41" s="29"/>
      <c r="D41" s="93"/>
    </row>
    <row r="42" spans="2:9" ht="14.15" customHeight="1" x14ac:dyDescent="0.3">
      <c r="B42" s="135" t="s">
        <v>189</v>
      </c>
      <c r="C42" s="6"/>
      <c r="D42" s="320"/>
      <c r="E42" s="269"/>
    </row>
    <row r="43" spans="2:9" ht="14.15" customHeight="1" x14ac:dyDescent="0.3">
      <c r="B43" s="6" t="s">
        <v>190</v>
      </c>
      <c r="C43" s="136">
        <v>138648</v>
      </c>
      <c r="D43" s="89" t="str">
        <f>IF(E43=C43,"BV of the MI","P/B Approach")</f>
        <v>P/B Approach</v>
      </c>
      <c r="E43" s="41">
        <f>MAX(C43,C43*Dashboard!C12)</f>
        <v>239774.14377129456</v>
      </c>
      <c r="F43" s="7"/>
    </row>
    <row r="44" spans="2:9" ht="15" customHeight="1" x14ac:dyDescent="0.3">
      <c r="C44" s="7"/>
      <c r="D44" s="7"/>
      <c r="E44" s="7"/>
    </row>
    <row r="45" spans="2:9" ht="14.15" customHeight="1" x14ac:dyDescent="0.3">
      <c r="B45" s="6" t="s">
        <v>191</v>
      </c>
      <c r="C45" s="6"/>
      <c r="D45" s="320"/>
      <c r="E45" s="269"/>
      <c r="F45" s="94"/>
    </row>
    <row r="46" spans="2:9" ht="14.15" customHeight="1" x14ac:dyDescent="0.3">
      <c r="B46" s="121" t="s">
        <v>192</v>
      </c>
      <c r="C46" s="7"/>
      <c r="D46" s="321">
        <v>0</v>
      </c>
      <c r="E46" s="274"/>
      <c r="F46" s="6"/>
    </row>
    <row r="47" spans="2:9" ht="14.15" customHeight="1" x14ac:dyDescent="0.3">
      <c r="B47" s="121" t="s">
        <v>193</v>
      </c>
      <c r="C47" s="7"/>
      <c r="D47" s="321">
        <v>0</v>
      </c>
      <c r="E47" s="274"/>
      <c r="F47" s="7" t="s">
        <v>194</v>
      </c>
    </row>
    <row r="48" spans="2:9" ht="12.65" customHeight="1" x14ac:dyDescent="0.3">
      <c r="B48" s="94" t="s">
        <v>195</v>
      </c>
      <c r="C48" s="7"/>
      <c r="D48" s="318">
        <f>Data!C24+D46+D47</f>
        <v>892512</v>
      </c>
      <c r="E48" s="274"/>
      <c r="F48" s="6" t="s">
        <v>196</v>
      </c>
    </row>
    <row r="49" spans="2:7" ht="15" customHeight="1" x14ac:dyDescent="0.3">
      <c r="D49" s="7"/>
      <c r="E49" s="7"/>
    </row>
    <row r="50" spans="2:7" ht="14.15" customHeight="1" x14ac:dyDescent="0.3">
      <c r="B50" s="6" t="s">
        <v>197</v>
      </c>
      <c r="C50" s="6"/>
      <c r="D50" s="320"/>
      <c r="E50" s="269"/>
      <c r="F50" s="24" t="s">
        <v>198</v>
      </c>
    </row>
    <row r="51" spans="2:7" ht="15" customHeight="1" x14ac:dyDescent="0.3">
      <c r="B51" s="94" t="s">
        <v>199</v>
      </c>
      <c r="C51" s="7"/>
      <c r="D51" s="322">
        <f>E11+E12+E25+E28+E29</f>
        <v>168341.3</v>
      </c>
      <c r="E51" s="274"/>
      <c r="F51" s="19">
        <f>1-(E12+E25+E28+E29)/(C12+C25+C28+C29)</f>
        <v>0.28550867959764026</v>
      </c>
      <c r="G51" s="7"/>
    </row>
    <row r="52" spans="2:7" ht="14.15" customHeight="1" x14ac:dyDescent="0.3">
      <c r="B52" s="94" t="s">
        <v>143</v>
      </c>
      <c r="C52" s="7"/>
      <c r="D52" s="318">
        <f>C10+C32</f>
        <v>1659687</v>
      </c>
      <c r="E52" s="274"/>
      <c r="F52" s="7"/>
    </row>
    <row r="53" spans="2:7" ht="14.15" customHeight="1" x14ac:dyDescent="0.3">
      <c r="B53" s="94" t="s">
        <v>200</v>
      </c>
      <c r="C53" s="7"/>
      <c r="D53" s="318">
        <f>((Dashboard!C9*1000)+D48+E43-(C12+C25+C28+C29)-D52)</f>
        <v>6062721.6391312946</v>
      </c>
      <c r="E53" s="274"/>
      <c r="F53" s="7"/>
    </row>
    <row r="54" spans="2:7" ht="15" customHeight="1" x14ac:dyDescent="0.3">
      <c r="D54" s="7"/>
      <c r="E54" s="7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howInputMessage="1" showErrorMessage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5"/>
  <sheetViews>
    <sheetView showGridLines="0" topLeftCell="A13" workbookViewId="0">
      <selection activeCell="D6" sqref="D6"/>
    </sheetView>
  </sheetViews>
  <sheetFormatPr defaultColWidth="12.453125" defaultRowHeight="15" customHeight="1" x14ac:dyDescent="0.3"/>
  <cols>
    <col min="1" max="1" width="2.453125" style="4" customWidth="1"/>
    <col min="2" max="2" width="26.81640625" style="4" customWidth="1"/>
    <col min="3" max="7" width="22.7265625" style="4" customWidth="1"/>
    <col min="8" max="8" width="2.453125" style="4" customWidth="1"/>
    <col min="9" max="9" width="12.453125" style="4" customWidth="1"/>
    <col min="10" max="16384" width="12.453125" style="4"/>
  </cols>
  <sheetData>
    <row r="1" spans="1:13" ht="15" customHeight="1" x14ac:dyDescent="0.3">
      <c r="C1" s="7"/>
      <c r="D1" s="7"/>
      <c r="E1" s="7"/>
    </row>
    <row r="2" spans="1:13" ht="15.75" customHeight="1" x14ac:dyDescent="0.3">
      <c r="A2" s="5"/>
      <c r="B2" s="214" t="s">
        <v>201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3" ht="15.75" customHeight="1" x14ac:dyDescent="0.3">
      <c r="A3" s="7"/>
      <c r="B3" s="137" t="s">
        <v>202</v>
      </c>
      <c r="C3" s="138">
        <v>4</v>
      </c>
      <c r="D3" s="139" t="str">
        <f>IF(E7="","next 1 years","next 3 years")</f>
        <v>next 1 years</v>
      </c>
      <c r="E3" s="139" t="s">
        <v>203</v>
      </c>
      <c r="F3" s="31"/>
      <c r="G3" s="7"/>
      <c r="H3" s="7"/>
      <c r="I3" s="7"/>
      <c r="J3" s="7"/>
      <c r="K3" s="7"/>
      <c r="L3" s="7"/>
    </row>
    <row r="4" spans="1:13" ht="15.75" customHeight="1" x14ac:dyDescent="0.3">
      <c r="A4" s="7"/>
      <c r="B4" s="140" t="s">
        <v>67</v>
      </c>
      <c r="C4" s="141">
        <f>Data!J4</f>
        <v>0.17548870351199564</v>
      </c>
      <c r="D4" s="142">
        <f>IF(E7="",D16/C16-1,(G16/C16)^(1/4)-1)</f>
        <v>-9.0108926128153355E-2</v>
      </c>
      <c r="E4" s="141">
        <f>Dashboard!G10</f>
        <v>3.8309999999999997E-2</v>
      </c>
      <c r="F4" s="143" t="s">
        <v>204</v>
      </c>
    </row>
    <row r="5" spans="1:13" ht="15.75" customHeight="1" x14ac:dyDescent="0.3">
      <c r="B5" s="144"/>
      <c r="C5" s="7"/>
      <c r="D5" s="7"/>
      <c r="E5" s="7"/>
    </row>
    <row r="6" spans="1:13" ht="15.75" customHeight="1" x14ac:dyDescent="0.3">
      <c r="B6" s="48" t="str">
        <f>"(Numbers in "&amp;Data!C4&amp;Dashboard!C13&amp;")"</f>
        <v>(Numbers in 1000HKD)</v>
      </c>
      <c r="C6" s="47" t="str">
        <f>RIGHT(Data!C6,4)</f>
        <v>2021</v>
      </c>
      <c r="D6" s="47">
        <v>1</v>
      </c>
      <c r="E6" s="47" t="str">
        <f>"2 "&amp;IF(F7="","(Normalized)","(Base)")</f>
        <v>2 (Normalized)</v>
      </c>
      <c r="F6" s="47" t="str">
        <f>IF(F15="","","3 (Normalized)")</f>
        <v/>
      </c>
      <c r="G6" s="47" t="s">
        <v>205</v>
      </c>
      <c r="I6" s="145" t="s">
        <v>206</v>
      </c>
    </row>
    <row r="7" spans="1:13" ht="15.75" customHeight="1" x14ac:dyDescent="0.3">
      <c r="B7" s="6" t="s">
        <v>207</v>
      </c>
      <c r="C7" s="73">
        <f>Data!C8</f>
        <v>9.8750528227001588E-2</v>
      </c>
      <c r="D7" s="146">
        <f>D8/C8-1</f>
        <v>5.1711245921525206E-2</v>
      </c>
      <c r="E7" s="147"/>
      <c r="F7" s="252"/>
      <c r="G7" s="240"/>
      <c r="H7" s="7"/>
      <c r="I7" s="148"/>
    </row>
    <row r="8" spans="1:13" ht="15.75" customHeight="1" x14ac:dyDescent="0.3">
      <c r="B8" s="6" t="s">
        <v>208</v>
      </c>
      <c r="C8" s="149">
        <f>Data!C7</f>
        <v>3866335</v>
      </c>
      <c r="D8" s="258">
        <f>2033134*2</f>
        <v>4066268</v>
      </c>
      <c r="E8" s="250" t="str">
        <f>IF(E7="","",D8*(1+E7))</f>
        <v/>
      </c>
      <c r="F8" s="253"/>
      <c r="G8" s="240"/>
      <c r="H8" s="7"/>
      <c r="I8" s="148"/>
      <c r="M8" s="119"/>
    </row>
    <row r="9" spans="1:13" ht="15.75" customHeight="1" x14ac:dyDescent="0.3">
      <c r="B9" s="10" t="s">
        <v>209</v>
      </c>
      <c r="C9" s="84">
        <f>Data!C9</f>
        <v>2639016</v>
      </c>
      <c r="D9" s="259">
        <f>D8*(1-D10)</f>
        <v>2788455.4798040004</v>
      </c>
      <c r="E9" s="251" t="str">
        <f>IF(E7="","",E8*(1-E10))</f>
        <v/>
      </c>
      <c r="F9" s="253"/>
      <c r="G9" s="240"/>
      <c r="H9" s="7"/>
      <c r="I9" s="254"/>
      <c r="M9" s="1"/>
    </row>
    <row r="10" spans="1:13" ht="15.75" customHeight="1" x14ac:dyDescent="0.3">
      <c r="B10" s="151" t="s">
        <v>210</v>
      </c>
      <c r="C10" s="73">
        <f>Data!C10</f>
        <v>0.31743731466621489</v>
      </c>
      <c r="D10" s="152">
        <v>0.314247</v>
      </c>
      <c r="E10" s="152"/>
      <c r="F10" s="255"/>
      <c r="G10" s="240"/>
      <c r="H10" s="7"/>
      <c r="I10" s="148"/>
    </row>
    <row r="11" spans="1:13" ht="15.75" customHeight="1" x14ac:dyDescent="0.3">
      <c r="B11" s="6" t="s">
        <v>211</v>
      </c>
      <c r="C11" s="41">
        <f>C8-C9</f>
        <v>1227319</v>
      </c>
      <c r="D11" s="82">
        <f>D8-D9</f>
        <v>1277812.5201959996</v>
      </c>
      <c r="E11" s="82" t="str">
        <f>IF(E7="","",E8-E9)</f>
        <v/>
      </c>
      <c r="F11" s="256"/>
      <c r="G11" s="240"/>
      <c r="H11" s="7"/>
      <c r="I11" s="148"/>
    </row>
    <row r="12" spans="1:13" ht="15.75" customHeight="1" x14ac:dyDescent="0.3">
      <c r="B12" s="151" t="s">
        <v>64</v>
      </c>
      <c r="C12" s="76">
        <f>Data!C12</f>
        <v>0.19555573947937774</v>
      </c>
      <c r="D12" s="153">
        <f>D13/D8</f>
        <v>0.20880079719290515</v>
      </c>
      <c r="E12" s="154"/>
      <c r="F12" s="255"/>
      <c r="G12" s="240"/>
      <c r="H12" s="7"/>
      <c r="I12" s="148"/>
    </row>
    <row r="13" spans="1:13" ht="15.75" customHeight="1" x14ac:dyDescent="0.3">
      <c r="B13" s="10" t="s">
        <v>212</v>
      </c>
      <c r="C13" s="155">
        <f>Data!C11</f>
        <v>756084</v>
      </c>
      <c r="D13" s="156">
        <f>(266649+140848+17023)*2</f>
        <v>849040</v>
      </c>
      <c r="E13" s="150" t="str">
        <f>IF(E7="","",E8*E12)</f>
        <v/>
      </c>
      <c r="F13" s="256"/>
      <c r="G13" s="240"/>
      <c r="H13" s="7"/>
      <c r="I13" s="148"/>
    </row>
    <row r="14" spans="1:13" ht="15.75" customHeight="1" x14ac:dyDescent="0.3">
      <c r="B14" s="151" t="s">
        <v>213</v>
      </c>
      <c r="C14" s="23">
        <f>Data!C13</f>
        <v>0.12188157518683715</v>
      </c>
      <c r="D14" s="146">
        <f>D16/D8</f>
        <v>0.10544620280709477</v>
      </c>
      <c r="E14" s="146" t="str">
        <f>IF(E7="","",E16/E8)</f>
        <v/>
      </c>
      <c r="F14" s="257"/>
      <c r="G14" s="240"/>
      <c r="H14" s="7"/>
      <c r="I14" s="148"/>
      <c r="M14" s="119"/>
    </row>
    <row r="15" spans="1:13" ht="15.75" customHeight="1" x14ac:dyDescent="0.3">
      <c r="B15" s="157" t="s">
        <v>214</v>
      </c>
      <c r="C15" s="19">
        <f>Data!C15</f>
        <v>-4.726330942233508E-2</v>
      </c>
      <c r="D15" s="153">
        <f>IF(ABS(C16+D16)=ABS(C16)+ABS(D16),IF(D16&lt;0,-1,1)*(D16-C16)/C16,"Turn")</f>
        <v>-9.0108926128153369E-2</v>
      </c>
      <c r="E15" s="153" t="str">
        <f>IF(E7="","",IF(ABS(D16+E16)=ABS(D16)+ABS(E16),IF(E16&lt;0,-1,1)*(E16-D16)/D16,"Turn"))</f>
        <v/>
      </c>
      <c r="F15" s="260"/>
      <c r="G15" s="158">
        <f>G19*G20</f>
        <v>3.8309999999999997E-2</v>
      </c>
      <c r="H15" s="7"/>
      <c r="I15" s="159" t="s">
        <v>215</v>
      </c>
      <c r="K15" s="160"/>
      <c r="M15" s="160"/>
    </row>
    <row r="16" spans="1:13" ht="15.75" customHeight="1" x14ac:dyDescent="0.3">
      <c r="B16" s="6" t="s">
        <v>66</v>
      </c>
      <c r="C16" s="41">
        <f>IF(Data!D50="No",Data!C69,Data!D69)</f>
        <v>471235</v>
      </c>
      <c r="D16" s="82">
        <f>D11-D13</f>
        <v>428772.52019599965</v>
      </c>
      <c r="E16" s="82" t="str">
        <f>IF(E7="","",E11-E13)</f>
        <v/>
      </c>
      <c r="F16" s="82" t="str">
        <f>IF(F15="","",E16*(1+F15))</f>
        <v/>
      </c>
      <c r="G16" s="41">
        <f>IF(F15="",IF(E15="",C28,E16*(1+G15)),F16*(1+G15))</f>
        <v>445198.79544470843</v>
      </c>
      <c r="H16" s="7"/>
      <c r="I16" s="161"/>
      <c r="K16" s="118"/>
      <c r="M16" s="118"/>
    </row>
    <row r="17" spans="2:13" ht="15.75" customHeight="1" x14ac:dyDescent="0.3">
      <c r="B17" s="25" t="s">
        <v>216</v>
      </c>
      <c r="C17" s="241"/>
      <c r="D17" s="162">
        <v>0.25</v>
      </c>
      <c r="E17" s="49" t="str">
        <f>IF(E7="","",D17)</f>
        <v/>
      </c>
      <c r="F17" s="49" t="str">
        <f>IF(F15="","",D17)</f>
        <v/>
      </c>
      <c r="G17" s="87">
        <f>D17</f>
        <v>0.25</v>
      </c>
      <c r="H17" s="7"/>
      <c r="I17" s="160"/>
      <c r="K17" s="119"/>
      <c r="M17" s="119"/>
    </row>
    <row r="18" spans="2:13" ht="15.75" customHeight="1" x14ac:dyDescent="0.3">
      <c r="B18" s="6" t="s">
        <v>123</v>
      </c>
      <c r="C18" s="163">
        <f>IF(Data!D50="No",Data!C72,Data!D72)</f>
        <v>353426.25</v>
      </c>
      <c r="D18" s="164">
        <f>IF(D16&lt;=0,D16,D16*(1-D17))</f>
        <v>321579.39014699974</v>
      </c>
      <c r="E18" s="164" t="str">
        <f>IF(E7="","",IF(E16&lt;=0,E16,E16*(1-E17)))</f>
        <v/>
      </c>
      <c r="F18" s="164" t="str">
        <f>IF(F15="","",IF(F16&lt;=0,F16,F16*(1-F17)))</f>
        <v/>
      </c>
      <c r="G18" s="163">
        <f>G16*(1-G17)</f>
        <v>333899.09658353135</v>
      </c>
      <c r="H18" s="7"/>
      <c r="I18" s="165"/>
      <c r="K18" s="118"/>
      <c r="M18" s="118"/>
    </row>
    <row r="19" spans="2:13" ht="15.75" hidden="1" customHeight="1" x14ac:dyDescent="0.3">
      <c r="B19" s="22" t="s">
        <v>217</v>
      </c>
      <c r="C19" s="166"/>
      <c r="D19" s="166"/>
      <c r="E19" s="166"/>
      <c r="F19" s="44"/>
      <c r="G19" s="19">
        <f>G23</f>
        <v>8.3309999999999995E-2</v>
      </c>
      <c r="H19" s="7"/>
      <c r="I19" s="148" t="s">
        <v>218</v>
      </c>
      <c r="K19" s="119"/>
      <c r="M19" s="119"/>
    </row>
    <row r="20" spans="2:13" ht="15.75" customHeight="1" x14ac:dyDescent="0.3">
      <c r="B20" s="22" t="s">
        <v>84</v>
      </c>
      <c r="C20" s="19">
        <f>C21/C18</f>
        <v>0.43470727372400891</v>
      </c>
      <c r="D20" s="44">
        <f>IF(E7="",G20,D21/D18)</f>
        <v>0.45984875765214261</v>
      </c>
      <c r="E20" s="128"/>
      <c r="F20" s="44" t="str">
        <f>IF(F15="","",G15/G19)</f>
        <v/>
      </c>
      <c r="G20" s="19">
        <f>E4/G19</f>
        <v>0.45984875765214261</v>
      </c>
      <c r="H20" s="7"/>
      <c r="I20" s="159" t="s">
        <v>219</v>
      </c>
    </row>
    <row r="21" spans="2:13" ht="15" customHeight="1" thickBot="1" x14ac:dyDescent="0.35">
      <c r="B21" s="167" t="s">
        <v>120</v>
      </c>
      <c r="C21" s="168">
        <f>IF(Data!D50="No",Data!C71,Data!D71)</f>
        <v>153636.96160000001</v>
      </c>
      <c r="D21" s="169"/>
      <c r="E21" s="170" t="str">
        <f>IF(E7="","",IF(F15="",E18*G20,E20*E18))</f>
        <v/>
      </c>
      <c r="F21" s="261"/>
      <c r="G21" s="261"/>
      <c r="H21" s="171"/>
      <c r="I21" s="118"/>
      <c r="M21" s="118"/>
    </row>
    <row r="22" spans="2:13" ht="15.75" customHeight="1" thickTop="1" x14ac:dyDescent="0.3">
      <c r="B22" s="10" t="s">
        <v>220</v>
      </c>
      <c r="C22" s="263"/>
      <c r="D22" s="172">
        <f>IF(D18="","",IF(E7="",D18*(1-D20),D18-D21))</f>
        <v>173701.50710136825</v>
      </c>
      <c r="E22" s="172" t="str">
        <f>IF(E7="","",E18-E21)</f>
        <v/>
      </c>
      <c r="F22" s="172" t="str">
        <f>IF(F15="","",F18*(1-F20))</f>
        <v/>
      </c>
      <c r="G22" s="173">
        <f>G18*(1-G20)</f>
        <v>180356.01183842169</v>
      </c>
      <c r="H22" s="171"/>
      <c r="I22" s="118"/>
      <c r="M22" s="118"/>
    </row>
    <row r="23" spans="2:13" ht="15.75" customHeight="1" x14ac:dyDescent="0.3">
      <c r="B23" s="22" t="s">
        <v>221</v>
      </c>
      <c r="C23" s="245"/>
      <c r="D23" s="243">
        <f>Dashboard!G12</f>
        <v>6.8309999999999996E-2</v>
      </c>
      <c r="E23" s="146" t="str">
        <f>IF(E7="","",D23)</f>
        <v/>
      </c>
      <c r="F23" s="146" t="str">
        <f>IF(F15="","",D23)</f>
        <v/>
      </c>
      <c r="G23" s="23">
        <f>Dashboard!G14</f>
        <v>8.3309999999999995E-2</v>
      </c>
      <c r="H23" s="125"/>
      <c r="I23" s="119"/>
      <c r="J23" s="7"/>
      <c r="M23" s="119"/>
    </row>
    <row r="24" spans="2:13" ht="15.75" customHeight="1" thickBot="1" x14ac:dyDescent="0.35">
      <c r="B24" s="174" t="s">
        <v>222</v>
      </c>
      <c r="C24" s="244"/>
      <c r="D24" s="246">
        <f>IF(D16="","",1+D23)</f>
        <v>1.0683100000000001</v>
      </c>
      <c r="E24" s="175" t="str">
        <f>IF(E7="","",(1+D23)*(1+E23))</f>
        <v/>
      </c>
      <c r="F24" s="175" t="str">
        <f>IF(F15="","",(1+D23)*(1+E23)*(1+F23))</f>
        <v/>
      </c>
      <c r="G24" s="176">
        <f>IF(F15="",IF(E7="",D24,E24),F24)*(1+G23)</f>
        <v>1.1573109061000002</v>
      </c>
      <c r="H24" s="125"/>
      <c r="I24" s="119"/>
      <c r="M24" s="119"/>
    </row>
    <row r="25" spans="2:13" ht="15.75" customHeight="1" thickTop="1" x14ac:dyDescent="0.3">
      <c r="B25" s="10" t="s">
        <v>223</v>
      </c>
      <c r="C25" s="242"/>
      <c r="D25" s="247">
        <f>IF(D16="","",D22/D24)</f>
        <v>162594.66550099524</v>
      </c>
      <c r="E25" s="262" t="str">
        <f>IF(E7="","",E22/E24)</f>
        <v/>
      </c>
      <c r="F25" s="262" t="str">
        <f>IF(F15="","",F22/F24)</f>
        <v/>
      </c>
      <c r="G25" s="248"/>
      <c r="H25" s="165"/>
      <c r="I25" s="118"/>
      <c r="M25" s="118"/>
    </row>
    <row r="26" spans="2:13" ht="15.75" customHeight="1" x14ac:dyDescent="0.3">
      <c r="F26" s="7"/>
      <c r="G26" s="249"/>
    </row>
    <row r="27" spans="2:13" ht="15.75" customHeight="1" x14ac:dyDescent="0.3">
      <c r="B27" s="34" t="s">
        <v>224</v>
      </c>
      <c r="C27" s="148" t="s">
        <v>225</v>
      </c>
      <c r="G27" s="7"/>
    </row>
    <row r="28" spans="2:13" ht="15.75" customHeight="1" x14ac:dyDescent="0.3">
      <c r="B28" s="4" t="s">
        <v>226</v>
      </c>
      <c r="C28" s="177">
        <f>IF(OR(E15="",F15=""),D16,E16)*(1+G15)</f>
        <v>445198.79544470843</v>
      </c>
      <c r="E28" s="7" t="s">
        <v>227</v>
      </c>
      <c r="F28" s="19">
        <f>G23</f>
        <v>8.3309999999999995E-2</v>
      </c>
      <c r="G28" s="7"/>
    </row>
    <row r="29" spans="2:13" ht="15.75" customHeight="1" x14ac:dyDescent="0.3">
      <c r="B29" s="4" t="s">
        <v>228</v>
      </c>
      <c r="C29" s="178">
        <f>(C28*(1-G17))/F28</f>
        <v>4007911.3741871491</v>
      </c>
      <c r="G29" s="7"/>
    </row>
    <row r="30" spans="2:13" ht="15.75" customHeight="1" x14ac:dyDescent="0.3">
      <c r="B30" s="121" t="s">
        <v>229</v>
      </c>
      <c r="C30" s="177">
        <f>C29/(IF(OR(E15="",F15=""),D24,E24)*(1+G23))</f>
        <v>3463124.1726506604</v>
      </c>
      <c r="G30" s="7"/>
    </row>
    <row r="31" spans="2:13" ht="15.75" customHeight="1" x14ac:dyDescent="0.3">
      <c r="B31" s="121" t="s">
        <v>230</v>
      </c>
      <c r="C31" s="177">
        <f>IF(OR(E15="",F15=""),D18*0.5/D24,D25+E25)</f>
        <v>150508.46203208793</v>
      </c>
    </row>
    <row r="32" spans="2:13" ht="15.75" customHeight="1" x14ac:dyDescent="0.3">
      <c r="B32" s="121" t="s">
        <v>231</v>
      </c>
      <c r="C32" s="177">
        <f>'Asset Model'!D51</f>
        <v>168341.3</v>
      </c>
    </row>
    <row r="33" spans="2:13" ht="15.75" customHeight="1" x14ac:dyDescent="0.3">
      <c r="B33" s="121" t="s">
        <v>232</v>
      </c>
      <c r="C33" s="177">
        <f>Data!C27</f>
        <v>1659687</v>
      </c>
    </row>
    <row r="34" spans="2:13" ht="15.75" customHeight="1" x14ac:dyDescent="0.3">
      <c r="B34" s="94" t="s">
        <v>233</v>
      </c>
      <c r="C34" s="177">
        <f>'Asset Model'!D48</f>
        <v>892512</v>
      </c>
    </row>
    <row r="35" spans="2:13" ht="15.75" customHeight="1" x14ac:dyDescent="0.3">
      <c r="B35" s="179" t="s">
        <v>234</v>
      </c>
      <c r="C35" s="177">
        <f>'Asset Model'!E43</f>
        <v>239774.14377129456</v>
      </c>
    </row>
    <row r="36" spans="2:13" ht="15.75" customHeight="1" x14ac:dyDescent="0.3">
      <c r="B36" s="6" t="s">
        <v>235</v>
      </c>
      <c r="C36" s="180">
        <f>C30+C31+(C32+C33-C34-C35)</f>
        <v>4309374.7909114538</v>
      </c>
      <c r="D36" s="181" t="str">
        <f>Dashboard!C13</f>
        <v>HKD</v>
      </c>
      <c r="E36" s="7"/>
    </row>
    <row r="37" spans="2:13" ht="15.75" customHeight="1" x14ac:dyDescent="0.3">
      <c r="B37" s="6" t="s">
        <v>236</v>
      </c>
      <c r="C37" s="182">
        <f>C36*Data!C4/Common_Shares*Exchange_Rate</f>
        <v>4.1289797324637867</v>
      </c>
      <c r="D37" s="90" t="str">
        <f>Dashboard!D7</f>
        <v>HKD</v>
      </c>
      <c r="E37" s="7"/>
    </row>
    <row r="38" spans="2:13" ht="15.75" customHeight="1" x14ac:dyDescent="0.3">
      <c r="C38" s="7"/>
      <c r="D38" s="7"/>
      <c r="G38" s="7"/>
    </row>
    <row r="39" spans="2:13" ht="15.75" customHeight="1" x14ac:dyDescent="0.3">
      <c r="B39" s="34" t="s">
        <v>237</v>
      </c>
      <c r="C39" s="183"/>
      <c r="D39" s="31"/>
      <c r="E39" s="184"/>
      <c r="F39" s="185"/>
    </row>
    <row r="40" spans="2:13" ht="15.75" customHeight="1" x14ac:dyDescent="0.3">
      <c r="B40" s="4" t="s">
        <v>226</v>
      </c>
      <c r="C40" s="177">
        <f>G16</f>
        <v>445198.79544470843</v>
      </c>
      <c r="D40" s="31"/>
      <c r="E40" s="184"/>
      <c r="F40" s="185"/>
    </row>
    <row r="41" spans="2:13" ht="15.75" customHeight="1" x14ac:dyDescent="0.3">
      <c r="B41" s="94" t="s">
        <v>228</v>
      </c>
      <c r="C41" s="178">
        <f>G22/(G23-G15)</f>
        <v>4007911.3741871486</v>
      </c>
      <c r="D41" s="186"/>
      <c r="E41" s="7" t="s">
        <v>227</v>
      </c>
      <c r="F41" s="19">
        <f>G18/C41</f>
        <v>8.3309999999999995E-2</v>
      </c>
      <c r="G41" s="7"/>
      <c r="M41" s="1"/>
    </row>
    <row r="42" spans="2:13" ht="15.75" customHeight="1" x14ac:dyDescent="0.3">
      <c r="B42" s="121" t="s">
        <v>229</v>
      </c>
      <c r="C42" s="177">
        <f>C41/G24</f>
        <v>3463124.1726506599</v>
      </c>
      <c r="D42" s="187"/>
      <c r="F42" s="7"/>
      <c r="G42" s="7"/>
      <c r="I42" s="323"/>
      <c r="J42" s="269"/>
      <c r="K42" s="269"/>
      <c r="L42" s="188"/>
      <c r="M42" s="189"/>
    </row>
    <row r="43" spans="2:13" ht="15.75" customHeight="1" x14ac:dyDescent="0.3">
      <c r="B43" s="121" t="s">
        <v>230</v>
      </c>
      <c r="C43" s="177">
        <f>SUM(D25:F25)</f>
        <v>162594.66550099524</v>
      </c>
      <c r="D43" s="187"/>
      <c r="F43" s="7"/>
      <c r="G43" s="7"/>
      <c r="I43" s="37"/>
      <c r="J43" s="37"/>
      <c r="K43" s="37"/>
      <c r="L43" s="188"/>
      <c r="M43" s="189"/>
    </row>
    <row r="44" spans="2:13" ht="15.75" customHeight="1" x14ac:dyDescent="0.3">
      <c r="B44" s="6" t="s">
        <v>235</v>
      </c>
      <c r="C44" s="180">
        <f>C43+C42+(C32+C33-C34-C35)</f>
        <v>4321460.9943803605</v>
      </c>
      <c r="D44" s="181" t="str">
        <f>Dashboard!C13</f>
        <v>HKD</v>
      </c>
      <c r="E44" s="184" t="s">
        <v>134</v>
      </c>
      <c r="F44" s="36">
        <f>IF(Data!F3&lt;=0,"NNI",C45/((Data!F3*Exchange_Rate)/(Common_Shares/Data!C4)))</f>
        <v>14.223707361835952</v>
      </c>
      <c r="G44" s="7"/>
      <c r="H44" s="190"/>
      <c r="I44" s="7"/>
    </row>
    <row r="45" spans="2:13" ht="15.75" customHeight="1" x14ac:dyDescent="0.3">
      <c r="B45" s="6" t="s">
        <v>236</v>
      </c>
      <c r="C45" s="182">
        <f>C44*Data!C4/Common_Shares*Exchange_Rate</f>
        <v>4.1405599944708875</v>
      </c>
      <c r="D45" s="90" t="str">
        <f>Dashboard!D7</f>
        <v>HKD</v>
      </c>
      <c r="E45" s="184" t="s">
        <v>136</v>
      </c>
      <c r="F45" s="36">
        <f>C45/(Data!C25*Exchange_Rate*Data!C4/Common_Shares)</f>
        <v>1.0948889505237882</v>
      </c>
      <c r="G45" s="7"/>
    </row>
    <row r="46" spans="2:13" ht="15.75" customHeight="1" x14ac:dyDescent="0.3">
      <c r="C46" s="7"/>
      <c r="D46" s="7"/>
      <c r="F46" s="7"/>
      <c r="I46" s="94"/>
      <c r="J46" s="191"/>
    </row>
    <row r="47" spans="2:13" ht="15.75" customHeight="1" x14ac:dyDescent="0.3">
      <c r="C47" s="192" t="s">
        <v>238</v>
      </c>
      <c r="D47" s="38" t="s">
        <v>239</v>
      </c>
      <c r="E47" s="192" t="s">
        <v>240</v>
      </c>
      <c r="F47" s="193" t="s">
        <v>241</v>
      </c>
      <c r="G47" s="192" t="s">
        <v>242</v>
      </c>
      <c r="I47" s="194" t="s">
        <v>206</v>
      </c>
    </row>
    <row r="48" spans="2:13" ht="15.75" hidden="1" customHeight="1" x14ac:dyDescent="0.3">
      <c r="C48" s="7"/>
      <c r="D48" s="7"/>
      <c r="E48" s="195">
        <f>G18/F41</f>
        <v>4007911.3741871491</v>
      </c>
      <c r="F48" s="196"/>
      <c r="I48" s="197"/>
    </row>
    <row r="49" spans="1:12" ht="15.75" customHeight="1" x14ac:dyDescent="0.3">
      <c r="B49" s="4" t="s">
        <v>243</v>
      </c>
      <c r="C49" s="198">
        <f t="shared" ref="C49:C54" si="0">1/D49</f>
        <v>12.003360941063498</v>
      </c>
      <c r="D49" s="19">
        <f>F41</f>
        <v>8.3309999999999995E-2</v>
      </c>
      <c r="E49" s="199"/>
      <c r="F49" s="200">
        <f>(E49/G24+C43+(C32+C33-C34-C35))*Data!C$4/Common_Shares*Exchange_Rate</f>
        <v>0.82240592023320669</v>
      </c>
      <c r="G49" s="201">
        <f>IF(Data!F$3&lt;=0,"NNI",F49/((Data!F$3*Exchange_Rate)/(Common_Shares/Data!C$4)))</f>
        <v>2.8251398742341736</v>
      </c>
      <c r="I49" s="148" t="s">
        <v>244</v>
      </c>
    </row>
    <row r="50" spans="1:12" ht="15.75" customHeight="1" x14ac:dyDescent="0.3">
      <c r="C50" s="202">
        <f t="shared" si="0"/>
        <v>13.324805457840315</v>
      </c>
      <c r="D50" s="19">
        <f>D49-((D$49-D$54)/5)</f>
        <v>7.5048000000000004E-2</v>
      </c>
      <c r="E50" s="203">
        <v>4449140.504524189</v>
      </c>
      <c r="F50" s="200">
        <f>(E50/G24+C43+(C32+C33-C34-C35))*Data!C$4/Common_Shares*Exchange_Rate</f>
        <v>4.5058540590875555</v>
      </c>
      <c r="G50" s="202">
        <f>IF(Data!F$3&lt;=0,"NNI",F50/((Data!F$3*Exchange_Rate)/(Common_Shares/Data!C$4)))</f>
        <v>15.478570443897645</v>
      </c>
      <c r="I50" s="148"/>
    </row>
    <row r="51" spans="1:12" ht="15.75" customHeight="1" x14ac:dyDescent="0.3">
      <c r="C51" s="202">
        <f t="shared" si="0"/>
        <v>14.973197975623631</v>
      </c>
      <c r="D51" s="19">
        <f>D50-((D$49-D$54)/5)</f>
        <v>6.6786000000000012E-2</v>
      </c>
      <c r="E51" s="203">
        <v>5400381.3204126768</v>
      </c>
      <c r="F51" s="200">
        <f>(E51/G24+C43+(C32+C33-C34-C35))*Data!C$4/Common_Shares*Exchange_Rate</f>
        <v>5.2933873386780279</v>
      </c>
      <c r="G51" s="202">
        <f>IF(Data!F$3&lt;=0,"NNI",F51/((Data!F$3*Exchange_Rate)/(Common_Shares/Data!C$4)))</f>
        <v>18.183915354141661</v>
      </c>
      <c r="I51" s="148"/>
    </row>
    <row r="52" spans="1:12" ht="15.75" customHeight="1" x14ac:dyDescent="0.3">
      <c r="C52" s="202">
        <f t="shared" si="0"/>
        <v>17.087007039846895</v>
      </c>
      <c r="D52" s="19">
        <f>D51-((D$49-D$54)/5)</f>
        <v>5.8524000000000014E-2</v>
      </c>
      <c r="E52" s="203">
        <v>6687140.6394904712</v>
      </c>
      <c r="F52" s="200">
        <f>(E52/G24+C43+(C32+C33-C34-C35))*Data!C$4/Common_Shares*Exchange_Rate</f>
        <v>6.3586967426383953</v>
      </c>
      <c r="G52" s="202">
        <f>IF(Data!F$3&lt;=0,"NNI",F52/((Data!F$3*Exchange_Rate)/(Common_Shares/Data!C$4)))</f>
        <v>21.843480541454078</v>
      </c>
      <c r="I52" s="148" t="s">
        <v>245</v>
      </c>
    </row>
    <row r="53" spans="1:12" ht="15.75" customHeight="1" x14ac:dyDescent="0.3">
      <c r="C53" s="202">
        <f t="shared" si="0"/>
        <v>19.895746289443313</v>
      </c>
      <c r="D53" s="19">
        <f>D52-((D$49-D$54)/5)</f>
        <v>5.0262000000000015E-2</v>
      </c>
      <c r="E53" s="203">
        <v>7660642.585880449</v>
      </c>
      <c r="F53" s="200">
        <f>(E53/G24+C43+(C32+C33-C34-C35))*Data!C$4/Common_Shares*Exchange_Rate</f>
        <v>7.1646600357631947</v>
      </c>
      <c r="G53" s="202">
        <f>IF(Data!F$3&lt;=0,"NNI",F53/((Data!F$3*Exchange_Rate)/(Common_Shares/Data!C$4)))</f>
        <v>24.612136481978297</v>
      </c>
      <c r="I53" s="148"/>
    </row>
    <row r="54" spans="1:12" ht="15.75" customHeight="1" x14ac:dyDescent="0.3">
      <c r="B54" s="4" t="s">
        <v>246</v>
      </c>
      <c r="C54" s="204">
        <f t="shared" si="0"/>
        <v>23.809523809523807</v>
      </c>
      <c r="D54" s="162">
        <v>4.2000000000000003E-2</v>
      </c>
      <c r="E54" s="205">
        <v>7949978.4900840791</v>
      </c>
      <c r="F54" s="206">
        <f>(E54/G24+C43+(C32+C33-C34-C35))*Data!C$4/Common_Shares*Exchange_Rate</f>
        <v>7.404201537488948</v>
      </c>
      <c r="G54" s="204">
        <f>IF(Data!F$3&lt;=0,"NNI",F54/((Data!F$3*Exchange_Rate)/(Common_Shares/Data!C$4)))</f>
        <v>25.435012669284269</v>
      </c>
      <c r="I54" s="148"/>
    </row>
    <row r="55" spans="1:12" ht="15.65" customHeight="1" x14ac:dyDescent="0.3">
      <c r="C55" s="7"/>
      <c r="D55" s="7"/>
      <c r="E55" s="7"/>
      <c r="F55" s="7"/>
      <c r="G55" s="7"/>
    </row>
    <row r="56" spans="1:12" ht="15.75" hidden="1" customHeight="1" x14ac:dyDescent="0.3">
      <c r="B56" s="7" t="s">
        <v>247</v>
      </c>
      <c r="C56" s="207" t="s">
        <v>248</v>
      </c>
      <c r="D56" s="123" t="s">
        <v>240</v>
      </c>
      <c r="E56" s="123" t="s">
        <v>249</v>
      </c>
      <c r="F56" s="123"/>
      <c r="G56" s="123" t="s">
        <v>250</v>
      </c>
      <c r="I56" s="194" t="s">
        <v>206</v>
      </c>
    </row>
    <row r="57" spans="1:12" ht="15.75" customHeight="1" x14ac:dyDescent="0.3">
      <c r="A57" s="15"/>
      <c r="B57" s="16" t="s">
        <v>28</v>
      </c>
      <c r="C57" s="38" t="s">
        <v>244</v>
      </c>
      <c r="D57" s="193"/>
      <c r="E57" s="193" t="str">
        <f>IF(D58="&gt;","Hight future interest rate scenario","Optimistic scenario")</f>
        <v>Optimistic scenario</v>
      </c>
      <c r="F57" s="193"/>
      <c r="G57" s="193"/>
      <c r="H57" s="17"/>
      <c r="I57" s="208"/>
      <c r="J57" s="17"/>
      <c r="K57" s="17"/>
      <c r="L57" s="17"/>
    </row>
    <row r="58" spans="1:12" ht="15.75" customHeight="1" x14ac:dyDescent="0.3">
      <c r="A58" s="7"/>
      <c r="B58" s="135" t="s">
        <v>251</v>
      </c>
      <c r="C58" s="209">
        <f>C37</f>
        <v>4.1289797324637867</v>
      </c>
      <c r="D58" s="31" t="str">
        <f>IF(C58&lt;E58,"&lt;",IF(C58=E58,"=","&gt;"))</f>
        <v>&lt;</v>
      </c>
      <c r="E58" s="210">
        <f>F54</f>
        <v>7.404201537488948</v>
      </c>
      <c r="F58" s="7"/>
      <c r="G58" s="7"/>
      <c r="H58" s="7"/>
      <c r="I58" s="7"/>
      <c r="J58" s="7"/>
      <c r="K58" s="7"/>
      <c r="L58" s="7"/>
    </row>
    <row r="59" spans="1:12" ht="15.75" customHeight="1" x14ac:dyDescent="0.3">
      <c r="A59" s="7"/>
      <c r="B59" s="7"/>
      <c r="C59" s="7"/>
      <c r="D59" s="7"/>
      <c r="E59" s="7"/>
      <c r="F59" s="7"/>
      <c r="G59" s="7"/>
      <c r="H59" s="7"/>
    </row>
    <row r="60" spans="1:12" ht="15.75" customHeight="1" x14ac:dyDescent="0.3">
      <c r="C60" s="295" t="s">
        <v>252</v>
      </c>
      <c r="D60" s="271"/>
      <c r="E60" s="57" t="s">
        <v>253</v>
      </c>
      <c r="F60" s="57" t="s">
        <v>88</v>
      </c>
      <c r="G60" s="57" t="s">
        <v>254</v>
      </c>
      <c r="H60" s="7"/>
    </row>
    <row r="61" spans="1:12" ht="15.75" customHeight="1" x14ac:dyDescent="0.3">
      <c r="B61" s="7" t="s">
        <v>255</v>
      </c>
      <c r="C61" s="211">
        <f>MIN(C58,E58)+(ABS(C58-E58)*'Qualitative Analysis'!E56)</f>
        <v>6.2335975309564997</v>
      </c>
      <c r="D61" s="212" t="str">
        <f>D45</f>
        <v>HKD</v>
      </c>
      <c r="E61" s="213">
        <f>IF(Data!F3&lt;=0,"NNI",C61/((Data!F3*Exchange_Rate)/(Common_Shares/Data!C4)))</f>
        <v>21.413738047555729</v>
      </c>
      <c r="F61" s="28">
        <f>1/E61</f>
        <v>4.6698992851187185E-2</v>
      </c>
      <c r="G61" s="213">
        <f>C61/(Data!C25*Exchange_Rate*Data!C4/Common_Shares)</f>
        <v>1.6483512055786074</v>
      </c>
      <c r="H61" s="7"/>
      <c r="I61" s="148" t="s">
        <v>256</v>
      </c>
    </row>
    <row r="62" spans="1:12" ht="15.75" customHeight="1" x14ac:dyDescent="0.3">
      <c r="B62" s="7"/>
      <c r="C62" s="7"/>
      <c r="D62" s="7"/>
      <c r="E62" s="7"/>
      <c r="F62" s="7"/>
      <c r="G62" s="7"/>
    </row>
    <row r="63" spans="1:12" ht="15.75" customHeight="1" x14ac:dyDescent="0.3"/>
    <row r="64" spans="1:12" ht="15.75" customHeight="1" x14ac:dyDescent="0.3"/>
    <row r="65" s="4" customFormat="1" ht="15.75" customHeight="1" x14ac:dyDescent="0.3"/>
    <row r="66" s="4" customFormat="1" ht="15.75" customHeight="1" x14ac:dyDescent="0.3"/>
    <row r="67" s="4" customFormat="1" ht="15.75" customHeight="1" x14ac:dyDescent="0.3"/>
    <row r="68" s="4" customFormat="1" ht="15.75" customHeight="1" x14ac:dyDescent="0.3"/>
    <row r="69" s="4" customFormat="1" ht="15.75" customHeight="1" x14ac:dyDescent="0.3"/>
    <row r="70" s="4" customFormat="1" ht="15.75" customHeight="1" x14ac:dyDescent="0.3"/>
    <row r="71" s="4" customFormat="1" ht="15.75" customHeight="1" x14ac:dyDescent="0.3"/>
    <row r="72" s="4" customFormat="1" ht="15.75" customHeight="1" x14ac:dyDescent="0.3"/>
    <row r="73" s="4" customFormat="1" ht="15.75" customHeight="1" x14ac:dyDescent="0.3"/>
    <row r="74" s="4" customFormat="1" ht="15.75" customHeight="1" x14ac:dyDescent="0.3"/>
    <row r="75" s="4" customFormat="1" ht="15.75" customHeight="1" x14ac:dyDescent="0.3"/>
    <row r="76" s="4" customFormat="1" ht="15.75" customHeight="1" x14ac:dyDescent="0.3"/>
    <row r="77" s="4" customFormat="1" ht="15.75" customHeight="1" x14ac:dyDescent="0.3"/>
    <row r="78" s="4" customFormat="1" ht="15.75" customHeight="1" x14ac:dyDescent="0.3"/>
    <row r="79" s="4" customFormat="1" ht="15.75" customHeight="1" x14ac:dyDescent="0.3"/>
    <row r="80" s="4" customFormat="1" ht="15.75" customHeight="1" x14ac:dyDescent="0.3"/>
    <row r="81" s="4" customFormat="1" ht="15.75" customHeight="1" x14ac:dyDescent="0.3"/>
    <row r="82" s="4" customFormat="1" ht="15.75" customHeight="1" x14ac:dyDescent="0.3"/>
    <row r="83" s="4" customFormat="1" ht="15.75" customHeight="1" x14ac:dyDescent="0.3"/>
    <row r="84" s="4" customFormat="1" ht="15.75" customHeight="1" x14ac:dyDescent="0.3"/>
    <row r="85" s="4" customFormat="1" ht="15.75" customHeight="1" x14ac:dyDescent="0.3"/>
    <row r="86" s="4" customFormat="1" ht="15.75" customHeight="1" x14ac:dyDescent="0.3"/>
    <row r="87" s="4" customFormat="1" ht="15.75" customHeight="1" x14ac:dyDescent="0.3"/>
    <row r="88" s="4" customFormat="1" ht="15.75" customHeight="1" x14ac:dyDescent="0.3"/>
    <row r="89" s="4" customFormat="1" ht="15.75" customHeight="1" x14ac:dyDescent="0.3"/>
    <row r="90" s="4" customFormat="1" ht="15.75" customHeight="1" x14ac:dyDescent="0.3"/>
    <row r="91" s="4" customFormat="1" ht="15.75" customHeight="1" x14ac:dyDescent="0.3"/>
    <row r="92" s="4" customFormat="1" ht="15.75" customHeight="1" x14ac:dyDescent="0.3"/>
    <row r="93" s="4" customFormat="1" ht="15.75" customHeight="1" x14ac:dyDescent="0.3"/>
    <row r="94" s="4" customFormat="1" ht="15.75" customHeight="1" x14ac:dyDescent="0.3"/>
    <row r="95" s="4" customFormat="1" ht="15.75" customHeight="1" x14ac:dyDescent="0.3"/>
    <row r="96" s="4" customFormat="1" ht="15.75" customHeight="1" x14ac:dyDescent="0.3"/>
    <row r="97" s="4" customFormat="1" ht="15.75" customHeight="1" x14ac:dyDescent="0.3"/>
    <row r="98" s="4" customFormat="1" ht="15.75" customHeight="1" x14ac:dyDescent="0.3"/>
    <row r="99" s="4" customFormat="1" ht="15.75" customHeight="1" x14ac:dyDescent="0.3"/>
    <row r="100" s="4" customFormat="1" ht="15.75" customHeight="1" x14ac:dyDescent="0.3"/>
    <row r="101" s="4" customFormat="1" ht="15.75" customHeight="1" x14ac:dyDescent="0.3"/>
    <row r="102" s="4" customFormat="1" ht="15.75" customHeight="1" x14ac:dyDescent="0.3"/>
    <row r="103" s="4" customFormat="1" ht="15.75" customHeight="1" x14ac:dyDescent="0.3"/>
    <row r="104" s="4" customFormat="1" ht="15.75" customHeight="1" x14ac:dyDescent="0.3"/>
    <row r="105" s="4" customFormat="1" ht="15.75" customHeight="1" x14ac:dyDescent="0.3"/>
    <row r="106" s="4" customFormat="1" ht="15.75" customHeight="1" x14ac:dyDescent="0.3"/>
    <row r="107" s="4" customFormat="1" ht="15.75" customHeight="1" x14ac:dyDescent="0.3"/>
    <row r="108" s="4" customFormat="1" ht="15.75" customHeight="1" x14ac:dyDescent="0.3"/>
    <row r="109" s="4" customFormat="1" ht="15.75" customHeight="1" x14ac:dyDescent="0.3"/>
    <row r="110" s="4" customFormat="1" ht="15.75" customHeight="1" x14ac:dyDescent="0.3"/>
    <row r="111" s="4" customFormat="1" ht="15.75" customHeight="1" x14ac:dyDescent="0.3"/>
    <row r="112" s="4" customFormat="1" ht="15.75" customHeight="1" x14ac:dyDescent="0.3"/>
    <row r="113" s="4" customFormat="1" ht="15.75" customHeight="1" x14ac:dyDescent="0.3"/>
    <row r="114" s="4" customFormat="1" ht="15.75" customHeight="1" x14ac:dyDescent="0.3"/>
    <row r="115" s="4" customFormat="1" ht="15.75" customHeight="1" x14ac:dyDescent="0.3"/>
    <row r="116" s="4" customFormat="1" ht="15.75" customHeight="1" x14ac:dyDescent="0.3"/>
    <row r="117" s="4" customFormat="1" ht="15.75" customHeight="1" x14ac:dyDescent="0.3"/>
    <row r="118" s="4" customFormat="1" ht="15.75" customHeight="1" x14ac:dyDescent="0.3"/>
    <row r="119" s="4" customFormat="1" ht="15.75" customHeight="1" x14ac:dyDescent="0.3"/>
    <row r="120" s="4" customFormat="1" ht="15.75" customHeight="1" x14ac:dyDescent="0.3"/>
    <row r="121" s="4" customFormat="1" ht="15.75" customHeight="1" x14ac:dyDescent="0.3"/>
    <row r="122" s="4" customFormat="1" ht="15.75" customHeight="1" x14ac:dyDescent="0.3"/>
    <row r="123" s="4" customFormat="1" ht="15.75" customHeight="1" x14ac:dyDescent="0.3"/>
    <row r="124" s="4" customFormat="1" ht="15.75" customHeight="1" x14ac:dyDescent="0.3"/>
    <row r="125" s="4" customFormat="1" ht="15.75" customHeight="1" x14ac:dyDescent="0.3"/>
    <row r="126" s="4" customFormat="1" ht="15.75" customHeight="1" x14ac:dyDescent="0.3"/>
    <row r="127" s="4" customFormat="1" ht="15.75" customHeight="1" x14ac:dyDescent="0.3"/>
    <row r="128" s="4" customFormat="1" ht="15.75" customHeight="1" x14ac:dyDescent="0.3"/>
    <row r="129" s="4" customFormat="1" ht="15.75" customHeight="1" x14ac:dyDescent="0.3"/>
    <row r="130" s="4" customFormat="1" ht="15.75" customHeight="1" x14ac:dyDescent="0.3"/>
    <row r="131" s="4" customFormat="1" ht="15.75" customHeight="1" x14ac:dyDescent="0.3"/>
    <row r="132" s="4" customFormat="1" ht="15.75" customHeight="1" x14ac:dyDescent="0.3"/>
    <row r="133" s="4" customFormat="1" ht="15.75" customHeight="1" x14ac:dyDescent="0.3"/>
    <row r="134" s="4" customFormat="1" ht="15.75" customHeight="1" x14ac:dyDescent="0.3"/>
    <row r="135" s="4" customFormat="1" ht="15.75" customHeight="1" x14ac:dyDescent="0.3"/>
    <row r="136" s="4" customFormat="1" ht="15.75" customHeight="1" x14ac:dyDescent="0.3"/>
    <row r="137" s="4" customFormat="1" ht="15.75" customHeight="1" x14ac:dyDescent="0.3"/>
    <row r="138" s="4" customFormat="1" ht="15.75" customHeight="1" x14ac:dyDescent="0.3"/>
    <row r="139" s="4" customFormat="1" ht="15.75" customHeight="1" x14ac:dyDescent="0.3"/>
    <row r="140" s="4" customFormat="1" ht="15.75" customHeight="1" x14ac:dyDescent="0.3"/>
    <row r="141" s="4" customFormat="1" ht="15.75" customHeight="1" x14ac:dyDescent="0.3"/>
    <row r="142" s="4" customFormat="1" ht="15.75" customHeight="1" x14ac:dyDescent="0.3"/>
    <row r="143" s="4" customFormat="1" ht="15.75" customHeight="1" x14ac:dyDescent="0.3"/>
    <row r="144" s="4" customFormat="1" ht="15.75" customHeight="1" x14ac:dyDescent="0.3"/>
    <row r="145" s="4" customFormat="1" ht="15.75" customHeight="1" x14ac:dyDescent="0.3"/>
    <row r="146" s="4" customFormat="1" ht="15.75" customHeight="1" x14ac:dyDescent="0.3"/>
    <row r="147" s="4" customFormat="1" ht="15.75" customHeight="1" x14ac:dyDescent="0.3"/>
    <row r="148" s="4" customFormat="1" ht="15.75" customHeight="1" x14ac:dyDescent="0.3"/>
    <row r="149" s="4" customFormat="1" ht="15.75" customHeight="1" x14ac:dyDescent="0.3"/>
    <row r="150" s="4" customFormat="1" ht="15.75" customHeight="1" x14ac:dyDescent="0.3"/>
    <row r="151" s="4" customFormat="1" ht="15.75" customHeight="1" x14ac:dyDescent="0.3"/>
    <row r="152" s="4" customFormat="1" ht="15.75" customHeight="1" x14ac:dyDescent="0.3"/>
    <row r="153" s="4" customFormat="1" ht="15.75" customHeight="1" x14ac:dyDescent="0.3"/>
    <row r="154" s="4" customFormat="1" ht="15.75" customHeight="1" x14ac:dyDescent="0.3"/>
    <row r="155" s="4" customFormat="1" ht="15.75" customHeight="1" x14ac:dyDescent="0.3"/>
    <row r="156" s="4" customFormat="1" ht="15.75" customHeight="1" x14ac:dyDescent="0.3"/>
    <row r="157" s="4" customFormat="1" ht="15.75" customHeight="1" x14ac:dyDescent="0.3"/>
    <row r="158" s="4" customFormat="1" ht="15.75" customHeight="1" x14ac:dyDescent="0.3"/>
    <row r="159" s="4" customFormat="1" ht="15.75" customHeight="1" x14ac:dyDescent="0.3"/>
    <row r="160" s="4" customFormat="1" ht="15.75" customHeight="1" x14ac:dyDescent="0.3"/>
    <row r="161" s="4" customFormat="1" ht="15.75" customHeight="1" x14ac:dyDescent="0.3"/>
    <row r="162" s="4" customFormat="1" ht="15.75" customHeight="1" x14ac:dyDescent="0.3"/>
    <row r="163" s="4" customFormat="1" ht="15.75" customHeight="1" x14ac:dyDescent="0.3"/>
    <row r="164" s="4" customFormat="1" ht="15.75" customHeight="1" x14ac:dyDescent="0.3"/>
    <row r="165" s="4" customFormat="1" ht="15.75" customHeight="1" x14ac:dyDescent="0.3"/>
    <row r="166" s="4" customFormat="1" ht="15.75" customHeight="1" x14ac:dyDescent="0.3"/>
    <row r="167" s="4" customFormat="1" ht="15.75" customHeight="1" x14ac:dyDescent="0.3"/>
    <row r="168" s="4" customFormat="1" ht="15.75" customHeight="1" x14ac:dyDescent="0.3"/>
    <row r="169" s="4" customFormat="1" ht="15.75" customHeight="1" x14ac:dyDescent="0.3"/>
    <row r="170" s="4" customFormat="1" ht="15.75" customHeight="1" x14ac:dyDescent="0.3"/>
    <row r="171" s="4" customFormat="1" ht="15.75" customHeight="1" x14ac:dyDescent="0.3"/>
    <row r="172" s="4" customFormat="1" ht="15.75" customHeight="1" x14ac:dyDescent="0.3"/>
    <row r="173" s="4" customFormat="1" ht="15.75" customHeight="1" x14ac:dyDescent="0.3"/>
    <row r="174" s="4" customFormat="1" ht="15.75" customHeight="1" x14ac:dyDescent="0.3"/>
    <row r="175" s="4" customFormat="1" ht="15.75" customHeight="1" x14ac:dyDescent="0.3"/>
    <row r="176" s="4" customFormat="1" ht="15.75" customHeight="1" x14ac:dyDescent="0.3"/>
    <row r="177" s="4" customFormat="1" ht="15.75" customHeight="1" x14ac:dyDescent="0.3"/>
    <row r="178" s="4" customFormat="1" ht="15.75" customHeight="1" x14ac:dyDescent="0.3"/>
    <row r="179" s="4" customFormat="1" ht="15.75" customHeight="1" x14ac:dyDescent="0.3"/>
    <row r="180" s="4" customFormat="1" ht="15.75" customHeight="1" x14ac:dyDescent="0.3"/>
    <row r="181" s="4" customFormat="1" ht="15.75" customHeight="1" x14ac:dyDescent="0.3"/>
    <row r="182" s="4" customFormat="1" ht="15.75" customHeight="1" x14ac:dyDescent="0.3"/>
    <row r="183" s="4" customFormat="1" ht="15.75" customHeight="1" x14ac:dyDescent="0.3"/>
    <row r="184" s="4" customFormat="1" ht="15.75" customHeight="1" x14ac:dyDescent="0.3"/>
    <row r="185" s="4" customFormat="1" ht="15.75" customHeight="1" x14ac:dyDescent="0.3"/>
    <row r="186" s="4" customFormat="1" ht="15.75" customHeight="1" x14ac:dyDescent="0.3"/>
    <row r="187" s="4" customFormat="1" ht="15.75" customHeight="1" x14ac:dyDescent="0.3"/>
    <row r="188" s="4" customFormat="1" ht="15.75" customHeight="1" x14ac:dyDescent="0.3"/>
    <row r="189" s="4" customFormat="1" ht="15.75" customHeight="1" x14ac:dyDescent="0.3"/>
    <row r="190" s="4" customFormat="1" ht="15.75" customHeight="1" x14ac:dyDescent="0.3"/>
    <row r="191" s="4" customFormat="1" ht="15.75" customHeight="1" x14ac:dyDescent="0.3"/>
    <row r="192" s="4" customFormat="1" ht="15.75" customHeight="1" x14ac:dyDescent="0.3"/>
    <row r="193" s="4" customFormat="1" ht="15.75" customHeight="1" x14ac:dyDescent="0.3"/>
    <row r="194" s="4" customFormat="1" ht="15.75" customHeight="1" x14ac:dyDescent="0.3"/>
    <row r="195" s="4" customFormat="1" ht="15.75" customHeight="1" x14ac:dyDescent="0.3"/>
    <row r="196" s="4" customFormat="1" ht="15.75" customHeight="1" x14ac:dyDescent="0.3"/>
    <row r="197" s="4" customFormat="1" ht="15.75" customHeight="1" x14ac:dyDescent="0.3"/>
    <row r="198" s="4" customFormat="1" ht="15.75" customHeight="1" x14ac:dyDescent="0.3"/>
    <row r="199" s="4" customFormat="1" ht="15.75" customHeight="1" x14ac:dyDescent="0.3"/>
    <row r="200" s="4" customFormat="1" ht="15.75" customHeight="1" x14ac:dyDescent="0.3"/>
    <row r="201" s="4" customFormat="1" ht="15.75" customHeight="1" x14ac:dyDescent="0.3"/>
    <row r="202" s="4" customFormat="1" ht="15.75" customHeight="1" x14ac:dyDescent="0.3"/>
    <row r="203" s="4" customFormat="1" ht="15.75" customHeight="1" x14ac:dyDescent="0.3"/>
    <row r="204" s="4" customFormat="1" ht="15.75" customHeight="1" x14ac:dyDescent="0.3"/>
    <row r="205" s="4" customFormat="1" ht="15.75" customHeight="1" x14ac:dyDescent="0.3"/>
    <row r="206" s="4" customFormat="1" ht="15.75" customHeight="1" x14ac:dyDescent="0.3"/>
    <row r="207" s="4" customFormat="1" ht="15.75" customHeight="1" x14ac:dyDescent="0.3"/>
    <row r="208" s="4" customFormat="1" ht="15.75" customHeight="1" x14ac:dyDescent="0.3"/>
    <row r="209" s="4" customFormat="1" ht="15.75" customHeight="1" x14ac:dyDescent="0.3"/>
    <row r="210" s="4" customFormat="1" ht="15.75" customHeight="1" x14ac:dyDescent="0.3"/>
    <row r="211" s="4" customFormat="1" ht="15.75" customHeight="1" x14ac:dyDescent="0.3"/>
    <row r="212" s="4" customFormat="1" ht="15.75" customHeight="1" x14ac:dyDescent="0.3"/>
    <row r="213" s="4" customFormat="1" ht="15.75" customHeight="1" x14ac:dyDescent="0.3"/>
    <row r="214" s="4" customFormat="1" ht="15.75" customHeight="1" x14ac:dyDescent="0.3"/>
    <row r="215" s="4" customFormat="1" ht="15.75" customHeight="1" x14ac:dyDescent="0.3"/>
    <row r="216" s="4" customFormat="1" ht="15.75" customHeight="1" x14ac:dyDescent="0.3"/>
    <row r="217" s="4" customFormat="1" ht="15.75" customHeight="1" x14ac:dyDescent="0.3"/>
    <row r="218" s="4" customFormat="1" ht="15.75" customHeight="1" x14ac:dyDescent="0.3"/>
    <row r="219" s="4" customFormat="1" ht="15.75" customHeight="1" x14ac:dyDescent="0.3"/>
    <row r="220" s="4" customFormat="1" ht="15.75" customHeight="1" x14ac:dyDescent="0.3"/>
    <row r="221" s="4" customFormat="1" ht="15.75" customHeight="1" x14ac:dyDescent="0.3"/>
    <row r="222" s="4" customFormat="1" ht="15.75" customHeight="1" x14ac:dyDescent="0.3"/>
    <row r="223" s="4" customFormat="1" ht="15.75" customHeight="1" x14ac:dyDescent="0.3"/>
    <row r="224" s="4" customFormat="1" ht="15.75" customHeight="1" x14ac:dyDescent="0.3"/>
    <row r="225" s="4" customFormat="1" ht="15.75" customHeight="1" x14ac:dyDescent="0.3"/>
    <row r="226" s="4" customFormat="1" ht="15.75" customHeight="1" x14ac:dyDescent="0.3"/>
    <row r="227" s="4" customFormat="1" ht="15.75" customHeight="1" x14ac:dyDescent="0.3"/>
    <row r="228" s="4" customFormat="1" ht="15.75" customHeight="1" x14ac:dyDescent="0.3"/>
    <row r="229" s="4" customFormat="1" ht="15.75" customHeight="1" x14ac:dyDescent="0.3"/>
    <row r="230" s="4" customFormat="1" ht="15.75" customHeight="1" x14ac:dyDescent="0.3"/>
    <row r="231" s="4" customFormat="1" ht="15.75" customHeight="1" x14ac:dyDescent="0.3"/>
    <row r="232" s="4" customFormat="1" ht="15.75" customHeight="1" x14ac:dyDescent="0.3"/>
    <row r="233" s="4" customFormat="1" ht="15.75" customHeight="1" x14ac:dyDescent="0.3"/>
    <row r="234" s="4" customFormat="1" ht="15.75" customHeight="1" x14ac:dyDescent="0.3"/>
    <row r="235" s="4" customFormat="1" ht="15.75" customHeight="1" x14ac:dyDescent="0.3"/>
    <row r="236" s="4" customFormat="1" ht="15.75" customHeight="1" x14ac:dyDescent="0.3"/>
    <row r="237" s="4" customFormat="1" ht="15.75" customHeight="1" x14ac:dyDescent="0.3"/>
    <row r="238" s="4" customFormat="1" ht="15.75" customHeight="1" x14ac:dyDescent="0.3"/>
    <row r="239" s="4" customFormat="1" ht="15.75" customHeight="1" x14ac:dyDescent="0.3"/>
    <row r="240" s="4" customFormat="1" ht="15.75" customHeight="1" x14ac:dyDescent="0.3"/>
    <row r="241" s="4" customFormat="1" ht="15.75" customHeight="1" x14ac:dyDescent="0.3"/>
    <row r="242" s="4" customFormat="1" ht="15.75" customHeight="1" x14ac:dyDescent="0.3"/>
    <row r="243" s="4" customFormat="1" ht="15.75" customHeight="1" x14ac:dyDescent="0.3"/>
    <row r="244" s="4" customFormat="1" ht="15.75" customHeight="1" x14ac:dyDescent="0.3"/>
    <row r="245" s="4" customFormat="1" ht="15.75" customHeight="1" x14ac:dyDescent="0.3"/>
    <row r="246" s="4" customFormat="1" ht="15.75" customHeight="1" x14ac:dyDescent="0.3"/>
    <row r="247" s="4" customFormat="1" ht="15.75" customHeight="1" x14ac:dyDescent="0.3"/>
    <row r="248" s="4" customFormat="1" ht="15.75" customHeight="1" x14ac:dyDescent="0.3"/>
    <row r="249" s="4" customFormat="1" ht="15.75" customHeight="1" x14ac:dyDescent="0.3"/>
    <row r="250" s="4" customFormat="1" ht="15.75" customHeight="1" x14ac:dyDescent="0.3"/>
    <row r="251" s="4" customFormat="1" ht="15.75" customHeight="1" x14ac:dyDescent="0.3"/>
    <row r="252" s="4" customFormat="1" ht="15.75" customHeight="1" x14ac:dyDescent="0.3"/>
    <row r="253" s="4" customFormat="1" ht="15.75" customHeight="1" x14ac:dyDescent="0.3"/>
    <row r="254" s="4" customFormat="1" ht="15.75" customHeight="1" x14ac:dyDescent="0.3"/>
    <row r="255" s="4" customFormat="1" ht="15.75" customHeight="1" x14ac:dyDescent="0.3"/>
    <row r="256" s="4" customFormat="1" ht="15.75" customHeight="1" x14ac:dyDescent="0.3"/>
    <row r="257" s="4" customFormat="1" ht="15.75" customHeight="1" x14ac:dyDescent="0.3"/>
    <row r="258" s="4" customFormat="1" ht="15.75" customHeight="1" x14ac:dyDescent="0.3"/>
    <row r="259" s="4" customFormat="1" ht="15.75" customHeight="1" x14ac:dyDescent="0.3"/>
    <row r="260" s="4" customFormat="1" ht="15.75" customHeight="1" x14ac:dyDescent="0.3"/>
    <row r="261" s="4" customFormat="1" ht="15.75" customHeight="1" x14ac:dyDescent="0.3"/>
    <row r="262" s="4" customFormat="1" ht="15.75" customHeight="1" x14ac:dyDescent="0.3"/>
    <row r="263" s="4" customFormat="1" ht="15.75" customHeight="1" x14ac:dyDescent="0.3"/>
    <row r="264" s="4" customFormat="1" ht="15.75" customHeight="1" x14ac:dyDescent="0.3"/>
    <row r="265" s="4" customFormat="1" ht="15.75" customHeight="1" x14ac:dyDescent="0.3"/>
    <row r="266" s="4" customFormat="1" ht="15.75" customHeight="1" x14ac:dyDescent="0.3"/>
    <row r="267" s="4" customFormat="1" ht="15.75" customHeight="1" x14ac:dyDescent="0.3"/>
    <row r="268" s="4" customFormat="1" ht="15.75" customHeight="1" x14ac:dyDescent="0.3"/>
    <row r="269" s="4" customFormat="1" ht="15.75" customHeight="1" x14ac:dyDescent="0.3"/>
    <row r="270" s="4" customFormat="1" ht="15.75" customHeight="1" x14ac:dyDescent="0.3"/>
    <row r="271" s="4" customFormat="1" ht="15.75" customHeight="1" x14ac:dyDescent="0.3"/>
    <row r="272" s="4" customFormat="1" ht="15.75" customHeight="1" x14ac:dyDescent="0.3"/>
    <row r="273" s="4" customFormat="1" ht="15.75" customHeight="1" x14ac:dyDescent="0.3"/>
    <row r="274" s="4" customFormat="1" ht="15.75" customHeight="1" x14ac:dyDescent="0.3"/>
    <row r="275" s="4" customFormat="1" ht="15.75" customHeight="1" x14ac:dyDescent="0.3"/>
    <row r="276" s="4" customFormat="1" ht="15.75" customHeight="1" x14ac:dyDescent="0.3"/>
    <row r="277" s="4" customFormat="1" ht="15.75" customHeight="1" x14ac:dyDescent="0.3"/>
    <row r="278" s="4" customFormat="1" ht="15.75" customHeight="1" x14ac:dyDescent="0.3"/>
    <row r="279" s="4" customFormat="1" ht="15.75" customHeight="1" x14ac:dyDescent="0.3"/>
    <row r="280" s="4" customFormat="1" ht="15.75" customHeight="1" x14ac:dyDescent="0.3"/>
    <row r="281" s="4" customFormat="1" ht="15.75" customHeight="1" x14ac:dyDescent="0.3"/>
    <row r="282" s="4" customFormat="1" ht="15.75" customHeight="1" x14ac:dyDescent="0.3"/>
    <row r="283" s="4" customFormat="1" ht="15.75" customHeight="1" x14ac:dyDescent="0.3"/>
    <row r="284" s="4" customFormat="1" ht="15.75" customHeight="1" x14ac:dyDescent="0.3"/>
    <row r="285" s="4" customFormat="1" ht="15.75" customHeight="1" x14ac:dyDescent="0.3"/>
    <row r="286" s="4" customFormat="1" ht="15.75" customHeight="1" x14ac:dyDescent="0.3"/>
    <row r="287" s="4" customFormat="1" ht="15.75" customHeight="1" x14ac:dyDescent="0.3"/>
    <row r="288" s="4" customFormat="1" ht="15.75" customHeight="1" x14ac:dyDescent="0.3"/>
    <row r="289" s="4" customFormat="1" ht="15.75" customHeight="1" x14ac:dyDescent="0.3"/>
    <row r="290" s="4" customFormat="1" ht="15.75" customHeight="1" x14ac:dyDescent="0.3"/>
    <row r="291" s="4" customFormat="1" ht="15.75" customHeight="1" x14ac:dyDescent="0.3"/>
    <row r="292" s="4" customFormat="1" ht="15.75" customHeight="1" x14ac:dyDescent="0.3"/>
    <row r="293" s="4" customFormat="1" ht="15.75" customHeight="1" x14ac:dyDescent="0.3"/>
    <row r="294" s="4" customFormat="1" ht="15.75" customHeight="1" x14ac:dyDescent="0.3"/>
    <row r="295" s="4" customFormat="1" ht="15.75" customHeight="1" x14ac:dyDescent="0.3"/>
    <row r="296" s="4" customFormat="1" ht="15.75" customHeight="1" x14ac:dyDescent="0.3"/>
    <row r="297" s="4" customFormat="1" ht="15.75" customHeight="1" x14ac:dyDescent="0.3"/>
    <row r="298" s="4" customFormat="1" ht="15.75" customHeight="1" x14ac:dyDescent="0.3"/>
    <row r="299" s="4" customFormat="1" ht="15.75" customHeight="1" x14ac:dyDescent="0.3"/>
    <row r="300" s="4" customFormat="1" ht="15.75" customHeight="1" x14ac:dyDescent="0.3"/>
    <row r="301" s="4" customFormat="1" ht="15.75" customHeight="1" x14ac:dyDescent="0.3"/>
    <row r="302" s="4" customFormat="1" ht="15.75" customHeight="1" x14ac:dyDescent="0.3"/>
    <row r="303" s="4" customFormat="1" ht="15.75" customHeight="1" x14ac:dyDescent="0.3"/>
    <row r="304" s="4" customFormat="1" ht="15.75" customHeight="1" x14ac:dyDescent="0.3"/>
    <row r="305" s="4" customFormat="1" ht="15.75" customHeight="1" x14ac:dyDescent="0.3"/>
    <row r="306" s="4" customFormat="1" ht="15.75" customHeight="1" x14ac:dyDescent="0.3"/>
    <row r="307" s="4" customFormat="1" ht="15.75" customHeight="1" x14ac:dyDescent="0.3"/>
    <row r="308" s="4" customFormat="1" ht="15.75" customHeight="1" x14ac:dyDescent="0.3"/>
    <row r="309" s="4" customFormat="1" ht="15.75" customHeight="1" x14ac:dyDescent="0.3"/>
    <row r="310" s="4" customFormat="1" ht="15.75" customHeight="1" x14ac:dyDescent="0.3"/>
    <row r="311" s="4" customFormat="1" ht="15.75" customHeight="1" x14ac:dyDescent="0.3"/>
    <row r="312" s="4" customFormat="1" ht="15.75" customHeight="1" x14ac:dyDescent="0.3"/>
    <row r="313" s="4" customFormat="1" ht="15.75" customHeight="1" x14ac:dyDescent="0.3"/>
    <row r="314" s="4" customFormat="1" ht="15.75" customHeight="1" x14ac:dyDescent="0.3"/>
    <row r="315" s="4" customFormat="1" ht="15.75" customHeight="1" x14ac:dyDescent="0.3"/>
    <row r="316" s="4" customFormat="1" ht="15.75" customHeight="1" x14ac:dyDescent="0.3"/>
    <row r="317" s="4" customFormat="1" ht="15.75" customHeight="1" x14ac:dyDescent="0.3"/>
    <row r="318" s="4" customFormat="1" ht="15.75" customHeight="1" x14ac:dyDescent="0.3"/>
    <row r="319" s="4" customFormat="1" ht="15.75" customHeight="1" x14ac:dyDescent="0.3"/>
    <row r="320" s="4" customFormat="1" ht="15.75" customHeight="1" x14ac:dyDescent="0.3"/>
    <row r="321" s="4" customFormat="1" ht="15.75" customHeight="1" x14ac:dyDescent="0.3"/>
    <row r="322" s="4" customFormat="1" ht="15.75" customHeight="1" x14ac:dyDescent="0.3"/>
    <row r="323" s="4" customFormat="1" ht="15.75" customHeight="1" x14ac:dyDescent="0.3"/>
    <row r="324" s="4" customFormat="1" ht="15.75" customHeight="1" x14ac:dyDescent="0.3"/>
    <row r="325" s="4" customFormat="1" ht="15.75" customHeight="1" x14ac:dyDescent="0.3"/>
    <row r="326" s="4" customFormat="1" ht="15.75" customHeight="1" x14ac:dyDescent="0.3"/>
    <row r="327" s="4" customFormat="1" ht="15.75" customHeight="1" x14ac:dyDescent="0.3"/>
    <row r="328" s="4" customFormat="1" ht="15.75" customHeight="1" x14ac:dyDescent="0.3"/>
    <row r="329" s="4" customFormat="1" ht="15.75" customHeight="1" x14ac:dyDescent="0.3"/>
    <row r="330" s="4" customFormat="1" ht="15.75" customHeight="1" x14ac:dyDescent="0.3"/>
    <row r="331" s="4" customFormat="1" ht="15.75" customHeight="1" x14ac:dyDescent="0.3"/>
    <row r="332" s="4" customFormat="1" ht="15.75" customHeight="1" x14ac:dyDescent="0.3"/>
    <row r="333" s="4" customFormat="1" ht="15.75" customHeight="1" x14ac:dyDescent="0.3"/>
    <row r="334" s="4" customFormat="1" ht="15.75" customHeight="1" x14ac:dyDescent="0.3"/>
    <row r="335" s="4" customFormat="1" ht="15.75" customHeight="1" x14ac:dyDescent="0.3"/>
    <row r="336" s="4" customFormat="1" ht="15.75" customHeight="1" x14ac:dyDescent="0.3"/>
    <row r="337" s="4" customFormat="1" ht="15.75" customHeight="1" x14ac:dyDescent="0.3"/>
    <row r="338" s="4" customFormat="1" ht="15.75" customHeight="1" x14ac:dyDescent="0.3"/>
    <row r="339" s="4" customFormat="1" ht="15.75" customHeight="1" x14ac:dyDescent="0.3"/>
    <row r="340" s="4" customFormat="1" ht="15.75" customHeight="1" x14ac:dyDescent="0.3"/>
    <row r="341" s="4" customFormat="1" ht="15.75" customHeight="1" x14ac:dyDescent="0.3"/>
    <row r="342" s="4" customFormat="1" ht="15.75" customHeight="1" x14ac:dyDescent="0.3"/>
    <row r="343" s="4" customFormat="1" ht="15.75" customHeight="1" x14ac:dyDescent="0.3"/>
    <row r="344" s="4" customFormat="1" ht="15.75" customHeight="1" x14ac:dyDescent="0.3"/>
    <row r="345" s="4" customFormat="1" ht="15.75" customHeight="1" x14ac:dyDescent="0.3"/>
    <row r="346" s="4" customFormat="1" ht="15.75" customHeight="1" x14ac:dyDescent="0.3"/>
    <row r="347" s="4" customFormat="1" ht="15.75" customHeight="1" x14ac:dyDescent="0.3"/>
    <row r="348" s="4" customFormat="1" ht="15.75" customHeight="1" x14ac:dyDescent="0.3"/>
    <row r="349" s="4" customFormat="1" ht="15.75" customHeight="1" x14ac:dyDescent="0.3"/>
    <row r="350" s="4" customFormat="1" ht="15.75" customHeight="1" x14ac:dyDescent="0.3"/>
    <row r="351" s="4" customFormat="1" ht="15.75" customHeight="1" x14ac:dyDescent="0.3"/>
    <row r="352" s="4" customFormat="1" ht="15.75" customHeight="1" x14ac:dyDescent="0.3"/>
    <row r="353" s="4" customFormat="1" ht="15.75" customHeight="1" x14ac:dyDescent="0.3"/>
    <row r="354" s="4" customFormat="1" ht="15.75" customHeight="1" x14ac:dyDescent="0.3"/>
    <row r="355" s="4" customFormat="1" ht="15.75" customHeight="1" x14ac:dyDescent="0.3"/>
    <row r="356" s="4" customFormat="1" ht="15.75" customHeight="1" x14ac:dyDescent="0.3"/>
    <row r="357" s="4" customFormat="1" ht="15.75" customHeight="1" x14ac:dyDescent="0.3"/>
    <row r="358" s="4" customFormat="1" ht="15.75" customHeight="1" x14ac:dyDescent="0.3"/>
    <row r="359" s="4" customFormat="1" ht="15.75" customHeight="1" x14ac:dyDescent="0.3"/>
    <row r="360" s="4" customFormat="1" ht="15.75" customHeight="1" x14ac:dyDescent="0.3"/>
    <row r="361" s="4" customFormat="1" ht="15.75" customHeight="1" x14ac:dyDescent="0.3"/>
    <row r="362" s="4" customFormat="1" ht="15.75" customHeight="1" x14ac:dyDescent="0.3"/>
    <row r="363" s="4" customFormat="1" ht="15.75" customHeight="1" x14ac:dyDescent="0.3"/>
    <row r="364" s="4" customFormat="1" ht="15.75" customHeight="1" x14ac:dyDescent="0.3"/>
    <row r="365" s="4" customFormat="1" ht="15.75" customHeight="1" x14ac:dyDescent="0.3"/>
    <row r="366" s="4" customFormat="1" ht="15.75" customHeight="1" x14ac:dyDescent="0.3"/>
    <row r="367" s="4" customFormat="1" ht="15.75" customHeight="1" x14ac:dyDescent="0.3"/>
    <row r="368" s="4" customFormat="1" ht="15.75" customHeight="1" x14ac:dyDescent="0.3"/>
    <row r="369" s="4" customFormat="1" ht="15.75" customHeight="1" x14ac:dyDescent="0.3"/>
    <row r="370" s="4" customFormat="1" ht="15.75" customHeight="1" x14ac:dyDescent="0.3"/>
    <row r="371" s="4" customFormat="1" ht="15.75" customHeight="1" x14ac:dyDescent="0.3"/>
    <row r="372" s="4" customFormat="1" ht="15.75" customHeight="1" x14ac:dyDescent="0.3"/>
    <row r="373" s="4" customFormat="1" ht="15.75" customHeight="1" x14ac:dyDescent="0.3"/>
    <row r="374" s="4" customFormat="1" ht="15.75" customHeight="1" x14ac:dyDescent="0.3"/>
    <row r="375" s="4" customFormat="1" ht="15.75" customHeight="1" x14ac:dyDescent="0.3"/>
    <row r="376" s="4" customFormat="1" ht="15.75" customHeight="1" x14ac:dyDescent="0.3"/>
    <row r="377" s="4" customFormat="1" ht="15.75" customHeight="1" x14ac:dyDescent="0.3"/>
    <row r="378" s="4" customFormat="1" ht="15.75" customHeight="1" x14ac:dyDescent="0.3"/>
    <row r="379" s="4" customFormat="1" ht="15.75" customHeight="1" x14ac:dyDescent="0.3"/>
    <row r="380" s="4" customFormat="1" ht="15.75" customHeight="1" x14ac:dyDescent="0.3"/>
    <row r="381" s="4" customFormat="1" ht="15.75" customHeight="1" x14ac:dyDescent="0.3"/>
    <row r="382" s="4" customFormat="1" ht="15.75" customHeight="1" x14ac:dyDescent="0.3"/>
    <row r="383" s="4" customFormat="1" ht="15.75" customHeight="1" x14ac:dyDescent="0.3"/>
    <row r="384" s="4" customFormat="1" ht="15.75" customHeight="1" x14ac:dyDescent="0.3"/>
    <row r="385" s="4" customFormat="1" ht="15.75" customHeight="1" x14ac:dyDescent="0.3"/>
    <row r="386" s="4" customFormat="1" ht="15.75" customHeight="1" x14ac:dyDescent="0.3"/>
    <row r="387" s="4" customFormat="1" ht="15.75" customHeight="1" x14ac:dyDescent="0.3"/>
    <row r="388" s="4" customFormat="1" ht="15.75" customHeight="1" x14ac:dyDescent="0.3"/>
    <row r="389" s="4" customFormat="1" ht="15.75" customHeight="1" x14ac:dyDescent="0.3"/>
    <row r="390" s="4" customFormat="1" ht="15.75" customHeight="1" x14ac:dyDescent="0.3"/>
    <row r="391" s="4" customFormat="1" ht="15.75" customHeight="1" x14ac:dyDescent="0.3"/>
    <row r="392" s="4" customFormat="1" ht="15.75" customHeight="1" x14ac:dyDescent="0.3"/>
    <row r="393" s="4" customFormat="1" ht="15.75" customHeight="1" x14ac:dyDescent="0.3"/>
    <row r="394" s="4" customFormat="1" ht="15.75" customHeight="1" x14ac:dyDescent="0.3"/>
    <row r="395" s="4" customFormat="1" ht="15.75" customHeight="1" x14ac:dyDescent="0.3"/>
    <row r="396" s="4" customFormat="1" ht="15.75" customHeight="1" x14ac:dyDescent="0.3"/>
    <row r="397" s="4" customFormat="1" ht="15.75" customHeight="1" x14ac:dyDescent="0.3"/>
    <row r="398" s="4" customFormat="1" ht="15.75" customHeight="1" x14ac:dyDescent="0.3"/>
    <row r="399" s="4" customFormat="1" ht="15.75" customHeight="1" x14ac:dyDescent="0.3"/>
    <row r="400" s="4" customFormat="1" ht="15.75" customHeight="1" x14ac:dyDescent="0.3"/>
    <row r="401" s="4" customFormat="1" ht="15.75" customHeight="1" x14ac:dyDescent="0.3"/>
    <row r="402" s="4" customFormat="1" ht="15.75" customHeight="1" x14ac:dyDescent="0.3"/>
    <row r="403" s="4" customFormat="1" ht="15.75" customHeight="1" x14ac:dyDescent="0.3"/>
    <row r="404" s="4" customFormat="1" ht="15.75" customHeight="1" x14ac:dyDescent="0.3"/>
    <row r="405" s="4" customFormat="1" ht="15.75" customHeight="1" x14ac:dyDescent="0.3"/>
    <row r="406" s="4" customFormat="1" ht="15.75" customHeight="1" x14ac:dyDescent="0.3"/>
    <row r="407" s="4" customFormat="1" ht="15.75" customHeight="1" x14ac:dyDescent="0.3"/>
    <row r="408" s="4" customFormat="1" ht="15.75" customHeight="1" x14ac:dyDescent="0.3"/>
    <row r="409" s="4" customFormat="1" ht="15.75" customHeight="1" x14ac:dyDescent="0.3"/>
    <row r="410" s="4" customFormat="1" ht="15.75" customHeight="1" x14ac:dyDescent="0.3"/>
    <row r="411" s="4" customFormat="1" ht="15.75" customHeight="1" x14ac:dyDescent="0.3"/>
    <row r="412" s="4" customFormat="1" ht="15.75" customHeight="1" x14ac:dyDescent="0.3"/>
    <row r="413" s="4" customFormat="1" ht="15.75" customHeight="1" x14ac:dyDescent="0.3"/>
    <row r="414" s="4" customFormat="1" ht="15.75" customHeight="1" x14ac:dyDescent="0.3"/>
    <row r="415" s="4" customFormat="1" ht="15.75" customHeight="1" x14ac:dyDescent="0.3"/>
    <row r="416" s="4" customFormat="1" ht="15.75" customHeight="1" x14ac:dyDescent="0.3"/>
    <row r="417" s="4" customFormat="1" ht="15.75" customHeight="1" x14ac:dyDescent="0.3"/>
    <row r="418" s="4" customFormat="1" ht="15.75" customHeight="1" x14ac:dyDescent="0.3"/>
    <row r="419" s="4" customFormat="1" ht="15.75" customHeight="1" x14ac:dyDescent="0.3"/>
    <row r="420" s="4" customFormat="1" ht="15.75" customHeight="1" x14ac:dyDescent="0.3"/>
    <row r="421" s="4" customFormat="1" ht="15.75" customHeight="1" x14ac:dyDescent="0.3"/>
    <row r="422" s="4" customFormat="1" ht="15.75" customHeight="1" x14ac:dyDescent="0.3"/>
    <row r="423" s="4" customFormat="1" ht="15.75" customHeight="1" x14ac:dyDescent="0.3"/>
    <row r="424" s="4" customFormat="1" ht="15.75" customHeight="1" x14ac:dyDescent="0.3"/>
    <row r="425" s="4" customFormat="1" ht="15.75" customHeight="1" x14ac:dyDescent="0.3"/>
    <row r="426" s="4" customFormat="1" ht="15.75" customHeight="1" x14ac:dyDescent="0.3"/>
    <row r="427" s="4" customFormat="1" ht="15.75" customHeight="1" x14ac:dyDescent="0.3"/>
    <row r="428" s="4" customFormat="1" ht="15.75" customHeight="1" x14ac:dyDescent="0.3"/>
    <row r="429" s="4" customFormat="1" ht="15.75" customHeight="1" x14ac:dyDescent="0.3"/>
    <row r="430" s="4" customFormat="1" ht="15.75" customHeight="1" x14ac:dyDescent="0.3"/>
    <row r="431" s="4" customFormat="1" ht="15.75" customHeight="1" x14ac:dyDescent="0.3"/>
    <row r="432" s="4" customFormat="1" ht="15.75" customHeight="1" x14ac:dyDescent="0.3"/>
    <row r="433" s="4" customFormat="1" ht="15.75" customHeight="1" x14ac:dyDescent="0.3"/>
    <row r="434" s="4" customFormat="1" ht="15.75" customHeight="1" x14ac:dyDescent="0.3"/>
    <row r="435" s="4" customFormat="1" ht="15.75" customHeight="1" x14ac:dyDescent="0.3"/>
    <row r="436" s="4" customFormat="1" ht="15.75" customHeight="1" x14ac:dyDescent="0.3"/>
    <row r="437" s="4" customFormat="1" ht="15.75" customHeight="1" x14ac:dyDescent="0.3"/>
    <row r="438" s="4" customFormat="1" ht="15.75" customHeight="1" x14ac:dyDescent="0.3"/>
    <row r="439" s="4" customFormat="1" ht="15.75" customHeight="1" x14ac:dyDescent="0.3"/>
    <row r="440" s="4" customFormat="1" ht="15.75" customHeight="1" x14ac:dyDescent="0.3"/>
    <row r="441" s="4" customFormat="1" ht="15.75" customHeight="1" x14ac:dyDescent="0.3"/>
    <row r="442" s="4" customFormat="1" ht="15.75" customHeight="1" x14ac:dyDescent="0.3"/>
    <row r="443" s="4" customFormat="1" ht="15.75" customHeight="1" x14ac:dyDescent="0.3"/>
    <row r="444" s="4" customFormat="1" ht="15.75" customHeight="1" x14ac:dyDescent="0.3"/>
    <row r="445" s="4" customFormat="1" ht="15.75" customHeight="1" x14ac:dyDescent="0.3"/>
    <row r="446" s="4" customFormat="1" ht="15.75" customHeight="1" x14ac:dyDescent="0.3"/>
    <row r="447" s="4" customFormat="1" ht="15.75" customHeight="1" x14ac:dyDescent="0.3"/>
    <row r="448" s="4" customFormat="1" ht="15.75" customHeight="1" x14ac:dyDescent="0.3"/>
    <row r="449" s="4" customFormat="1" ht="15.75" customHeight="1" x14ac:dyDescent="0.3"/>
    <row r="450" s="4" customFormat="1" ht="15.75" customHeight="1" x14ac:dyDescent="0.3"/>
    <row r="451" s="4" customFormat="1" ht="15.75" customHeight="1" x14ac:dyDescent="0.3"/>
    <row r="452" s="4" customFormat="1" ht="15.75" customHeight="1" x14ac:dyDescent="0.3"/>
    <row r="453" s="4" customFormat="1" ht="15.75" customHeight="1" x14ac:dyDescent="0.3"/>
    <row r="454" s="4" customFormat="1" ht="15.75" customHeight="1" x14ac:dyDescent="0.3"/>
    <row r="455" s="4" customFormat="1" ht="15.75" customHeight="1" x14ac:dyDescent="0.3"/>
    <row r="456" s="4" customFormat="1" ht="15.75" customHeight="1" x14ac:dyDescent="0.3"/>
    <row r="457" s="4" customFormat="1" ht="15.75" customHeight="1" x14ac:dyDescent="0.3"/>
    <row r="458" s="4" customFormat="1" ht="15.75" customHeight="1" x14ac:dyDescent="0.3"/>
    <row r="459" s="4" customFormat="1" ht="15.75" customHeight="1" x14ac:dyDescent="0.3"/>
    <row r="460" s="4" customFormat="1" ht="15.75" customHeight="1" x14ac:dyDescent="0.3"/>
    <row r="461" s="4" customFormat="1" ht="15.75" customHeight="1" x14ac:dyDescent="0.3"/>
    <row r="462" s="4" customFormat="1" ht="15.75" customHeight="1" x14ac:dyDescent="0.3"/>
    <row r="463" s="4" customFormat="1" ht="15.75" customHeight="1" x14ac:dyDescent="0.3"/>
    <row r="464" s="4" customFormat="1" ht="15.75" customHeight="1" x14ac:dyDescent="0.3"/>
    <row r="465" s="4" customFormat="1" ht="15.75" customHeight="1" x14ac:dyDescent="0.3"/>
    <row r="466" s="4" customFormat="1" ht="15.75" customHeight="1" x14ac:dyDescent="0.3"/>
    <row r="467" s="4" customFormat="1" ht="15.75" customHeight="1" x14ac:dyDescent="0.3"/>
    <row r="468" s="4" customFormat="1" ht="15.75" customHeight="1" x14ac:dyDescent="0.3"/>
    <row r="469" s="4" customFormat="1" ht="15.75" customHeight="1" x14ac:dyDescent="0.3"/>
    <row r="470" s="4" customFormat="1" ht="15.75" customHeight="1" x14ac:dyDescent="0.3"/>
    <row r="471" s="4" customFormat="1" ht="15.75" customHeight="1" x14ac:dyDescent="0.3"/>
    <row r="472" s="4" customFormat="1" ht="15.75" customHeight="1" x14ac:dyDescent="0.3"/>
    <row r="473" s="4" customFormat="1" ht="15.75" customHeight="1" x14ac:dyDescent="0.3"/>
    <row r="474" s="4" customFormat="1" ht="15.75" customHeight="1" x14ac:dyDescent="0.3"/>
    <row r="475" s="4" customFormat="1" ht="15.75" customHeight="1" x14ac:dyDescent="0.3"/>
    <row r="476" s="4" customFormat="1" ht="15.75" customHeight="1" x14ac:dyDescent="0.3"/>
    <row r="477" s="4" customFormat="1" ht="15.75" customHeight="1" x14ac:dyDescent="0.3"/>
    <row r="478" s="4" customFormat="1" ht="15.75" customHeight="1" x14ac:dyDescent="0.3"/>
    <row r="479" s="4" customFormat="1" ht="15.75" customHeight="1" x14ac:dyDescent="0.3"/>
    <row r="480" s="4" customFormat="1" ht="15.75" customHeight="1" x14ac:dyDescent="0.3"/>
    <row r="481" s="4" customFormat="1" ht="15.75" customHeight="1" x14ac:dyDescent="0.3"/>
    <row r="482" s="4" customFormat="1" ht="15.75" customHeight="1" x14ac:dyDescent="0.3"/>
    <row r="483" s="4" customFormat="1" ht="15.75" customHeight="1" x14ac:dyDescent="0.3"/>
    <row r="484" s="4" customFormat="1" ht="15.75" customHeight="1" x14ac:dyDescent="0.3"/>
    <row r="485" s="4" customFormat="1" ht="15.75" customHeight="1" x14ac:dyDescent="0.3"/>
    <row r="486" s="4" customFormat="1" ht="15.75" customHeight="1" x14ac:dyDescent="0.3"/>
    <row r="487" s="4" customFormat="1" ht="15.75" customHeight="1" x14ac:dyDescent="0.3"/>
    <row r="488" s="4" customFormat="1" ht="15.75" customHeight="1" x14ac:dyDescent="0.3"/>
    <row r="489" s="4" customFormat="1" ht="15.75" customHeight="1" x14ac:dyDescent="0.3"/>
    <row r="490" s="4" customFormat="1" ht="15.75" customHeight="1" x14ac:dyDescent="0.3"/>
    <row r="491" s="4" customFormat="1" ht="15.75" customHeight="1" x14ac:dyDescent="0.3"/>
    <row r="492" s="4" customFormat="1" ht="15.75" customHeight="1" x14ac:dyDescent="0.3"/>
    <row r="493" s="4" customFormat="1" ht="15.75" customHeight="1" x14ac:dyDescent="0.3"/>
    <row r="494" s="4" customFormat="1" ht="15.75" customHeight="1" x14ac:dyDescent="0.3"/>
    <row r="495" s="4" customFormat="1" ht="15.75" customHeight="1" x14ac:dyDescent="0.3"/>
    <row r="496" s="4" customFormat="1" ht="15.75" customHeight="1" x14ac:dyDescent="0.3"/>
    <row r="497" s="4" customFormat="1" ht="15.75" customHeight="1" x14ac:dyDescent="0.3"/>
    <row r="498" s="4" customFormat="1" ht="15.75" customHeight="1" x14ac:dyDescent="0.3"/>
    <row r="499" s="4" customFormat="1" ht="15.75" customHeight="1" x14ac:dyDescent="0.3"/>
    <row r="500" s="4" customFormat="1" ht="15.75" customHeight="1" x14ac:dyDescent="0.3"/>
    <row r="501" s="4" customFormat="1" ht="15.75" customHeight="1" x14ac:dyDescent="0.3"/>
    <row r="502" s="4" customFormat="1" ht="15.75" customHeight="1" x14ac:dyDescent="0.3"/>
    <row r="503" s="4" customFormat="1" ht="15.75" customHeight="1" x14ac:dyDescent="0.3"/>
    <row r="504" s="4" customFormat="1" ht="15.75" customHeight="1" x14ac:dyDescent="0.3"/>
    <row r="505" s="4" customFormat="1" ht="15.75" customHeight="1" x14ac:dyDescent="0.3"/>
    <row r="506" s="4" customFormat="1" ht="15.75" customHeight="1" x14ac:dyDescent="0.3"/>
    <row r="507" s="4" customFormat="1" ht="15.75" customHeight="1" x14ac:dyDescent="0.3"/>
    <row r="508" s="4" customFormat="1" ht="15.75" customHeight="1" x14ac:dyDescent="0.3"/>
    <row r="509" s="4" customFormat="1" ht="15.75" customHeight="1" x14ac:dyDescent="0.3"/>
    <row r="510" s="4" customFormat="1" ht="15.75" customHeight="1" x14ac:dyDescent="0.3"/>
    <row r="511" s="4" customFormat="1" ht="15.75" customHeight="1" x14ac:dyDescent="0.3"/>
    <row r="512" s="4" customFormat="1" ht="15.75" customHeight="1" x14ac:dyDescent="0.3"/>
    <row r="513" s="4" customFormat="1" ht="15.75" customHeight="1" x14ac:dyDescent="0.3"/>
    <row r="514" s="4" customFormat="1" ht="15.75" customHeight="1" x14ac:dyDescent="0.3"/>
    <row r="515" s="4" customFormat="1" ht="15.75" customHeight="1" x14ac:dyDescent="0.3"/>
    <row r="516" s="4" customFormat="1" ht="15.75" customHeight="1" x14ac:dyDescent="0.3"/>
    <row r="517" s="4" customFormat="1" ht="15.75" customHeight="1" x14ac:dyDescent="0.3"/>
    <row r="518" s="4" customFormat="1" ht="15.75" customHeight="1" x14ac:dyDescent="0.3"/>
    <row r="519" s="4" customFormat="1" ht="15.75" customHeight="1" x14ac:dyDescent="0.3"/>
    <row r="520" s="4" customFormat="1" ht="15.75" customHeight="1" x14ac:dyDescent="0.3"/>
    <row r="521" s="4" customFormat="1" ht="15.75" customHeight="1" x14ac:dyDescent="0.3"/>
    <row r="522" s="4" customFormat="1" ht="15.75" customHeight="1" x14ac:dyDescent="0.3"/>
    <row r="523" s="4" customFormat="1" ht="15.75" customHeight="1" x14ac:dyDescent="0.3"/>
    <row r="524" s="4" customFormat="1" ht="15.75" customHeight="1" x14ac:dyDescent="0.3"/>
    <row r="525" s="4" customFormat="1" ht="15.75" customHeight="1" x14ac:dyDescent="0.3"/>
    <row r="526" s="4" customFormat="1" ht="15.75" customHeight="1" x14ac:dyDescent="0.3"/>
    <row r="527" s="4" customFormat="1" ht="15.75" customHeight="1" x14ac:dyDescent="0.3"/>
    <row r="528" s="4" customFormat="1" ht="15.75" customHeight="1" x14ac:dyDescent="0.3"/>
    <row r="529" s="4" customFormat="1" ht="15.75" customHeight="1" x14ac:dyDescent="0.3"/>
    <row r="530" s="4" customFormat="1" ht="15.75" customHeight="1" x14ac:dyDescent="0.3"/>
    <row r="531" s="4" customFormat="1" ht="15.75" customHeight="1" x14ac:dyDescent="0.3"/>
    <row r="532" s="4" customFormat="1" ht="15.75" customHeight="1" x14ac:dyDescent="0.3"/>
    <row r="533" s="4" customFormat="1" ht="15.75" customHeight="1" x14ac:dyDescent="0.3"/>
    <row r="534" s="4" customFormat="1" ht="15.75" customHeight="1" x14ac:dyDescent="0.3"/>
    <row r="535" s="4" customFormat="1" ht="15.75" customHeight="1" x14ac:dyDescent="0.3"/>
    <row r="536" s="4" customFormat="1" ht="15.75" customHeight="1" x14ac:dyDescent="0.3"/>
    <row r="537" s="4" customFormat="1" ht="15.75" customHeight="1" x14ac:dyDescent="0.3"/>
    <row r="538" s="4" customFormat="1" ht="15.75" customHeight="1" x14ac:dyDescent="0.3"/>
    <row r="539" s="4" customFormat="1" ht="15.75" customHeight="1" x14ac:dyDescent="0.3"/>
    <row r="540" s="4" customFormat="1" ht="15.75" customHeight="1" x14ac:dyDescent="0.3"/>
    <row r="541" s="4" customFormat="1" ht="15.75" customHeight="1" x14ac:dyDescent="0.3"/>
    <row r="542" s="4" customFormat="1" ht="15.75" customHeight="1" x14ac:dyDescent="0.3"/>
    <row r="543" s="4" customFormat="1" ht="15.75" customHeight="1" x14ac:dyDescent="0.3"/>
    <row r="544" s="4" customFormat="1" ht="15.75" customHeight="1" x14ac:dyDescent="0.3"/>
    <row r="545" s="4" customFormat="1" ht="15.75" customHeight="1" x14ac:dyDescent="0.3"/>
    <row r="546" s="4" customFormat="1" ht="15.75" customHeight="1" x14ac:dyDescent="0.3"/>
    <row r="547" s="4" customFormat="1" ht="15.75" customHeight="1" x14ac:dyDescent="0.3"/>
    <row r="548" s="4" customFormat="1" ht="15.75" customHeight="1" x14ac:dyDescent="0.3"/>
    <row r="549" s="4" customFormat="1" ht="15.75" customHeight="1" x14ac:dyDescent="0.3"/>
    <row r="550" s="4" customFormat="1" ht="15.75" customHeight="1" x14ac:dyDescent="0.3"/>
    <row r="551" s="4" customFormat="1" ht="15.75" customHeight="1" x14ac:dyDescent="0.3"/>
    <row r="552" s="4" customFormat="1" ht="15.75" customHeight="1" x14ac:dyDescent="0.3"/>
    <row r="553" s="4" customFormat="1" ht="15.75" customHeight="1" x14ac:dyDescent="0.3"/>
    <row r="554" s="4" customFormat="1" ht="15.75" customHeight="1" x14ac:dyDescent="0.3"/>
    <row r="555" s="4" customFormat="1" ht="15.75" customHeight="1" x14ac:dyDescent="0.3"/>
    <row r="556" s="4" customFormat="1" ht="15.75" customHeight="1" x14ac:dyDescent="0.3"/>
    <row r="557" s="4" customFormat="1" ht="15.75" customHeight="1" x14ac:dyDescent="0.3"/>
    <row r="558" s="4" customFormat="1" ht="15.75" customHeight="1" x14ac:dyDescent="0.3"/>
    <row r="559" s="4" customFormat="1" ht="15.75" customHeight="1" x14ac:dyDescent="0.3"/>
    <row r="560" s="4" customFormat="1" ht="15.75" customHeight="1" x14ac:dyDescent="0.3"/>
    <row r="561" s="4" customFormat="1" ht="15.75" customHeight="1" x14ac:dyDescent="0.3"/>
    <row r="562" s="4" customFormat="1" ht="15.75" customHeight="1" x14ac:dyDescent="0.3"/>
    <row r="563" s="4" customFormat="1" ht="15.75" customHeight="1" x14ac:dyDescent="0.3"/>
    <row r="564" s="4" customFormat="1" ht="15.75" customHeight="1" x14ac:dyDescent="0.3"/>
    <row r="565" s="4" customFormat="1" ht="15.75" customHeight="1" x14ac:dyDescent="0.3"/>
    <row r="566" s="4" customFormat="1" ht="15.75" customHeight="1" x14ac:dyDescent="0.3"/>
    <row r="567" s="4" customFormat="1" ht="15.75" customHeight="1" x14ac:dyDescent="0.3"/>
    <row r="568" s="4" customFormat="1" ht="15.75" customHeight="1" x14ac:dyDescent="0.3"/>
    <row r="569" s="4" customFormat="1" ht="15.75" customHeight="1" x14ac:dyDescent="0.3"/>
    <row r="570" s="4" customFormat="1" ht="15.75" customHeight="1" x14ac:dyDescent="0.3"/>
    <row r="571" s="4" customFormat="1" ht="15.75" customHeight="1" x14ac:dyDescent="0.3"/>
    <row r="572" s="4" customFormat="1" ht="15.75" customHeight="1" x14ac:dyDescent="0.3"/>
    <row r="573" s="4" customFormat="1" ht="15.75" customHeight="1" x14ac:dyDescent="0.3"/>
    <row r="574" s="4" customFormat="1" ht="15.75" customHeight="1" x14ac:dyDescent="0.3"/>
    <row r="575" s="4" customFormat="1" ht="15.75" customHeight="1" x14ac:dyDescent="0.3"/>
    <row r="576" s="4" customFormat="1" ht="15.75" customHeight="1" x14ac:dyDescent="0.3"/>
    <row r="577" s="4" customFormat="1" ht="15.75" customHeight="1" x14ac:dyDescent="0.3"/>
    <row r="578" s="4" customFormat="1" ht="15.75" customHeight="1" x14ac:dyDescent="0.3"/>
    <row r="579" s="4" customFormat="1" ht="15.75" customHeight="1" x14ac:dyDescent="0.3"/>
    <row r="580" s="4" customFormat="1" ht="15.75" customHeight="1" x14ac:dyDescent="0.3"/>
    <row r="581" s="4" customFormat="1" ht="15.75" customHeight="1" x14ac:dyDescent="0.3"/>
    <row r="582" s="4" customFormat="1" ht="15.75" customHeight="1" x14ac:dyDescent="0.3"/>
    <row r="583" s="4" customFormat="1" ht="15.75" customHeight="1" x14ac:dyDescent="0.3"/>
    <row r="584" s="4" customFormat="1" ht="15.75" customHeight="1" x14ac:dyDescent="0.3"/>
    <row r="585" s="4" customFormat="1" ht="15.75" customHeight="1" x14ac:dyDescent="0.3"/>
    <row r="586" s="4" customFormat="1" ht="15.75" customHeight="1" x14ac:dyDescent="0.3"/>
    <row r="587" s="4" customFormat="1" ht="15.75" customHeight="1" x14ac:dyDescent="0.3"/>
    <row r="588" s="4" customFormat="1" ht="15.75" customHeight="1" x14ac:dyDescent="0.3"/>
    <row r="589" s="4" customFormat="1" ht="15.75" customHeight="1" x14ac:dyDescent="0.3"/>
    <row r="590" s="4" customFormat="1" ht="15.75" customHeight="1" x14ac:dyDescent="0.3"/>
    <row r="591" s="4" customFormat="1" ht="15.75" customHeight="1" x14ac:dyDescent="0.3"/>
    <row r="592" s="4" customFormat="1" ht="15.75" customHeight="1" x14ac:dyDescent="0.3"/>
    <row r="593" s="4" customFormat="1" ht="15.75" customHeight="1" x14ac:dyDescent="0.3"/>
    <row r="594" s="4" customFormat="1" ht="15.75" customHeight="1" x14ac:dyDescent="0.3"/>
    <row r="595" s="4" customFormat="1" ht="15.75" customHeight="1" x14ac:dyDescent="0.3"/>
    <row r="596" s="4" customFormat="1" ht="15.75" customHeight="1" x14ac:dyDescent="0.3"/>
    <row r="597" s="4" customFormat="1" ht="15.75" customHeight="1" x14ac:dyDescent="0.3"/>
    <row r="598" s="4" customFormat="1" ht="15.75" customHeight="1" x14ac:dyDescent="0.3"/>
    <row r="599" s="4" customFormat="1" ht="15.75" customHeight="1" x14ac:dyDescent="0.3"/>
    <row r="600" s="4" customFormat="1" ht="15.75" customHeight="1" x14ac:dyDescent="0.3"/>
    <row r="601" s="4" customFormat="1" ht="15.75" customHeight="1" x14ac:dyDescent="0.3"/>
    <row r="602" s="4" customFormat="1" ht="15.75" customHeight="1" x14ac:dyDescent="0.3"/>
    <row r="603" s="4" customFormat="1" ht="15.75" customHeight="1" x14ac:dyDescent="0.3"/>
    <row r="604" s="4" customFormat="1" ht="15.75" customHeight="1" x14ac:dyDescent="0.3"/>
    <row r="605" s="4" customFormat="1" ht="15.75" customHeight="1" x14ac:dyDescent="0.3"/>
    <row r="606" s="4" customFormat="1" ht="15.75" customHeight="1" x14ac:dyDescent="0.3"/>
    <row r="607" s="4" customFormat="1" ht="15.75" customHeight="1" x14ac:dyDescent="0.3"/>
    <row r="608" s="4" customFormat="1" ht="15.75" customHeight="1" x14ac:dyDescent="0.3"/>
    <row r="609" s="4" customFormat="1" ht="15.75" customHeight="1" x14ac:dyDescent="0.3"/>
    <row r="610" s="4" customFormat="1" ht="15.75" customHeight="1" x14ac:dyDescent="0.3"/>
    <row r="611" s="4" customFormat="1" ht="15.75" customHeight="1" x14ac:dyDescent="0.3"/>
    <row r="612" s="4" customFormat="1" ht="15.75" customHeight="1" x14ac:dyDescent="0.3"/>
    <row r="613" s="4" customFormat="1" ht="15.75" customHeight="1" x14ac:dyDescent="0.3"/>
    <row r="614" s="4" customFormat="1" ht="15.75" customHeight="1" x14ac:dyDescent="0.3"/>
    <row r="615" s="4" customFormat="1" ht="15.75" customHeight="1" x14ac:dyDescent="0.3"/>
    <row r="616" s="4" customFormat="1" ht="15.75" customHeight="1" x14ac:dyDescent="0.3"/>
    <row r="617" s="4" customFormat="1" ht="15.75" customHeight="1" x14ac:dyDescent="0.3"/>
    <row r="618" s="4" customFormat="1" ht="15.75" customHeight="1" x14ac:dyDescent="0.3"/>
    <row r="619" s="4" customFormat="1" ht="15.75" customHeight="1" x14ac:dyDescent="0.3"/>
    <row r="620" s="4" customFormat="1" ht="15.75" customHeight="1" x14ac:dyDescent="0.3"/>
    <row r="621" s="4" customFormat="1" ht="15.75" customHeight="1" x14ac:dyDescent="0.3"/>
    <row r="622" s="4" customFormat="1" ht="15.75" customHeight="1" x14ac:dyDescent="0.3"/>
    <row r="623" s="4" customFormat="1" ht="15.75" customHeight="1" x14ac:dyDescent="0.3"/>
    <row r="624" s="4" customFormat="1" ht="15.75" customHeight="1" x14ac:dyDescent="0.3"/>
    <row r="625" s="4" customFormat="1" ht="15.75" customHeight="1" x14ac:dyDescent="0.3"/>
    <row r="626" s="4" customFormat="1" ht="15.75" customHeight="1" x14ac:dyDescent="0.3"/>
    <row r="627" s="4" customFormat="1" ht="15.75" customHeight="1" x14ac:dyDescent="0.3"/>
    <row r="628" s="4" customFormat="1" ht="15.75" customHeight="1" x14ac:dyDescent="0.3"/>
    <row r="629" s="4" customFormat="1" ht="15.75" customHeight="1" x14ac:dyDescent="0.3"/>
    <row r="630" s="4" customFormat="1" ht="15.75" customHeight="1" x14ac:dyDescent="0.3"/>
    <row r="631" s="4" customFormat="1" ht="15.75" customHeight="1" x14ac:dyDescent="0.3"/>
    <row r="632" s="4" customFormat="1" ht="15.75" customHeight="1" x14ac:dyDescent="0.3"/>
    <row r="633" s="4" customFormat="1" ht="15.75" customHeight="1" x14ac:dyDescent="0.3"/>
    <row r="634" s="4" customFormat="1" ht="15.75" customHeight="1" x14ac:dyDescent="0.3"/>
    <row r="635" s="4" customFormat="1" ht="15.75" customHeight="1" x14ac:dyDescent="0.3"/>
    <row r="636" s="4" customFormat="1" ht="15.75" customHeight="1" x14ac:dyDescent="0.3"/>
    <row r="637" s="4" customFormat="1" ht="15.75" customHeight="1" x14ac:dyDescent="0.3"/>
    <row r="638" s="4" customFormat="1" ht="15.75" customHeight="1" x14ac:dyDescent="0.3"/>
    <row r="639" s="4" customFormat="1" ht="15.75" customHeight="1" x14ac:dyDescent="0.3"/>
    <row r="640" s="4" customFormat="1" ht="15.75" customHeight="1" x14ac:dyDescent="0.3"/>
    <row r="641" s="4" customFormat="1" ht="15.75" customHeight="1" x14ac:dyDescent="0.3"/>
    <row r="642" s="4" customFormat="1" ht="15.75" customHeight="1" x14ac:dyDescent="0.3"/>
    <row r="643" s="4" customFormat="1" ht="15.75" customHeight="1" x14ac:dyDescent="0.3"/>
    <row r="644" s="4" customFormat="1" ht="15.75" customHeight="1" x14ac:dyDescent="0.3"/>
    <row r="645" s="4" customFormat="1" ht="15.75" customHeight="1" x14ac:dyDescent="0.3"/>
    <row r="646" s="4" customFormat="1" ht="15.75" customHeight="1" x14ac:dyDescent="0.3"/>
    <row r="647" s="4" customFormat="1" ht="15.75" customHeight="1" x14ac:dyDescent="0.3"/>
    <row r="648" s="4" customFormat="1" ht="15.75" customHeight="1" x14ac:dyDescent="0.3"/>
    <row r="649" s="4" customFormat="1" ht="15.75" customHeight="1" x14ac:dyDescent="0.3"/>
    <row r="650" s="4" customFormat="1" ht="15.75" customHeight="1" x14ac:dyDescent="0.3"/>
    <row r="651" s="4" customFormat="1" ht="15.75" customHeight="1" x14ac:dyDescent="0.3"/>
    <row r="652" s="4" customFormat="1" ht="15.75" customHeight="1" x14ac:dyDescent="0.3"/>
    <row r="653" s="4" customFormat="1" ht="15.75" customHeight="1" x14ac:dyDescent="0.3"/>
    <row r="654" s="4" customFormat="1" ht="15.75" customHeight="1" x14ac:dyDescent="0.3"/>
    <row r="655" s="4" customFormat="1" ht="15.75" customHeight="1" x14ac:dyDescent="0.3"/>
    <row r="656" s="4" customFormat="1" ht="15.75" customHeight="1" x14ac:dyDescent="0.3"/>
    <row r="657" s="4" customFormat="1" ht="15.75" customHeight="1" x14ac:dyDescent="0.3"/>
    <row r="658" s="4" customFormat="1" ht="15.75" customHeight="1" x14ac:dyDescent="0.3"/>
    <row r="659" s="4" customFormat="1" ht="15.75" customHeight="1" x14ac:dyDescent="0.3"/>
    <row r="660" s="4" customFormat="1" ht="15.75" customHeight="1" x14ac:dyDescent="0.3"/>
    <row r="661" s="4" customFormat="1" ht="15.75" customHeight="1" x14ac:dyDescent="0.3"/>
    <row r="662" s="4" customFormat="1" ht="15.75" customHeight="1" x14ac:dyDescent="0.3"/>
    <row r="663" s="4" customFormat="1" ht="15.75" customHeight="1" x14ac:dyDescent="0.3"/>
    <row r="664" s="4" customFormat="1" ht="15.75" customHeight="1" x14ac:dyDescent="0.3"/>
    <row r="665" s="4" customFormat="1" ht="15.75" customHeight="1" x14ac:dyDescent="0.3"/>
    <row r="666" s="4" customFormat="1" ht="15.75" customHeight="1" x14ac:dyDescent="0.3"/>
    <row r="667" s="4" customFormat="1" ht="15.75" customHeight="1" x14ac:dyDescent="0.3"/>
    <row r="668" s="4" customFormat="1" ht="15.75" customHeight="1" x14ac:dyDescent="0.3"/>
    <row r="669" s="4" customFormat="1" ht="15.75" customHeight="1" x14ac:dyDescent="0.3"/>
    <row r="670" s="4" customFormat="1" ht="15.75" customHeight="1" x14ac:dyDescent="0.3"/>
    <row r="671" s="4" customFormat="1" ht="15.75" customHeight="1" x14ac:dyDescent="0.3"/>
    <row r="672" s="4" customFormat="1" ht="15.75" customHeight="1" x14ac:dyDescent="0.3"/>
    <row r="673" s="4" customFormat="1" ht="15.75" customHeight="1" x14ac:dyDescent="0.3"/>
    <row r="674" s="4" customFormat="1" ht="15.75" customHeight="1" x14ac:dyDescent="0.3"/>
    <row r="675" s="4" customFormat="1" ht="15.75" customHeight="1" x14ac:dyDescent="0.3"/>
    <row r="676" s="4" customFormat="1" ht="15.75" customHeight="1" x14ac:dyDescent="0.3"/>
    <row r="677" s="4" customFormat="1" ht="15.75" customHeight="1" x14ac:dyDescent="0.3"/>
    <row r="678" s="4" customFormat="1" ht="15.75" customHeight="1" x14ac:dyDescent="0.3"/>
    <row r="679" s="4" customFormat="1" ht="15.75" customHeight="1" x14ac:dyDescent="0.3"/>
    <row r="680" s="4" customFormat="1" ht="15.75" customHeight="1" x14ac:dyDescent="0.3"/>
    <row r="681" s="4" customFormat="1" ht="15.75" customHeight="1" x14ac:dyDescent="0.3"/>
    <row r="682" s="4" customFormat="1" ht="15.75" customHeight="1" x14ac:dyDescent="0.3"/>
    <row r="683" s="4" customFormat="1" ht="15.75" customHeight="1" x14ac:dyDescent="0.3"/>
    <row r="684" s="4" customFormat="1" ht="15.75" customHeight="1" x14ac:dyDescent="0.3"/>
    <row r="685" s="4" customFormat="1" ht="15.75" customHeight="1" x14ac:dyDescent="0.3"/>
    <row r="686" s="4" customFormat="1" ht="15.75" customHeight="1" x14ac:dyDescent="0.3"/>
    <row r="687" s="4" customFormat="1" ht="15.75" customHeight="1" x14ac:dyDescent="0.3"/>
    <row r="688" s="4" customFormat="1" ht="15.75" customHeight="1" x14ac:dyDescent="0.3"/>
    <row r="689" s="4" customFormat="1" ht="15.75" customHeight="1" x14ac:dyDescent="0.3"/>
    <row r="690" s="4" customFormat="1" ht="15.75" customHeight="1" x14ac:dyDescent="0.3"/>
    <row r="691" s="4" customFormat="1" ht="15.75" customHeight="1" x14ac:dyDescent="0.3"/>
    <row r="692" s="4" customFormat="1" ht="15.75" customHeight="1" x14ac:dyDescent="0.3"/>
    <row r="693" s="4" customFormat="1" ht="15.75" customHeight="1" x14ac:dyDescent="0.3"/>
    <row r="694" s="4" customFormat="1" ht="15.75" customHeight="1" x14ac:dyDescent="0.3"/>
    <row r="695" s="4" customFormat="1" ht="15.75" customHeight="1" x14ac:dyDescent="0.3"/>
    <row r="696" s="4" customFormat="1" ht="15.75" customHeight="1" x14ac:dyDescent="0.3"/>
    <row r="697" s="4" customFormat="1" ht="15.75" customHeight="1" x14ac:dyDescent="0.3"/>
    <row r="698" s="4" customFormat="1" ht="15.75" customHeight="1" x14ac:dyDescent="0.3"/>
    <row r="699" s="4" customFormat="1" ht="15.75" customHeight="1" x14ac:dyDescent="0.3"/>
    <row r="700" s="4" customFormat="1" ht="15.75" customHeight="1" x14ac:dyDescent="0.3"/>
    <row r="701" s="4" customFormat="1" ht="15.75" customHeight="1" x14ac:dyDescent="0.3"/>
    <row r="702" s="4" customFormat="1" ht="15.75" customHeight="1" x14ac:dyDescent="0.3"/>
    <row r="703" s="4" customFormat="1" ht="15.75" customHeight="1" x14ac:dyDescent="0.3"/>
    <row r="704" s="4" customFormat="1" ht="15.75" customHeight="1" x14ac:dyDescent="0.3"/>
    <row r="705" s="4" customFormat="1" ht="15.75" customHeight="1" x14ac:dyDescent="0.3"/>
    <row r="706" s="4" customFormat="1" ht="15.75" customHeight="1" x14ac:dyDescent="0.3"/>
    <row r="707" s="4" customFormat="1" ht="15.75" customHeight="1" x14ac:dyDescent="0.3"/>
    <row r="708" s="4" customFormat="1" ht="15.75" customHeight="1" x14ac:dyDescent="0.3"/>
    <row r="709" s="4" customFormat="1" ht="15.75" customHeight="1" x14ac:dyDescent="0.3"/>
    <row r="710" s="4" customFormat="1" ht="15.75" customHeight="1" x14ac:dyDescent="0.3"/>
    <row r="711" s="4" customFormat="1" ht="15.75" customHeight="1" x14ac:dyDescent="0.3"/>
    <row r="712" s="4" customFormat="1" ht="15.75" customHeight="1" x14ac:dyDescent="0.3"/>
    <row r="713" s="4" customFormat="1" ht="15.75" customHeight="1" x14ac:dyDescent="0.3"/>
    <row r="714" s="4" customFormat="1" ht="15.75" customHeight="1" x14ac:dyDescent="0.3"/>
    <row r="715" s="4" customFormat="1" ht="15.75" customHeight="1" x14ac:dyDescent="0.3"/>
    <row r="716" s="4" customFormat="1" ht="15.75" customHeight="1" x14ac:dyDescent="0.3"/>
    <row r="717" s="4" customFormat="1" ht="15.75" customHeight="1" x14ac:dyDescent="0.3"/>
    <row r="718" s="4" customFormat="1" ht="15.75" customHeight="1" x14ac:dyDescent="0.3"/>
    <row r="719" s="4" customFormat="1" ht="15.75" customHeight="1" x14ac:dyDescent="0.3"/>
    <row r="720" s="4" customFormat="1" ht="15.75" customHeight="1" x14ac:dyDescent="0.3"/>
    <row r="721" s="4" customFormat="1" ht="15.75" customHeight="1" x14ac:dyDescent="0.3"/>
    <row r="722" s="4" customFormat="1" ht="15.75" customHeight="1" x14ac:dyDescent="0.3"/>
    <row r="723" s="4" customFormat="1" ht="15.75" customHeight="1" x14ac:dyDescent="0.3"/>
    <row r="724" s="4" customFormat="1" ht="15.75" customHeight="1" x14ac:dyDescent="0.3"/>
    <row r="725" s="4" customFormat="1" ht="15.75" customHeight="1" x14ac:dyDescent="0.3"/>
    <row r="726" s="4" customFormat="1" ht="15.75" customHeight="1" x14ac:dyDescent="0.3"/>
    <row r="727" s="4" customFormat="1" ht="15.75" customHeight="1" x14ac:dyDescent="0.3"/>
    <row r="728" s="4" customFormat="1" ht="15.75" customHeight="1" x14ac:dyDescent="0.3"/>
    <row r="729" s="4" customFormat="1" ht="15.75" customHeight="1" x14ac:dyDescent="0.3"/>
    <row r="730" s="4" customFormat="1" ht="15.75" customHeight="1" x14ac:dyDescent="0.3"/>
    <row r="731" s="4" customFormat="1" ht="15.75" customHeight="1" x14ac:dyDescent="0.3"/>
    <row r="732" s="4" customFormat="1" ht="15.75" customHeight="1" x14ac:dyDescent="0.3"/>
    <row r="733" s="4" customFormat="1" ht="15.75" customHeight="1" x14ac:dyDescent="0.3"/>
    <row r="734" s="4" customFormat="1" ht="15.75" customHeight="1" x14ac:dyDescent="0.3"/>
    <row r="735" s="4" customFormat="1" ht="15.75" customHeight="1" x14ac:dyDescent="0.3"/>
    <row r="736" s="4" customFormat="1" ht="15.75" customHeight="1" x14ac:dyDescent="0.3"/>
    <row r="737" s="4" customFormat="1" ht="15.75" customHeight="1" x14ac:dyDescent="0.3"/>
    <row r="738" s="4" customFormat="1" ht="15.75" customHeight="1" x14ac:dyDescent="0.3"/>
    <row r="739" s="4" customFormat="1" ht="15.75" customHeight="1" x14ac:dyDescent="0.3"/>
    <row r="740" s="4" customFormat="1" ht="15.75" customHeight="1" x14ac:dyDescent="0.3"/>
    <row r="741" s="4" customFormat="1" ht="15.75" customHeight="1" x14ac:dyDescent="0.3"/>
    <row r="742" s="4" customFormat="1" ht="15.75" customHeight="1" x14ac:dyDescent="0.3"/>
    <row r="743" s="4" customFormat="1" ht="15.75" customHeight="1" x14ac:dyDescent="0.3"/>
    <row r="744" s="4" customFormat="1" ht="15.75" customHeight="1" x14ac:dyDescent="0.3"/>
    <row r="745" s="4" customFormat="1" ht="15.75" customHeight="1" x14ac:dyDescent="0.3"/>
    <row r="746" s="4" customFormat="1" ht="15.75" customHeight="1" x14ac:dyDescent="0.3"/>
    <row r="747" s="4" customFormat="1" ht="15.75" customHeight="1" x14ac:dyDescent="0.3"/>
    <row r="748" s="4" customFormat="1" ht="15.75" customHeight="1" x14ac:dyDescent="0.3"/>
    <row r="749" s="4" customFormat="1" ht="15.75" customHeight="1" x14ac:dyDescent="0.3"/>
    <row r="750" s="4" customFormat="1" ht="15.75" customHeight="1" x14ac:dyDescent="0.3"/>
    <row r="751" s="4" customFormat="1" ht="15.75" customHeight="1" x14ac:dyDescent="0.3"/>
    <row r="752" s="4" customFormat="1" ht="15.75" customHeight="1" x14ac:dyDescent="0.3"/>
    <row r="753" s="4" customFormat="1" ht="15.75" customHeight="1" x14ac:dyDescent="0.3"/>
    <row r="754" s="4" customFormat="1" ht="15.75" customHeight="1" x14ac:dyDescent="0.3"/>
    <row r="755" s="4" customFormat="1" ht="15.75" customHeight="1" x14ac:dyDescent="0.3"/>
    <row r="756" s="4" customFormat="1" ht="15.75" customHeight="1" x14ac:dyDescent="0.3"/>
    <row r="757" s="4" customFormat="1" ht="15.75" customHeight="1" x14ac:dyDescent="0.3"/>
    <row r="758" s="4" customFormat="1" ht="15.75" customHeight="1" x14ac:dyDescent="0.3"/>
    <row r="759" s="4" customFormat="1" ht="15.75" customHeight="1" x14ac:dyDescent="0.3"/>
    <row r="760" s="4" customFormat="1" ht="15.75" customHeight="1" x14ac:dyDescent="0.3"/>
    <row r="761" s="4" customFormat="1" ht="15.75" customHeight="1" x14ac:dyDescent="0.3"/>
    <row r="762" s="4" customFormat="1" ht="15.75" customHeight="1" x14ac:dyDescent="0.3"/>
    <row r="763" s="4" customFormat="1" ht="15.75" customHeight="1" x14ac:dyDescent="0.3"/>
    <row r="764" s="4" customFormat="1" ht="15.75" customHeight="1" x14ac:dyDescent="0.3"/>
    <row r="765" s="4" customFormat="1" ht="15.75" customHeight="1" x14ac:dyDescent="0.3"/>
    <row r="766" s="4" customFormat="1" ht="15.75" customHeight="1" x14ac:dyDescent="0.3"/>
    <row r="767" s="4" customFormat="1" ht="15.75" customHeight="1" x14ac:dyDescent="0.3"/>
    <row r="768" s="4" customFormat="1" ht="15.75" customHeight="1" x14ac:dyDescent="0.3"/>
    <row r="769" s="4" customFormat="1" ht="15.75" customHeight="1" x14ac:dyDescent="0.3"/>
    <row r="770" s="4" customFormat="1" ht="15.75" customHeight="1" x14ac:dyDescent="0.3"/>
    <row r="771" s="4" customFormat="1" ht="15.75" customHeight="1" x14ac:dyDescent="0.3"/>
    <row r="772" s="4" customFormat="1" ht="15.75" customHeight="1" x14ac:dyDescent="0.3"/>
    <row r="773" s="4" customFormat="1" ht="15.75" customHeight="1" x14ac:dyDescent="0.3"/>
    <row r="774" s="4" customFormat="1" ht="15.75" customHeight="1" x14ac:dyDescent="0.3"/>
    <row r="775" s="4" customFormat="1" ht="15.75" customHeight="1" x14ac:dyDescent="0.3"/>
    <row r="776" s="4" customFormat="1" ht="15.75" customHeight="1" x14ac:dyDescent="0.3"/>
    <row r="777" s="4" customFormat="1" ht="15.75" customHeight="1" x14ac:dyDescent="0.3"/>
    <row r="778" s="4" customFormat="1" ht="15.75" customHeight="1" x14ac:dyDescent="0.3"/>
    <row r="779" s="4" customFormat="1" ht="15.75" customHeight="1" x14ac:dyDescent="0.3"/>
    <row r="780" s="4" customFormat="1" ht="15.75" customHeight="1" x14ac:dyDescent="0.3"/>
    <row r="781" s="4" customFormat="1" ht="15.75" customHeight="1" x14ac:dyDescent="0.3"/>
    <row r="782" s="4" customFormat="1" ht="15.75" customHeight="1" x14ac:dyDescent="0.3"/>
    <row r="783" s="4" customFormat="1" ht="15.75" customHeight="1" x14ac:dyDescent="0.3"/>
    <row r="784" s="4" customFormat="1" ht="15.75" customHeight="1" x14ac:dyDescent="0.3"/>
    <row r="785" s="4" customFormat="1" ht="15.75" customHeight="1" x14ac:dyDescent="0.3"/>
    <row r="786" s="4" customFormat="1" ht="15.75" customHeight="1" x14ac:dyDescent="0.3"/>
    <row r="787" s="4" customFormat="1" ht="15.75" customHeight="1" x14ac:dyDescent="0.3"/>
    <row r="788" s="4" customFormat="1" ht="15.75" customHeight="1" x14ac:dyDescent="0.3"/>
    <row r="789" s="4" customFormat="1" ht="15.75" customHeight="1" x14ac:dyDescent="0.3"/>
    <row r="790" s="4" customFormat="1" ht="15.75" customHeight="1" x14ac:dyDescent="0.3"/>
    <row r="791" s="4" customFormat="1" ht="15.75" customHeight="1" x14ac:dyDescent="0.3"/>
    <row r="792" s="4" customFormat="1" ht="15.75" customHeight="1" x14ac:dyDescent="0.3"/>
    <row r="793" s="4" customFormat="1" ht="15.75" customHeight="1" x14ac:dyDescent="0.3"/>
    <row r="794" s="4" customFormat="1" ht="15.75" customHeight="1" x14ac:dyDescent="0.3"/>
    <row r="795" s="4" customFormat="1" ht="15.75" customHeight="1" x14ac:dyDescent="0.3"/>
    <row r="796" s="4" customFormat="1" ht="15.75" customHeight="1" x14ac:dyDescent="0.3"/>
    <row r="797" s="4" customFormat="1" ht="15.75" customHeight="1" x14ac:dyDescent="0.3"/>
    <row r="798" s="4" customFormat="1" ht="15.75" customHeight="1" x14ac:dyDescent="0.3"/>
    <row r="799" s="4" customFormat="1" ht="15.75" customHeight="1" x14ac:dyDescent="0.3"/>
    <row r="800" s="4" customFormat="1" ht="15.75" customHeight="1" x14ac:dyDescent="0.3"/>
    <row r="801" s="4" customFormat="1" ht="15.75" customHeight="1" x14ac:dyDescent="0.3"/>
    <row r="802" s="4" customFormat="1" ht="15.75" customHeight="1" x14ac:dyDescent="0.3"/>
    <row r="803" s="4" customFormat="1" ht="15.75" customHeight="1" x14ac:dyDescent="0.3"/>
    <row r="804" s="4" customFormat="1" ht="15.75" customHeight="1" x14ac:dyDescent="0.3"/>
    <row r="805" s="4" customFormat="1" ht="15.75" customHeight="1" x14ac:dyDescent="0.3"/>
    <row r="806" s="4" customFormat="1" ht="15.75" customHeight="1" x14ac:dyDescent="0.3"/>
    <row r="807" s="4" customFormat="1" ht="15.75" customHeight="1" x14ac:dyDescent="0.3"/>
    <row r="808" s="4" customFormat="1" ht="15.75" customHeight="1" x14ac:dyDescent="0.3"/>
    <row r="809" s="4" customFormat="1" ht="15.75" customHeight="1" x14ac:dyDescent="0.3"/>
    <row r="810" s="4" customFormat="1" ht="15.75" customHeight="1" x14ac:dyDescent="0.3"/>
    <row r="811" s="4" customFormat="1" ht="15.75" customHeight="1" x14ac:dyDescent="0.3"/>
    <row r="812" s="4" customFormat="1" ht="15.75" customHeight="1" x14ac:dyDescent="0.3"/>
    <row r="813" s="4" customFormat="1" ht="15.75" customHeight="1" x14ac:dyDescent="0.3"/>
    <row r="814" s="4" customFormat="1" ht="15.75" customHeight="1" x14ac:dyDescent="0.3"/>
    <row r="815" s="4" customFormat="1" ht="15.75" customHeight="1" x14ac:dyDescent="0.3"/>
    <row r="816" s="4" customFormat="1" ht="15.75" customHeight="1" x14ac:dyDescent="0.3"/>
    <row r="817" s="4" customFormat="1" ht="15.75" customHeight="1" x14ac:dyDescent="0.3"/>
    <row r="818" s="4" customFormat="1" ht="15.75" customHeight="1" x14ac:dyDescent="0.3"/>
    <row r="819" s="4" customFormat="1" ht="15.75" customHeight="1" x14ac:dyDescent="0.3"/>
    <row r="820" s="4" customFormat="1" ht="15.75" customHeight="1" x14ac:dyDescent="0.3"/>
    <row r="821" s="4" customFormat="1" ht="15.75" customHeight="1" x14ac:dyDescent="0.3"/>
    <row r="822" s="4" customFormat="1" ht="15.75" customHeight="1" x14ac:dyDescent="0.3"/>
    <row r="823" s="4" customFormat="1" ht="15.75" customHeight="1" x14ac:dyDescent="0.3"/>
    <row r="824" s="4" customFormat="1" ht="15.75" customHeight="1" x14ac:dyDescent="0.3"/>
    <row r="825" s="4" customFormat="1" ht="15.75" customHeight="1" x14ac:dyDescent="0.3"/>
    <row r="826" s="4" customFormat="1" ht="15.75" customHeight="1" x14ac:dyDescent="0.3"/>
    <row r="827" s="4" customFormat="1" ht="15.75" customHeight="1" x14ac:dyDescent="0.3"/>
    <row r="828" s="4" customFormat="1" ht="15.75" customHeight="1" x14ac:dyDescent="0.3"/>
    <row r="829" s="4" customFormat="1" ht="15.75" customHeight="1" x14ac:dyDescent="0.3"/>
    <row r="830" s="4" customFormat="1" ht="15.75" customHeight="1" x14ac:dyDescent="0.3"/>
    <row r="831" s="4" customFormat="1" ht="15.75" customHeight="1" x14ac:dyDescent="0.3"/>
    <row r="832" s="4" customFormat="1" ht="15.75" customHeight="1" x14ac:dyDescent="0.3"/>
    <row r="833" s="4" customFormat="1" ht="15.75" customHeight="1" x14ac:dyDescent="0.3"/>
    <row r="834" s="4" customFormat="1" ht="15.75" customHeight="1" x14ac:dyDescent="0.3"/>
    <row r="835" s="4" customFormat="1" ht="15.75" customHeight="1" x14ac:dyDescent="0.3"/>
    <row r="836" s="4" customFormat="1" ht="15.75" customHeight="1" x14ac:dyDescent="0.3"/>
    <row r="837" s="4" customFormat="1" ht="15.75" customHeight="1" x14ac:dyDescent="0.3"/>
    <row r="838" s="4" customFormat="1" ht="15.75" customHeight="1" x14ac:dyDescent="0.3"/>
    <row r="839" s="4" customFormat="1" ht="15.75" customHeight="1" x14ac:dyDescent="0.3"/>
    <row r="840" s="4" customFormat="1" ht="15.75" customHeight="1" x14ac:dyDescent="0.3"/>
    <row r="841" s="4" customFormat="1" ht="15.75" customHeight="1" x14ac:dyDescent="0.3"/>
    <row r="842" s="4" customFormat="1" ht="15.75" customHeight="1" x14ac:dyDescent="0.3"/>
    <row r="843" s="4" customFormat="1" ht="15.75" customHeight="1" x14ac:dyDescent="0.3"/>
    <row r="844" s="4" customFormat="1" ht="15.75" customHeight="1" x14ac:dyDescent="0.3"/>
    <row r="845" s="4" customFormat="1" ht="15.75" customHeight="1" x14ac:dyDescent="0.3"/>
    <row r="846" s="4" customFormat="1" ht="15.75" customHeight="1" x14ac:dyDescent="0.3"/>
    <row r="847" s="4" customFormat="1" ht="15.75" customHeight="1" x14ac:dyDescent="0.3"/>
    <row r="848" s="4" customFormat="1" ht="15.75" customHeight="1" x14ac:dyDescent="0.3"/>
    <row r="849" s="4" customFormat="1" ht="15.75" customHeight="1" x14ac:dyDescent="0.3"/>
    <row r="850" s="4" customFormat="1" ht="15.75" customHeight="1" x14ac:dyDescent="0.3"/>
    <row r="851" s="4" customFormat="1" ht="15.75" customHeight="1" x14ac:dyDescent="0.3"/>
    <row r="852" s="4" customFormat="1" ht="15.75" customHeight="1" x14ac:dyDescent="0.3"/>
    <row r="853" s="4" customFormat="1" ht="15.75" customHeight="1" x14ac:dyDescent="0.3"/>
    <row r="854" s="4" customFormat="1" ht="15.75" customHeight="1" x14ac:dyDescent="0.3"/>
    <row r="855" s="4" customFormat="1" ht="15.75" customHeight="1" x14ac:dyDescent="0.3"/>
    <row r="856" s="4" customFormat="1" ht="15.75" customHeight="1" x14ac:dyDescent="0.3"/>
    <row r="857" s="4" customFormat="1" ht="15.75" customHeight="1" x14ac:dyDescent="0.3"/>
    <row r="858" s="4" customFormat="1" ht="15.75" customHeight="1" x14ac:dyDescent="0.3"/>
    <row r="859" s="4" customFormat="1" ht="15.75" customHeight="1" x14ac:dyDescent="0.3"/>
    <row r="860" s="4" customFormat="1" ht="15.75" customHeight="1" x14ac:dyDescent="0.3"/>
    <row r="861" s="4" customFormat="1" ht="15.75" customHeight="1" x14ac:dyDescent="0.3"/>
    <row r="862" s="4" customFormat="1" ht="15.75" customHeight="1" x14ac:dyDescent="0.3"/>
    <row r="863" s="4" customFormat="1" ht="15.75" customHeight="1" x14ac:dyDescent="0.3"/>
    <row r="864" s="4" customFormat="1" ht="15.75" customHeight="1" x14ac:dyDescent="0.3"/>
    <row r="865" s="4" customFormat="1" ht="15.75" customHeight="1" x14ac:dyDescent="0.3"/>
    <row r="866" s="4" customFormat="1" ht="15.75" customHeight="1" x14ac:dyDescent="0.3"/>
    <row r="867" s="4" customFormat="1" ht="15.75" customHeight="1" x14ac:dyDescent="0.3"/>
    <row r="868" s="4" customFormat="1" ht="15.75" customHeight="1" x14ac:dyDescent="0.3"/>
    <row r="869" s="4" customFormat="1" ht="15.75" customHeight="1" x14ac:dyDescent="0.3"/>
    <row r="870" s="4" customFormat="1" ht="15.75" customHeight="1" x14ac:dyDescent="0.3"/>
    <row r="871" s="4" customFormat="1" ht="15.75" customHeight="1" x14ac:dyDescent="0.3"/>
    <row r="872" s="4" customFormat="1" ht="15.75" customHeight="1" x14ac:dyDescent="0.3"/>
    <row r="873" s="4" customFormat="1" ht="15.75" customHeight="1" x14ac:dyDescent="0.3"/>
    <row r="874" s="4" customFormat="1" ht="15.75" customHeight="1" x14ac:dyDescent="0.3"/>
    <row r="875" s="4" customFormat="1" ht="15.75" customHeight="1" x14ac:dyDescent="0.3"/>
    <row r="876" s="4" customFormat="1" ht="15.75" customHeight="1" x14ac:dyDescent="0.3"/>
    <row r="877" s="4" customFormat="1" ht="15.75" customHeight="1" x14ac:dyDescent="0.3"/>
    <row r="878" s="4" customFormat="1" ht="15.75" customHeight="1" x14ac:dyDescent="0.3"/>
    <row r="879" s="4" customFormat="1" ht="15.75" customHeight="1" x14ac:dyDescent="0.3"/>
    <row r="880" s="4" customFormat="1" ht="15.75" customHeight="1" x14ac:dyDescent="0.3"/>
    <row r="881" s="4" customFormat="1" ht="15.75" customHeight="1" x14ac:dyDescent="0.3"/>
    <row r="882" s="4" customFormat="1" ht="15.75" customHeight="1" x14ac:dyDescent="0.3"/>
    <row r="883" s="4" customFormat="1" ht="15.75" customHeight="1" x14ac:dyDescent="0.3"/>
    <row r="884" s="4" customFormat="1" ht="15.75" customHeight="1" x14ac:dyDescent="0.3"/>
    <row r="885" s="4" customFormat="1" ht="15.75" customHeight="1" x14ac:dyDescent="0.3"/>
    <row r="886" s="4" customFormat="1" ht="15.75" customHeight="1" x14ac:dyDescent="0.3"/>
    <row r="887" s="4" customFormat="1" ht="15.75" customHeight="1" x14ac:dyDescent="0.3"/>
    <row r="888" s="4" customFormat="1" ht="15.75" customHeight="1" x14ac:dyDescent="0.3"/>
    <row r="889" s="4" customFormat="1" ht="15.75" customHeight="1" x14ac:dyDescent="0.3"/>
    <row r="890" s="4" customFormat="1" ht="15.75" customHeight="1" x14ac:dyDescent="0.3"/>
    <row r="891" s="4" customFormat="1" ht="15.75" customHeight="1" x14ac:dyDescent="0.3"/>
    <row r="892" s="4" customFormat="1" ht="15.75" customHeight="1" x14ac:dyDescent="0.3"/>
    <row r="893" s="4" customFormat="1" ht="15.75" customHeight="1" x14ac:dyDescent="0.3"/>
    <row r="894" s="4" customFormat="1" ht="15.75" customHeight="1" x14ac:dyDescent="0.3"/>
    <row r="895" s="4" customFormat="1" ht="15.75" customHeight="1" x14ac:dyDescent="0.3"/>
    <row r="896" s="4" customFormat="1" ht="15.75" customHeight="1" x14ac:dyDescent="0.3"/>
    <row r="897" s="4" customFormat="1" ht="15.75" customHeight="1" x14ac:dyDescent="0.3"/>
    <row r="898" s="4" customFormat="1" ht="15.75" customHeight="1" x14ac:dyDescent="0.3"/>
    <row r="899" s="4" customFormat="1" ht="15.75" customHeight="1" x14ac:dyDescent="0.3"/>
    <row r="900" s="4" customFormat="1" ht="15.75" customHeight="1" x14ac:dyDescent="0.3"/>
    <row r="901" s="4" customFormat="1" ht="15.75" customHeight="1" x14ac:dyDescent="0.3"/>
    <row r="902" s="4" customFormat="1" ht="15.75" customHeight="1" x14ac:dyDescent="0.3"/>
    <row r="903" s="4" customFormat="1" ht="15.75" customHeight="1" x14ac:dyDescent="0.3"/>
    <row r="904" s="4" customFormat="1" ht="15.75" customHeight="1" x14ac:dyDescent="0.3"/>
    <row r="905" s="4" customFormat="1" ht="15.75" customHeight="1" x14ac:dyDescent="0.3"/>
    <row r="906" s="4" customFormat="1" ht="15.75" customHeight="1" x14ac:dyDescent="0.3"/>
    <row r="907" s="4" customFormat="1" ht="15.75" customHeight="1" x14ac:dyDescent="0.3"/>
    <row r="908" s="4" customFormat="1" ht="15.75" customHeight="1" x14ac:dyDescent="0.3"/>
    <row r="909" s="4" customFormat="1" ht="15.75" customHeight="1" x14ac:dyDescent="0.3"/>
    <row r="910" s="4" customFormat="1" ht="15.75" customHeight="1" x14ac:dyDescent="0.3"/>
    <row r="911" s="4" customFormat="1" ht="15.75" customHeight="1" x14ac:dyDescent="0.3"/>
    <row r="912" s="4" customFormat="1" ht="15.75" customHeight="1" x14ac:dyDescent="0.3"/>
    <row r="913" s="4" customFormat="1" ht="15.75" customHeight="1" x14ac:dyDescent="0.3"/>
    <row r="914" s="4" customFormat="1" ht="15.75" customHeight="1" x14ac:dyDescent="0.3"/>
    <row r="915" s="4" customFormat="1" ht="15.75" customHeight="1" x14ac:dyDescent="0.3"/>
    <row r="916" s="4" customFormat="1" ht="15.75" customHeight="1" x14ac:dyDescent="0.3"/>
    <row r="917" s="4" customFormat="1" ht="15.75" customHeight="1" x14ac:dyDescent="0.3"/>
    <row r="918" s="4" customFormat="1" ht="15.75" customHeight="1" x14ac:dyDescent="0.3"/>
    <row r="919" s="4" customFormat="1" ht="15.75" customHeight="1" x14ac:dyDescent="0.3"/>
    <row r="920" s="4" customFormat="1" ht="15.75" customHeight="1" x14ac:dyDescent="0.3"/>
    <row r="921" s="4" customFormat="1" ht="15.75" customHeight="1" x14ac:dyDescent="0.3"/>
    <row r="922" s="4" customFormat="1" ht="15.75" customHeight="1" x14ac:dyDescent="0.3"/>
    <row r="923" s="4" customFormat="1" ht="15.75" customHeight="1" x14ac:dyDescent="0.3"/>
    <row r="924" s="4" customFormat="1" ht="15.75" customHeight="1" x14ac:dyDescent="0.3"/>
    <row r="925" s="4" customFormat="1" ht="15.75" customHeight="1" x14ac:dyDescent="0.3"/>
    <row r="926" s="4" customFormat="1" ht="15.75" customHeight="1" x14ac:dyDescent="0.3"/>
    <row r="927" s="4" customFormat="1" ht="15.75" customHeight="1" x14ac:dyDescent="0.3"/>
    <row r="928" s="4" customFormat="1" ht="15.75" customHeight="1" x14ac:dyDescent="0.3"/>
    <row r="929" s="4" customFormat="1" ht="15.75" customHeight="1" x14ac:dyDescent="0.3"/>
    <row r="930" s="4" customFormat="1" ht="15.75" customHeight="1" x14ac:dyDescent="0.3"/>
    <row r="931" s="4" customFormat="1" ht="15.75" customHeight="1" x14ac:dyDescent="0.3"/>
    <row r="932" s="4" customFormat="1" ht="15.75" customHeight="1" x14ac:dyDescent="0.3"/>
    <row r="933" s="4" customFormat="1" ht="15.75" customHeight="1" x14ac:dyDescent="0.3"/>
    <row r="934" s="4" customFormat="1" ht="15.75" customHeight="1" x14ac:dyDescent="0.3"/>
    <row r="935" s="4" customFormat="1" ht="15.75" customHeight="1" x14ac:dyDescent="0.3"/>
    <row r="936" s="4" customFormat="1" ht="15.75" customHeight="1" x14ac:dyDescent="0.3"/>
    <row r="937" s="4" customFormat="1" ht="15.75" customHeight="1" x14ac:dyDescent="0.3"/>
    <row r="938" s="4" customFormat="1" ht="15.75" customHeight="1" x14ac:dyDescent="0.3"/>
    <row r="939" s="4" customFormat="1" ht="15.75" customHeight="1" x14ac:dyDescent="0.3"/>
    <row r="940" s="4" customFormat="1" ht="15.75" customHeight="1" x14ac:dyDescent="0.3"/>
    <row r="941" s="4" customFormat="1" ht="15.75" customHeight="1" x14ac:dyDescent="0.3"/>
    <row r="942" s="4" customFormat="1" ht="15.75" customHeight="1" x14ac:dyDescent="0.3"/>
    <row r="943" s="4" customFormat="1" ht="15.75" customHeight="1" x14ac:dyDescent="0.3"/>
    <row r="944" s="4" customFormat="1" ht="15.75" customHeight="1" x14ac:dyDescent="0.3"/>
    <row r="945" s="4" customFormat="1" ht="15.75" customHeight="1" x14ac:dyDescent="0.3"/>
    <row r="946" s="4" customFormat="1" ht="15.75" customHeight="1" x14ac:dyDescent="0.3"/>
    <row r="947" s="4" customFormat="1" ht="15.75" customHeight="1" x14ac:dyDescent="0.3"/>
    <row r="948" s="4" customFormat="1" ht="15.75" customHeight="1" x14ac:dyDescent="0.3"/>
    <row r="949" s="4" customFormat="1" ht="15.75" customHeight="1" x14ac:dyDescent="0.3"/>
    <row r="950" s="4" customFormat="1" ht="15.75" customHeight="1" x14ac:dyDescent="0.3"/>
    <row r="951" s="4" customFormat="1" ht="15.75" customHeight="1" x14ac:dyDescent="0.3"/>
    <row r="952" s="4" customFormat="1" ht="15.75" customHeight="1" x14ac:dyDescent="0.3"/>
    <row r="953" s="4" customFormat="1" ht="15.75" customHeight="1" x14ac:dyDescent="0.3"/>
    <row r="954" s="4" customFormat="1" ht="15.75" customHeight="1" x14ac:dyDescent="0.3"/>
    <row r="955" s="4" customFormat="1" ht="15.75" customHeight="1" x14ac:dyDescent="0.3"/>
    <row r="956" s="4" customFormat="1" ht="15.75" customHeight="1" x14ac:dyDescent="0.3"/>
    <row r="957" s="4" customFormat="1" ht="15.75" customHeight="1" x14ac:dyDescent="0.3"/>
    <row r="958" s="4" customFormat="1" ht="15.75" customHeight="1" x14ac:dyDescent="0.3"/>
    <row r="959" s="4" customFormat="1" ht="15.75" customHeight="1" x14ac:dyDescent="0.3"/>
    <row r="960" s="4" customFormat="1" ht="15.75" customHeight="1" x14ac:dyDescent="0.3"/>
    <row r="961" s="4" customFormat="1" ht="15.75" customHeight="1" x14ac:dyDescent="0.3"/>
    <row r="962" s="4" customFormat="1" ht="15.75" customHeight="1" x14ac:dyDescent="0.3"/>
    <row r="963" s="4" customFormat="1" ht="15.75" customHeight="1" x14ac:dyDescent="0.3"/>
    <row r="964" s="4" customFormat="1" ht="15.75" customHeight="1" x14ac:dyDescent="0.3"/>
    <row r="965" s="4" customFormat="1" ht="15.75" customHeight="1" x14ac:dyDescent="0.3"/>
  </sheetData>
  <mergeCells count="2">
    <mergeCell ref="I42:K42"/>
    <mergeCell ref="C60:D60"/>
  </mergeCells>
  <conditionalFormatting sqref="C28">
    <cfRule type="containsBlanks" dxfId="4" priority="9">
      <formula>LEN(TRIM(C28))=0</formula>
    </cfRule>
  </conditionalFormatting>
  <conditionalFormatting sqref="C30">
    <cfRule type="containsBlanks" dxfId="3" priority="8">
      <formula>LEN(TRIM(C30))=0</formula>
    </cfRule>
  </conditionalFormatting>
  <conditionalFormatting sqref="C40">
    <cfRule type="containsBlanks" dxfId="2" priority="7">
      <formula>LEN(TRIM(C40))=0</formula>
    </cfRule>
  </conditionalFormatting>
  <conditionalFormatting sqref="E49:F54">
    <cfRule type="cellIs" dxfId="1" priority="22" operator="equal">
      <formula>$E$58</formula>
    </cfRule>
  </conditionalFormatting>
  <conditionalFormatting sqref="E8:E25 F16:F25">
    <cfRule type="containsBlanks" dxfId="0" priority="1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C31" sqref="C31"/>
    </sheetView>
  </sheetViews>
  <sheetFormatPr defaultColWidth="12.453125" defaultRowHeight="15" customHeight="1" x14ac:dyDescent="0.3"/>
  <cols>
    <col min="1" max="1" width="2.453125" style="4" customWidth="1"/>
    <col min="2" max="2" width="62.453125" style="4" customWidth="1"/>
    <col min="3" max="4" width="22.453125" style="4" customWidth="1"/>
    <col min="5" max="5" width="32.7265625" style="4" customWidth="1"/>
    <col min="6" max="6" width="12.453125" style="4" customWidth="1"/>
    <col min="7" max="16384" width="12.453125" style="4"/>
  </cols>
  <sheetData>
    <row r="2" spans="1:6" x14ac:dyDescent="0.3">
      <c r="A2" s="5"/>
      <c r="B2" s="16" t="s">
        <v>257</v>
      </c>
      <c r="C2" s="215"/>
      <c r="D2" s="10"/>
      <c r="E2" s="10"/>
    </row>
    <row r="3" spans="1:6" ht="15" customHeight="1" x14ac:dyDescent="0.3">
      <c r="B3" s="6" t="s">
        <v>258</v>
      </c>
      <c r="C3" s="6"/>
      <c r="D3" s="216">
        <f>IF(LEFT(E3,1)="H",1,IF(LEFT(E3,1)="C",-1,0))</f>
        <v>-1</v>
      </c>
      <c r="E3" s="59" t="s">
        <v>259</v>
      </c>
      <c r="F3" s="7"/>
    </row>
    <row r="4" spans="1:6" ht="15" customHeight="1" x14ac:dyDescent="0.3">
      <c r="B4" s="94" t="s">
        <v>260</v>
      </c>
      <c r="C4" s="94"/>
      <c r="D4" s="216">
        <f>IF(LEFT(E4,1)="H",1,IF(LEFT(E4,1)="C",-1,0))</f>
        <v>-1</v>
      </c>
      <c r="E4" s="58" t="s">
        <v>261</v>
      </c>
      <c r="F4" s="7"/>
    </row>
    <row r="5" spans="1:6" ht="15" customHeight="1" x14ac:dyDescent="0.3">
      <c r="B5" s="94" t="s">
        <v>262</v>
      </c>
      <c r="C5" s="94"/>
      <c r="D5" s="216">
        <f>IF(LEFT(E5,1)="H",1,IF(LEFT(E5,1)="C",-1,0))</f>
        <v>-1</v>
      </c>
      <c r="E5" s="58" t="s">
        <v>263</v>
      </c>
      <c r="F5" s="7"/>
    </row>
    <row r="6" spans="1:6" ht="15" customHeight="1" x14ac:dyDescent="0.3">
      <c r="B6" s="94" t="s">
        <v>264</v>
      </c>
      <c r="C6" s="94"/>
      <c r="D6" s="216">
        <f>IF(LEFT(E6,1)="H",1,IF(LEFT(E6,1)="C",-1,0))</f>
        <v>-1</v>
      </c>
      <c r="E6" s="58" t="s">
        <v>265</v>
      </c>
      <c r="F6" s="7"/>
    </row>
    <row r="7" spans="1:6" ht="15" customHeight="1" x14ac:dyDescent="0.3">
      <c r="B7" s="217" t="s">
        <v>266</v>
      </c>
      <c r="D7" s="216">
        <f>IF(LEFT(E7,1)="H",2,IF(LEFT(E7,1)="C",-1,0))</f>
        <v>-1</v>
      </c>
      <c r="E7" s="89" t="str">
        <f>IF(SUM(D3:D6)&gt;=3, "Hot", IF(SUM(D3:FC6)&lt;=-3,"Cold", "Mixed"))</f>
        <v>Cold</v>
      </c>
      <c r="F7" s="7"/>
    </row>
    <row r="8" spans="1:6" ht="15" customHeight="1" x14ac:dyDescent="0.3">
      <c r="B8" s="94" t="s">
        <v>267</v>
      </c>
      <c r="C8" s="94"/>
      <c r="D8" s="216">
        <f>IF(LEFT(E8,1)="H",1,IF(LEFT(E8,1)="C",-1,0))</f>
        <v>-1</v>
      </c>
      <c r="E8" s="58" t="s">
        <v>268</v>
      </c>
      <c r="F8" s="7"/>
    </row>
    <row r="9" spans="1:6" ht="15" customHeight="1" x14ac:dyDescent="0.3">
      <c r="B9" s="94" t="s">
        <v>269</v>
      </c>
      <c r="C9" s="94"/>
      <c r="D9" s="216">
        <f>IF(LEFT(E9,1)="H",1,IF(LEFT(E9,1)="C",-1,0))</f>
        <v>-1</v>
      </c>
      <c r="E9" s="58" t="s">
        <v>270</v>
      </c>
      <c r="F9" s="7"/>
    </row>
    <row r="10" spans="1:6" ht="15" customHeight="1" x14ac:dyDescent="0.3">
      <c r="B10" s="94" t="s">
        <v>271</v>
      </c>
      <c r="C10" s="94"/>
      <c r="D10" s="216">
        <f>IF(LEFT(E10,1)="H",1,IF(LEFT(E10,1)="C",-1,0))</f>
        <v>0</v>
      </c>
      <c r="E10" s="58" t="s">
        <v>272</v>
      </c>
      <c r="F10" s="7"/>
    </row>
    <row r="11" spans="1:6" ht="15" customHeight="1" x14ac:dyDescent="0.3">
      <c r="B11" s="94" t="s">
        <v>273</v>
      </c>
      <c r="C11" s="94"/>
      <c r="D11" s="216">
        <f>IF(LEFT(E11,1)="H",1,IF(LEFT(E11,1)="C",-1,0))</f>
        <v>-1</v>
      </c>
      <c r="E11" s="58" t="s">
        <v>274</v>
      </c>
      <c r="F11" s="7"/>
    </row>
    <row r="12" spans="1:6" ht="15" customHeight="1" x14ac:dyDescent="0.3">
      <c r="B12" s="217" t="s">
        <v>275</v>
      </c>
      <c r="D12" s="216">
        <f>IF(LEFT(E12,1)="H",2,IF(LEFT(E12,1)="C",-1,0))</f>
        <v>-1</v>
      </c>
      <c r="E12" s="89" t="str">
        <f>IF(SUM(D8:D11)&gt;=3, "Hot", IF(SUM(D8:D11)&lt;=-3,"Cold", "Mixed"))</f>
        <v>Cold</v>
      </c>
      <c r="F12" s="7"/>
    </row>
    <row r="13" spans="1:6" ht="15" customHeight="1" x14ac:dyDescent="0.3">
      <c r="B13" s="94" t="s">
        <v>276</v>
      </c>
      <c r="C13" s="94"/>
      <c r="D13" s="216">
        <f>IF(LEFT(E13,1)="H",1,IF(LEFT(E13,1)="C",-1,0))</f>
        <v>-1</v>
      </c>
      <c r="E13" s="58" t="s">
        <v>277</v>
      </c>
      <c r="F13" s="7"/>
    </row>
    <row r="14" spans="1:6" ht="15" customHeight="1" x14ac:dyDescent="0.3">
      <c r="B14" s="94" t="s">
        <v>278</v>
      </c>
      <c r="C14" s="94"/>
      <c r="D14" s="216">
        <f>IF(LEFT(E14,1)="H",1,IF(LEFT(E14,1)="C",-1,0))</f>
        <v>-1</v>
      </c>
      <c r="E14" s="58" t="s">
        <v>279</v>
      </c>
      <c r="F14" s="7"/>
    </row>
    <row r="15" spans="1:6" ht="15" customHeight="1" x14ac:dyDescent="0.3">
      <c r="B15" s="94" t="s">
        <v>280</v>
      </c>
      <c r="C15" s="94"/>
      <c r="D15" s="216">
        <f>IF(LEFT(E15,1)="H",1,IF(LEFT(E15,1)="C",-1,0))</f>
        <v>-1</v>
      </c>
      <c r="E15" s="58" t="s">
        <v>281</v>
      </c>
      <c r="F15" s="7"/>
    </row>
    <row r="16" spans="1:6" ht="15" customHeight="1" x14ac:dyDescent="0.3">
      <c r="B16" s="94" t="s">
        <v>282</v>
      </c>
      <c r="C16" s="94"/>
      <c r="D16" s="216">
        <f>IF(LEFT(E16,1)="H",1,IF(LEFT(E16,1)="C",-1,0))</f>
        <v>-1</v>
      </c>
      <c r="E16" s="58" t="s">
        <v>283</v>
      </c>
      <c r="F16" s="7"/>
    </row>
    <row r="17" spans="1:6" ht="15" customHeight="1" x14ac:dyDescent="0.3">
      <c r="B17" s="217" t="s">
        <v>284</v>
      </c>
      <c r="D17" s="216">
        <f>IF(LEFT(E17,1)="H",2,IF(LEFT(E17,1)="C",-1,0))</f>
        <v>-1</v>
      </c>
      <c r="E17" s="89" t="str">
        <f>IF(SUM(D13:D16)&gt;=3, "Hot", IF(SUM(D13:D16)&lt;=-3,"Cold", "Mixed"))</f>
        <v>Cold</v>
      </c>
      <c r="F17" s="7"/>
    </row>
    <row r="18" spans="1:6" ht="15" customHeight="1" x14ac:dyDescent="0.3">
      <c r="B18" s="94" t="s">
        <v>285</v>
      </c>
      <c r="C18" s="94"/>
      <c r="D18" s="216">
        <f>IF(LEFT(E18,1)="H",1,IF(LEFT(E18,1)="C",-1,0))</f>
        <v>-1</v>
      </c>
      <c r="E18" s="58" t="s">
        <v>286</v>
      </c>
      <c r="F18" s="7"/>
    </row>
    <row r="19" spans="1:6" ht="15" customHeight="1" x14ac:dyDescent="0.3">
      <c r="B19" s="94" t="s">
        <v>287</v>
      </c>
      <c r="C19" s="94"/>
      <c r="D19" s="216">
        <f>IF(LEFT(E19,1)="H",1,IF(LEFT(E19,1)="C",-1,0))</f>
        <v>-1</v>
      </c>
      <c r="E19" s="58" t="s">
        <v>288</v>
      </c>
      <c r="F19" s="7"/>
    </row>
    <row r="20" spans="1:6" ht="15" customHeight="1" x14ac:dyDescent="0.3">
      <c r="B20" s="94" t="s">
        <v>289</v>
      </c>
      <c r="C20" s="94"/>
      <c r="D20" s="216">
        <f>IF(LEFT(E20,1)="H",1,IF(LEFT(E20,1)="C",-1,0))</f>
        <v>-1</v>
      </c>
      <c r="E20" s="58" t="s">
        <v>290</v>
      </c>
      <c r="F20" s="7"/>
    </row>
    <row r="21" spans="1:6" ht="15" customHeight="1" x14ac:dyDescent="0.3">
      <c r="B21" s="94" t="s">
        <v>291</v>
      </c>
      <c r="C21" s="94"/>
      <c r="D21" s="216">
        <f>IF(LEFT(E21,1)="H",1,IF(LEFT(E21,1)="C",-1,0))</f>
        <v>-1</v>
      </c>
      <c r="E21" s="58" t="s">
        <v>292</v>
      </c>
      <c r="F21" s="7"/>
    </row>
    <row r="22" spans="1:6" ht="15" customHeight="1" x14ac:dyDescent="0.3">
      <c r="B22" s="217" t="s">
        <v>293</v>
      </c>
      <c r="D22" s="216">
        <f>IF(LEFT(E22,1)="H",2,IF(LEFT(E22,1)="C",-1,0))</f>
        <v>-1</v>
      </c>
      <c r="E22" s="89" t="str">
        <f>IF(SUM(D18:D21)&gt;=3, "Hot", IF(SUM(D18:D21)&lt;=-3,"Cold", "Mixed"))</f>
        <v>Cold</v>
      </c>
      <c r="F22" s="218">
        <f>SUM(D7,D12,D17,D22)</f>
        <v>-4</v>
      </c>
    </row>
    <row r="23" spans="1:6" ht="15" customHeight="1" x14ac:dyDescent="0.3">
      <c r="E23" s="7"/>
    </row>
    <row r="24" spans="1:6" x14ac:dyDescent="0.3">
      <c r="A24" s="5"/>
      <c r="B24" s="16" t="s">
        <v>294</v>
      </c>
      <c r="C24" s="219"/>
      <c r="D24" s="17"/>
      <c r="E24" s="17"/>
    </row>
    <row r="25" spans="1:6" ht="14.15" customHeight="1" x14ac:dyDescent="0.3">
      <c r="B25" s="220" t="s">
        <v>295</v>
      </c>
      <c r="C25" s="221"/>
      <c r="D25" s="7"/>
      <c r="E25" s="7"/>
    </row>
    <row r="26" spans="1:6" ht="14.15" customHeight="1" x14ac:dyDescent="0.3">
      <c r="B26" s="7" t="s">
        <v>296</v>
      </c>
      <c r="C26" s="221"/>
      <c r="D26" s="218">
        <f>IF(E26="Strongly disagree",0,IF(E26="disagree",1,IF(E26="unclear",2,IF(E26="agree",3,4))))</f>
        <v>4</v>
      </c>
      <c r="E26" s="58" t="s">
        <v>297</v>
      </c>
      <c r="F26" s="7"/>
    </row>
    <row r="27" spans="1:6" ht="14.15" customHeight="1" x14ac:dyDescent="0.3">
      <c r="B27" s="7" t="s">
        <v>298</v>
      </c>
      <c r="C27" s="221"/>
      <c r="D27" s="218">
        <f>IF(E27="Strongly disagree",0,IF(E27="disagree",1,IF(E27="unclear",2,IF(E27="agree",3,4))))</f>
        <v>3</v>
      </c>
      <c r="E27" s="58" t="s">
        <v>299</v>
      </c>
      <c r="F27" s="7"/>
    </row>
    <row r="28" spans="1:6" ht="14.15" customHeight="1" x14ac:dyDescent="0.3">
      <c r="B28" s="7" t="s">
        <v>300</v>
      </c>
      <c r="C28" s="221"/>
      <c r="D28" s="218">
        <f>IF(E28="Strongly disagree",0,IF(E28="disagree",1,IF(E28="unclear",2,IF(E28="agree",3,4))))</f>
        <v>4</v>
      </c>
      <c r="E28" s="58" t="s">
        <v>297</v>
      </c>
      <c r="F28" s="7"/>
    </row>
    <row r="29" spans="1:6" ht="14.15" customHeight="1" x14ac:dyDescent="0.3">
      <c r="B29" s="222" t="s">
        <v>301</v>
      </c>
      <c r="C29" s="221"/>
      <c r="D29" s="218">
        <f>AVERAGE(D26:D28)</f>
        <v>3.6666666666666665</v>
      </c>
      <c r="E29" s="223">
        <f>D29/4</f>
        <v>0.91666666666666663</v>
      </c>
      <c r="F29" s="7"/>
    </row>
    <row r="30" spans="1:6" ht="14.15" customHeight="1" x14ac:dyDescent="0.3">
      <c r="B30" s="221"/>
      <c r="C30" s="221"/>
      <c r="E30" s="7"/>
    </row>
    <row r="31" spans="1:6" ht="14.15" customHeight="1" x14ac:dyDescent="0.3">
      <c r="B31" s="224" t="s">
        <v>302</v>
      </c>
      <c r="C31" s="217"/>
    </row>
    <row r="32" spans="1:6" ht="14.15" customHeight="1" x14ac:dyDescent="0.3">
      <c r="B32" s="217" t="s">
        <v>303</v>
      </c>
      <c r="C32" s="217"/>
      <c r="E32" s="7"/>
    </row>
    <row r="33" spans="2:6" ht="14.15" customHeight="1" x14ac:dyDescent="0.3">
      <c r="B33" s="94" t="s">
        <v>304</v>
      </c>
      <c r="D33" s="225">
        <f>IF(E33="Strongly disagree",0,IF(E33="disagree",1,IF(E33="unclear",2,IF(E33="agree",3,4))))</f>
        <v>4</v>
      </c>
      <c r="E33" s="226" t="str">
        <f>IF(D29&gt;=3.5,"Strongly agree",IF(D29&gt;=2.5,"agree",IF(D29&gt;=1.5,"unclear",IF(D29&gt;=0.5,"disagree","Strongly disagree"))))</f>
        <v>Strongly agree</v>
      </c>
      <c r="F33" s="7"/>
    </row>
    <row r="34" spans="2:6" ht="14.15" customHeight="1" x14ac:dyDescent="0.3">
      <c r="B34" s="94" t="s">
        <v>305</v>
      </c>
      <c r="D34" s="225">
        <f>IF(E34="Strongly disagree",0,IF(E34="disagree",1,IF(E34="unclear",2,IF(E34="agree",3,4))))</f>
        <v>3</v>
      </c>
      <c r="E34" s="58" t="s">
        <v>299</v>
      </c>
      <c r="F34" s="7"/>
    </row>
    <row r="35" spans="2:6" ht="14.15" customHeight="1" x14ac:dyDescent="0.3">
      <c r="B35" s="94" t="s">
        <v>306</v>
      </c>
      <c r="D35" s="225">
        <f>IF(E35="Strongly disagree",0,IF(E35="disagree",1,IF(E35="unclear",2,IF(E35="agree",3,4))))</f>
        <v>2</v>
      </c>
      <c r="E35" s="58" t="s">
        <v>307</v>
      </c>
      <c r="F35" s="7"/>
    </row>
    <row r="36" spans="2:6" ht="14.15" customHeight="1" x14ac:dyDescent="0.3">
      <c r="B36" s="94" t="s">
        <v>308</v>
      </c>
      <c r="D36" s="225">
        <f>IF(E36="Strongly disagree",0,IF(E36="disagree",1,IF(E36="unclear",2,IF(E36="agree",3,4))))</f>
        <v>1</v>
      </c>
      <c r="E36" s="58" t="s">
        <v>309</v>
      </c>
      <c r="F36" s="7"/>
    </row>
    <row r="37" spans="2:6" ht="14.15" customHeight="1" x14ac:dyDescent="0.3">
      <c r="B37" s="94" t="s">
        <v>310</v>
      </c>
      <c r="D37" s="225">
        <f>IF(E37="Strongly disagree",0,IF(E37="disagree",1,IF(E37="unclear",2,IF(E37="agree",3,4))))</f>
        <v>4</v>
      </c>
      <c r="E37" s="58" t="s">
        <v>297</v>
      </c>
      <c r="F37" s="7"/>
    </row>
    <row r="38" spans="2:6" ht="14.15" customHeight="1" x14ac:dyDescent="0.3">
      <c r="B38" s="217" t="s">
        <v>311</v>
      </c>
      <c r="D38" s="68"/>
      <c r="E38" s="31"/>
    </row>
    <row r="39" spans="2:6" ht="14.15" customHeight="1" x14ac:dyDescent="0.3">
      <c r="B39" s="94" t="s">
        <v>312</v>
      </c>
      <c r="D39" s="225">
        <f>IF(E39="Strongly disagree",0,IF(E39="disagree",1,IF(E39="unclear",2,IF(E39="agree",3,4))))</f>
        <v>2</v>
      </c>
      <c r="E39" s="89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7"/>
    </row>
    <row r="40" spans="2:6" ht="14.15" customHeight="1" x14ac:dyDescent="0.3">
      <c r="B40" s="94" t="s">
        <v>313</v>
      </c>
      <c r="D40" s="225">
        <f>IF(E40="Strongly disagree",0,IF(E40="disagree",1,IF(E40="unclear",2,IF(E40="agree",3,4))))</f>
        <v>3</v>
      </c>
      <c r="E40" s="58" t="s">
        <v>299</v>
      </c>
      <c r="F40" s="7"/>
    </row>
    <row r="41" spans="2:6" ht="15" customHeight="1" x14ac:dyDescent="0.3">
      <c r="B41" s="94" t="s">
        <v>314</v>
      </c>
      <c r="D41" s="225">
        <f>IF(E41="Strongly disagree",0,IF(E41="disagree",1,IF(E41="unclear",2,IF(E41="agree",3,4))))</f>
        <v>1</v>
      </c>
      <c r="E41" s="58" t="s">
        <v>309</v>
      </c>
      <c r="F41" s="7"/>
    </row>
    <row r="42" spans="2:6" ht="15" customHeight="1" x14ac:dyDescent="0.3">
      <c r="B42" s="94" t="s">
        <v>315</v>
      </c>
      <c r="D42" s="225">
        <f>IF(E42="Strongly disagree",0,IF(E42="disagree",1,IF(E42="unclear",2,IF(E42="agree",3,4))))</f>
        <v>3</v>
      </c>
      <c r="E42" s="58" t="s">
        <v>299</v>
      </c>
      <c r="F42" s="7"/>
    </row>
    <row r="43" spans="2:6" ht="15" customHeight="1" x14ac:dyDescent="0.3">
      <c r="B43" s="94" t="s">
        <v>316</v>
      </c>
      <c r="D43" s="225">
        <f>IF(E43="Strongly disagree",0,IF(E43="disagree",1,IF(E43="unclear",2,IF(E43="agree",3,4))))</f>
        <v>3</v>
      </c>
      <c r="E43" s="58" t="s">
        <v>299</v>
      </c>
      <c r="F43" s="7"/>
    </row>
    <row r="44" spans="2:6" ht="15" customHeight="1" x14ac:dyDescent="0.3">
      <c r="B44" s="217" t="s">
        <v>317</v>
      </c>
      <c r="D44" s="68"/>
      <c r="E44" s="31"/>
    </row>
    <row r="45" spans="2:6" ht="14.15" customHeight="1" x14ac:dyDescent="0.3">
      <c r="B45" s="94" t="s">
        <v>318</v>
      </c>
      <c r="D45" s="225">
        <f>IF(E45="Strongly disagree",0,IF(E45="disagree",1,IF(E45="unclear",2,IF(E45="agree",3,4))))</f>
        <v>4</v>
      </c>
      <c r="E45" s="58" t="s">
        <v>297</v>
      </c>
      <c r="F45" s="7"/>
    </row>
    <row r="46" spans="2:6" ht="15" customHeight="1" x14ac:dyDescent="0.3">
      <c r="B46" s="94" t="s">
        <v>319</v>
      </c>
      <c r="D46" s="225">
        <f>IF(E46="Strongly disagree",0,IF(E46="disagree",1,IF(E46="unclear",2,IF(E46="agree",3,4))))</f>
        <v>3</v>
      </c>
      <c r="E46" s="58" t="s">
        <v>299</v>
      </c>
      <c r="F46" s="7"/>
    </row>
    <row r="47" spans="2:6" ht="15" customHeight="1" x14ac:dyDescent="0.3">
      <c r="B47" s="94" t="s">
        <v>320</v>
      </c>
      <c r="D47" s="225">
        <f>IF(E47="Strongly disagree",0,IF(E47="disagree",1,IF(E47="unclear",2,IF(E47="agree",3,4))))</f>
        <v>4</v>
      </c>
      <c r="E47" s="58" t="s">
        <v>297</v>
      </c>
      <c r="F47" s="7"/>
    </row>
    <row r="48" spans="2:6" ht="15" customHeight="1" x14ac:dyDescent="0.3">
      <c r="B48" s="94" t="s">
        <v>321</v>
      </c>
      <c r="D48" s="225">
        <f>IF(E48="Strongly disagree",0,IF(E48="disagree",1,IF(E48="unclear",2,IF(E48="agree",3,4))))</f>
        <v>2</v>
      </c>
      <c r="E48" s="58" t="s">
        <v>307</v>
      </c>
      <c r="F48" s="7"/>
    </row>
    <row r="49" spans="2:6" ht="14.15" customHeight="1" x14ac:dyDescent="0.3">
      <c r="B49" s="94" t="s">
        <v>322</v>
      </c>
      <c r="D49" s="225">
        <f>IF(E49="Strongly disagree",0,IF(E49="disagree",1,IF(E49="unclear",2,IF(E49="agree",3,4))))</f>
        <v>3</v>
      </c>
      <c r="E49" s="58" t="s">
        <v>299</v>
      </c>
      <c r="F49" s="7"/>
    </row>
    <row r="50" spans="2:6" ht="14.15" customHeight="1" x14ac:dyDescent="0.3">
      <c r="B50" s="217" t="s">
        <v>323</v>
      </c>
      <c r="D50" s="68"/>
      <c r="E50" s="31"/>
    </row>
    <row r="51" spans="2:6" ht="14.15" customHeight="1" x14ac:dyDescent="0.3">
      <c r="B51" s="94" t="s">
        <v>324</v>
      </c>
      <c r="D51" s="56"/>
      <c r="E51" s="89" t="str">
        <f>E67</f>
        <v>Medium</v>
      </c>
      <c r="F51" s="7"/>
    </row>
    <row r="52" spans="2:6" ht="14.15" customHeight="1" x14ac:dyDescent="0.3">
      <c r="B52" s="94" t="s">
        <v>325</v>
      </c>
      <c r="D52" s="56"/>
      <c r="E52" s="89" t="str">
        <f>E77</f>
        <v>Very Low</v>
      </c>
      <c r="F52" s="7"/>
    </row>
    <row r="53" spans="2:6" ht="14.15" customHeight="1" x14ac:dyDescent="0.3">
      <c r="B53" s="94" t="s">
        <v>326</v>
      </c>
      <c r="D53" s="56"/>
      <c r="E53" s="89" t="str">
        <f>E85</f>
        <v>Medium</v>
      </c>
      <c r="F53" s="7"/>
    </row>
    <row r="54" spans="2:6" ht="14.15" customHeight="1" x14ac:dyDescent="0.3">
      <c r="B54" s="94" t="s">
        <v>327</v>
      </c>
      <c r="D54" s="56"/>
      <c r="E54" s="89" t="str">
        <f>E95</f>
        <v>Very High</v>
      </c>
      <c r="F54" s="7"/>
    </row>
    <row r="55" spans="2:6" ht="14.15" customHeight="1" x14ac:dyDescent="0.3">
      <c r="B55" s="94" t="s">
        <v>328</v>
      </c>
      <c r="D55" s="56"/>
      <c r="E55" s="89" t="str">
        <f>E102</f>
        <v>Very High</v>
      </c>
      <c r="F55" s="7"/>
    </row>
    <row r="56" spans="2:6" ht="14.15" customHeight="1" x14ac:dyDescent="0.3">
      <c r="B56" s="222" t="s">
        <v>329</v>
      </c>
      <c r="D56" s="218">
        <f>E56*4</f>
        <v>2.5703514739229023</v>
      </c>
      <c r="E56" s="76">
        <f>AVERAGE(AVERAGE(D33:D37)/4,AVERAGE(D39:D43)/4,AVERAGE(D45:D49)/4,E114)</f>
        <v>0.64258786848072558</v>
      </c>
      <c r="F56" s="7"/>
    </row>
    <row r="57" spans="2:6" ht="14.15" customHeight="1" x14ac:dyDescent="0.3">
      <c r="E57" s="7"/>
    </row>
    <row r="58" spans="2:6" ht="14.15" customHeight="1" x14ac:dyDescent="0.3">
      <c r="B58" s="224" t="s">
        <v>330</v>
      </c>
      <c r="C58" s="94"/>
      <c r="D58" s="68"/>
      <c r="E58" s="31"/>
    </row>
    <row r="59" spans="2:6" ht="14.15" customHeight="1" x14ac:dyDescent="0.3">
      <c r="B59" s="4" t="s">
        <v>331</v>
      </c>
      <c r="D59" s="225">
        <f>IF(E59="Strongly disagree",0,IF(E59="disagree",1,IF(E59="unclear",2,IF(E59="agree",3,4))))</f>
        <v>4</v>
      </c>
      <c r="E59" s="58" t="s">
        <v>297</v>
      </c>
      <c r="F59" s="7"/>
    </row>
    <row r="60" spans="2:6" ht="14.15" customHeight="1" x14ac:dyDescent="0.3">
      <c r="B60" s="4" t="s">
        <v>332</v>
      </c>
      <c r="D60" s="225">
        <f>IF(E60="Strongly disagree",0,IF(E60="disagree",1,IF(E60="unclear",2,IF(E60="agree",3,4))))</f>
        <v>3</v>
      </c>
      <c r="E60" s="226" t="str">
        <f>IF(D56&gt;=3.5,"Strongly agree",IF(D56&gt;=2.5,"agree",IF(D56&gt;=1.5,"unclear",IF(D56&gt;=0.5,"disagree","Strongly disagree"))))</f>
        <v>agree</v>
      </c>
      <c r="F60" s="7"/>
    </row>
    <row r="61" spans="2:6" ht="14.15" customHeight="1" x14ac:dyDescent="0.3">
      <c r="B61" s="4" t="s">
        <v>333</v>
      </c>
      <c r="C61" s="94"/>
      <c r="D61" s="225">
        <f>IF(E61="Strongly disagree",0,IF(E61="disagree",1,IF(E61="unclear",2,IF(E61="agree",3,4))))</f>
        <v>4</v>
      </c>
      <c r="E61" s="227" t="str">
        <f>E33</f>
        <v>Strongly agree</v>
      </c>
      <c r="F61" s="7"/>
    </row>
    <row r="62" spans="2:6" ht="14.15" customHeight="1" x14ac:dyDescent="0.3">
      <c r="B62" s="4" t="s">
        <v>334</v>
      </c>
      <c r="D62" s="225">
        <f>IF(E62="Strongly disagree",0,IF(E62="disagree",1,IF(E62="unclear",2,IF(E62="agree",3,4))))</f>
        <v>0</v>
      </c>
      <c r="E62" s="89" t="str">
        <f>IF(OR(F22=4,F22=-4),"Strongly disagree",IF(F22=0,"Strongly agree",IF(OR(F22=1,F22=-1),"agree",IF(OR(F22=3,F22=-3),"disagree","unclear"))))</f>
        <v>Strongly disagree</v>
      </c>
      <c r="F62" s="7"/>
    </row>
    <row r="63" spans="2:6" ht="14.15" customHeight="1" x14ac:dyDescent="0.3">
      <c r="B63" s="222" t="s">
        <v>335</v>
      </c>
      <c r="D63" s="225"/>
      <c r="E63" s="223">
        <f>SUM(D59:D62)/12</f>
        <v>0.91666666666666663</v>
      </c>
      <c r="F63" s="7"/>
    </row>
    <row r="64" spans="2:6" ht="15" customHeight="1" x14ac:dyDescent="0.3">
      <c r="E64" s="7"/>
    </row>
    <row r="65" spans="1:6" ht="15" customHeight="1" x14ac:dyDescent="0.3">
      <c r="A65" s="5"/>
      <c r="B65" s="16" t="s">
        <v>336</v>
      </c>
      <c r="C65" s="26"/>
      <c r="D65" s="26"/>
      <c r="E65" s="17"/>
    </row>
    <row r="66" spans="1:6" ht="15" customHeight="1" x14ac:dyDescent="0.3">
      <c r="B66" s="6" t="s">
        <v>337</v>
      </c>
      <c r="C66" s="7"/>
      <c r="D66" s="31"/>
      <c r="E66" s="7"/>
    </row>
    <row r="67" spans="1:6" ht="15" customHeight="1" x14ac:dyDescent="0.3">
      <c r="B67" s="94" t="s">
        <v>338</v>
      </c>
      <c r="D67" s="228">
        <f>SUM(D68:D75)/(8*4)</f>
        <v>0.40625</v>
      </c>
      <c r="E67" s="89" t="str">
        <f>IF(D67&gt;80%,"Very High",IF(D67&lt;=20%,"Very Low",IF(D67&lt;=40%,"Low",IF(D67&lt;=60%,"Medium","High"))))</f>
        <v>Medium</v>
      </c>
      <c r="F67" s="7"/>
    </row>
    <row r="68" spans="1:6" ht="15" customHeight="1" x14ac:dyDescent="0.3">
      <c r="B68" s="94" t="s">
        <v>339</v>
      </c>
      <c r="D68" s="225">
        <f t="shared" ref="D68:D75" si="0">IF(E68="Strongly disagree",0,IF(E68="disagree",1,IF(E68="unclear",2,IF(E68="agree",3,4))))</f>
        <v>0</v>
      </c>
      <c r="E68" s="58" t="s">
        <v>340</v>
      </c>
      <c r="F68" s="7"/>
    </row>
    <row r="69" spans="1:6" ht="15" customHeight="1" x14ac:dyDescent="0.3">
      <c r="B69" s="94" t="s">
        <v>341</v>
      </c>
      <c r="D69" s="225">
        <f t="shared" si="0"/>
        <v>3</v>
      </c>
      <c r="E69" s="58" t="s">
        <v>299</v>
      </c>
      <c r="F69" s="7"/>
    </row>
    <row r="70" spans="1:6" ht="15" customHeight="1" x14ac:dyDescent="0.3">
      <c r="B70" s="94" t="s">
        <v>342</v>
      </c>
      <c r="D70" s="225">
        <f t="shared" si="0"/>
        <v>4</v>
      </c>
      <c r="E70" s="58" t="s">
        <v>297</v>
      </c>
      <c r="F70" s="7"/>
    </row>
    <row r="71" spans="1:6" ht="15" customHeight="1" x14ac:dyDescent="0.3">
      <c r="B71" s="94" t="s">
        <v>343</v>
      </c>
      <c r="D71" s="225">
        <f t="shared" si="0"/>
        <v>0</v>
      </c>
      <c r="E71" s="58" t="s">
        <v>340</v>
      </c>
      <c r="F71" s="7"/>
    </row>
    <row r="72" spans="1:6" ht="15" customHeight="1" x14ac:dyDescent="0.3">
      <c r="B72" s="94" t="s">
        <v>344</v>
      </c>
      <c r="D72" s="225">
        <f t="shared" si="0"/>
        <v>0</v>
      </c>
      <c r="E72" s="58" t="s">
        <v>340</v>
      </c>
      <c r="F72" s="7"/>
    </row>
    <row r="73" spans="1:6" ht="15" customHeight="1" x14ac:dyDescent="0.3">
      <c r="B73" s="94" t="s">
        <v>345</v>
      </c>
      <c r="D73" s="225">
        <f t="shared" si="0"/>
        <v>2</v>
      </c>
      <c r="E73" s="58" t="s">
        <v>307</v>
      </c>
      <c r="F73" s="7"/>
    </row>
    <row r="74" spans="1:6" ht="15" customHeight="1" x14ac:dyDescent="0.3">
      <c r="B74" s="94" t="s">
        <v>346</v>
      </c>
      <c r="D74" s="225">
        <f t="shared" si="0"/>
        <v>4</v>
      </c>
      <c r="E74" s="58" t="s">
        <v>297</v>
      </c>
      <c r="F74" s="7"/>
    </row>
    <row r="75" spans="1:6" ht="15" customHeight="1" x14ac:dyDescent="0.3">
      <c r="B75" s="94" t="s">
        <v>347</v>
      </c>
      <c r="D75" s="225">
        <f t="shared" si="0"/>
        <v>0</v>
      </c>
      <c r="E75" s="58" t="s">
        <v>340</v>
      </c>
      <c r="F75" s="7"/>
    </row>
    <row r="76" spans="1:6" ht="15" customHeight="1" x14ac:dyDescent="0.3">
      <c r="E76" s="7"/>
    </row>
    <row r="77" spans="1:6" ht="15" customHeight="1" x14ac:dyDescent="0.3">
      <c r="B77" s="94" t="s">
        <v>348</v>
      </c>
      <c r="D77" s="228">
        <f>SUM(D78:D83)/(6*4)</f>
        <v>0</v>
      </c>
      <c r="E77" s="89" t="str">
        <f>IF(D77&gt;80%,"Very High",IF(D77&lt;=20%,"Very Low",IF(D77&lt;=40%,"Low",IF(D77&lt;=60%,"Medium","High"))))</f>
        <v>Very Low</v>
      </c>
      <c r="F77" s="7"/>
    </row>
    <row r="78" spans="1:6" ht="15" customHeight="1" x14ac:dyDescent="0.3">
      <c r="B78" s="94" t="s">
        <v>349</v>
      </c>
      <c r="D78" s="225">
        <f t="shared" ref="D78:D83" si="1">IF(E78="Strongly disagree",0,IF(E78="disagree",1,IF(E78="unclear",2,IF(E78="agree",3,4))))</f>
        <v>0</v>
      </c>
      <c r="E78" s="58" t="s">
        <v>340</v>
      </c>
      <c r="F78" s="7"/>
    </row>
    <row r="79" spans="1:6" ht="15" customHeight="1" x14ac:dyDescent="0.3">
      <c r="B79" s="94" t="s">
        <v>350</v>
      </c>
      <c r="D79" s="225">
        <f t="shared" si="1"/>
        <v>0</v>
      </c>
      <c r="E79" s="58" t="s">
        <v>340</v>
      </c>
      <c r="F79" s="7"/>
    </row>
    <row r="80" spans="1:6" ht="15" customHeight="1" x14ac:dyDescent="0.3">
      <c r="B80" s="94" t="s">
        <v>351</v>
      </c>
      <c r="D80" s="225">
        <f t="shared" si="1"/>
        <v>0</v>
      </c>
      <c r="E80" s="58" t="s">
        <v>340</v>
      </c>
      <c r="F80" s="7"/>
    </row>
    <row r="81" spans="2:6" ht="15" customHeight="1" x14ac:dyDescent="0.3">
      <c r="B81" s="94" t="s">
        <v>352</v>
      </c>
      <c r="D81" s="225">
        <f t="shared" si="1"/>
        <v>0</v>
      </c>
      <c r="E81" s="58" t="s">
        <v>340</v>
      </c>
      <c r="F81" s="7"/>
    </row>
    <row r="82" spans="2:6" ht="15" customHeight="1" x14ac:dyDescent="0.3">
      <c r="B82" s="94" t="s">
        <v>353</v>
      </c>
      <c r="D82" s="225">
        <f t="shared" si="1"/>
        <v>0</v>
      </c>
      <c r="E82" s="58" t="s">
        <v>340</v>
      </c>
      <c r="F82" s="7"/>
    </row>
    <row r="83" spans="2:6" ht="15" customHeight="1" x14ac:dyDescent="0.3">
      <c r="B83" s="94" t="s">
        <v>354</v>
      </c>
      <c r="D83" s="225">
        <f t="shared" si="1"/>
        <v>0</v>
      </c>
      <c r="E83" s="58" t="s">
        <v>340</v>
      </c>
      <c r="F83" s="7"/>
    </row>
    <row r="84" spans="2:6" ht="15" customHeight="1" x14ac:dyDescent="0.3">
      <c r="E84" s="7"/>
    </row>
    <row r="85" spans="2:6" ht="15" customHeight="1" x14ac:dyDescent="0.3">
      <c r="B85" s="94" t="s">
        <v>355</v>
      </c>
      <c r="D85" s="228">
        <f>SUM(D86:D93)/(8*4)</f>
        <v>0.46875</v>
      </c>
      <c r="E85" s="89" t="str">
        <f>IF(D85&gt;80%,"Very High",IF(D85&lt;=20%,"Very Low",IF(D85&lt;=40%,"Low",IF(D85&lt;=60%,"Medium","High"))))</f>
        <v>Medium</v>
      </c>
      <c r="F85" s="7"/>
    </row>
    <row r="86" spans="2:6" ht="15" customHeight="1" x14ac:dyDescent="0.3">
      <c r="B86" s="94" t="s">
        <v>356</v>
      </c>
      <c r="D86" s="225">
        <f t="shared" ref="D86:D93" si="2">IF(E86="Strongly disagree",0,IF(E86="disagree",1,IF(E86="unclear",2,IF(E86="agree",3,4))))</f>
        <v>0</v>
      </c>
      <c r="E86" s="58" t="s">
        <v>340</v>
      </c>
      <c r="F86" s="7"/>
    </row>
    <row r="87" spans="2:6" ht="15" customHeight="1" x14ac:dyDescent="0.3">
      <c r="B87" s="94" t="s">
        <v>357</v>
      </c>
      <c r="D87" s="225">
        <f t="shared" si="2"/>
        <v>1</v>
      </c>
      <c r="E87" s="58" t="s">
        <v>309</v>
      </c>
      <c r="F87" s="7"/>
    </row>
    <row r="88" spans="2:6" ht="15" customHeight="1" x14ac:dyDescent="0.3">
      <c r="B88" s="94" t="s">
        <v>358</v>
      </c>
      <c r="D88" s="225">
        <f t="shared" si="2"/>
        <v>4</v>
      </c>
      <c r="E88" s="58" t="s">
        <v>297</v>
      </c>
      <c r="F88" s="7"/>
    </row>
    <row r="89" spans="2:6" ht="15" customHeight="1" x14ac:dyDescent="0.3">
      <c r="B89" s="94" t="s">
        <v>359</v>
      </c>
      <c r="D89" s="225">
        <f t="shared" si="2"/>
        <v>0</v>
      </c>
      <c r="E89" s="58" t="s">
        <v>340</v>
      </c>
      <c r="F89" s="7"/>
    </row>
    <row r="90" spans="2:6" ht="15" customHeight="1" x14ac:dyDescent="0.3">
      <c r="B90" s="94" t="s">
        <v>360</v>
      </c>
      <c r="D90" s="225">
        <f t="shared" si="2"/>
        <v>0</v>
      </c>
      <c r="E90" s="58" t="s">
        <v>340</v>
      </c>
      <c r="F90" s="7"/>
    </row>
    <row r="91" spans="2:6" ht="15" customHeight="1" x14ac:dyDescent="0.3">
      <c r="B91" s="94" t="s">
        <v>361</v>
      </c>
      <c r="D91" s="225">
        <f t="shared" si="2"/>
        <v>2</v>
      </c>
      <c r="E91" s="58" t="s">
        <v>307</v>
      </c>
      <c r="F91" s="7"/>
    </row>
    <row r="92" spans="2:6" ht="15" customHeight="1" x14ac:dyDescent="0.3">
      <c r="B92" s="94" t="s">
        <v>362</v>
      </c>
      <c r="D92" s="225">
        <f t="shared" si="2"/>
        <v>4</v>
      </c>
      <c r="E92" s="58" t="s">
        <v>297</v>
      </c>
      <c r="F92" s="7"/>
    </row>
    <row r="93" spans="2:6" ht="15" customHeight="1" x14ac:dyDescent="0.3">
      <c r="B93" s="94" t="s">
        <v>363</v>
      </c>
      <c r="D93" s="225">
        <f t="shared" si="2"/>
        <v>4</v>
      </c>
      <c r="E93" s="58" t="s">
        <v>297</v>
      </c>
      <c r="F93" s="7"/>
    </row>
    <row r="94" spans="2:6" ht="15" customHeight="1" x14ac:dyDescent="0.3">
      <c r="E94" s="7"/>
    </row>
    <row r="95" spans="2:6" ht="15" customHeight="1" x14ac:dyDescent="0.3">
      <c r="B95" s="94" t="s">
        <v>364</v>
      </c>
      <c r="D95" s="228">
        <f>SUM(D96:D100)/(3*4)</f>
        <v>0.82879818594104304</v>
      </c>
      <c r="E95" s="89" t="str">
        <f>IF(D95&gt;80%,"Very High",IF(D95&lt;=20%,"Very Low",IF(D95&lt;=40%,"Low",IF(D95&lt;=60%,"Medium","High"))))</f>
        <v>Very High</v>
      </c>
      <c r="F95" s="7"/>
    </row>
    <row r="96" spans="2:6" ht="15" customHeight="1" x14ac:dyDescent="0.3">
      <c r="B96" s="94" t="s">
        <v>365</v>
      </c>
      <c r="D96" s="225">
        <f>IF(E96="Strongly disagree",0,IF(E96="disagree",1,IF(E96="unclear",2,IF(E96="agree",3,4))))</f>
        <v>0</v>
      </c>
      <c r="E96" s="58" t="s">
        <v>340</v>
      </c>
      <c r="F96" s="7"/>
    </row>
    <row r="97" spans="2:6" ht="15" customHeight="1" x14ac:dyDescent="0.3">
      <c r="B97" s="94" t="s">
        <v>366</v>
      </c>
      <c r="D97" s="225">
        <f>IF(E97="Strongly disagree",0,IF(E97="disagree",1,IF(E97="unclear",2,IF(E97="agree",3,4))))</f>
        <v>4</v>
      </c>
      <c r="E97" s="58" t="s">
        <v>297</v>
      </c>
      <c r="F97" s="7"/>
    </row>
    <row r="98" spans="2:6" ht="15" customHeight="1" x14ac:dyDescent="0.3">
      <c r="B98" s="94" t="s">
        <v>367</v>
      </c>
      <c r="D98" s="225">
        <f>IF(E98="Strongly disagree",0,IF(E98="disagree",1,IF(E98="unclear",2,IF(E98="agree",3,4))))</f>
        <v>3</v>
      </c>
      <c r="E98" s="58" t="s">
        <v>299</v>
      </c>
      <c r="F98" s="7"/>
    </row>
    <row r="99" spans="2:6" ht="15" customHeight="1" x14ac:dyDescent="0.3">
      <c r="B99" s="94" t="s">
        <v>368</v>
      </c>
      <c r="D99" s="225">
        <f>IF(E99="Strongly disagree",0,IF(E99="disagree",1,IF(E99="unclear",2,IF(E99="agree",3,4))))</f>
        <v>1</v>
      </c>
      <c r="E99" s="58" t="s">
        <v>309</v>
      </c>
      <c r="F99" s="7"/>
    </row>
    <row r="100" spans="2:6" ht="15" customHeight="1" x14ac:dyDescent="0.3">
      <c r="B100" s="94" t="s">
        <v>369</v>
      </c>
      <c r="D100" s="229">
        <f t="array" ref="D100">(1-INDEX(B118:E127,MATCH(E100,B118:B127,0),4))*4</f>
        <v>1.9455782312925169</v>
      </c>
      <c r="E100" s="58" t="s">
        <v>370</v>
      </c>
      <c r="F100" s="7"/>
    </row>
    <row r="101" spans="2:6" ht="15" customHeight="1" x14ac:dyDescent="0.3">
      <c r="E101" s="7"/>
    </row>
    <row r="102" spans="2:6" ht="15" customHeight="1" x14ac:dyDescent="0.3">
      <c r="B102" s="94" t="s">
        <v>371</v>
      </c>
      <c r="D102" s="230">
        <f>SUM(D103:D111)/(9*4)</f>
        <v>0.94444444444444442</v>
      </c>
      <c r="E102" s="89" t="str">
        <f>IF(D102&gt;80%,"Very High",IF(D102&lt;=20%,"Very Low",IF(D102&lt;=40%,"Low",IF(D102&lt;=60%,"Medium","High"))))</f>
        <v>Very High</v>
      </c>
      <c r="F102" s="7"/>
    </row>
    <row r="103" spans="2:6" ht="15" customHeight="1" x14ac:dyDescent="0.3">
      <c r="B103" s="94" t="s">
        <v>372</v>
      </c>
      <c r="D103" s="225">
        <f t="shared" ref="D103:D110" si="3">IF(E103="Strongly disagree",0,IF(E103="disagree",1,IF(E103="unclear",2,IF(E103="agree",3,4))))</f>
        <v>4</v>
      </c>
      <c r="E103" s="58" t="s">
        <v>297</v>
      </c>
      <c r="F103" s="7"/>
    </row>
    <row r="104" spans="2:6" ht="15" customHeight="1" x14ac:dyDescent="0.3">
      <c r="B104" s="94" t="s">
        <v>373</v>
      </c>
      <c r="D104" s="225">
        <f t="shared" si="3"/>
        <v>4</v>
      </c>
      <c r="E104" s="58" t="s">
        <v>297</v>
      </c>
      <c r="F104" s="7"/>
    </row>
    <row r="105" spans="2:6" ht="15" customHeight="1" x14ac:dyDescent="0.3">
      <c r="B105" s="94" t="s">
        <v>374</v>
      </c>
      <c r="D105" s="225">
        <f t="shared" si="3"/>
        <v>4</v>
      </c>
      <c r="E105" s="58" t="s">
        <v>297</v>
      </c>
      <c r="F105" s="7"/>
    </row>
    <row r="106" spans="2:6" ht="15" customHeight="1" x14ac:dyDescent="0.3">
      <c r="B106" s="94" t="s">
        <v>375</v>
      </c>
      <c r="D106" s="225">
        <f t="shared" si="3"/>
        <v>4</v>
      </c>
      <c r="E106" s="58" t="s">
        <v>297</v>
      </c>
      <c r="F106" s="7"/>
    </row>
    <row r="107" spans="2:6" ht="15" customHeight="1" x14ac:dyDescent="0.3">
      <c r="B107" s="94" t="s">
        <v>376</v>
      </c>
      <c r="D107" s="225">
        <f t="shared" si="3"/>
        <v>4</v>
      </c>
      <c r="E107" s="58" t="s">
        <v>297</v>
      </c>
      <c r="F107" s="7"/>
    </row>
    <row r="108" spans="2:6" ht="15" customHeight="1" x14ac:dyDescent="0.3">
      <c r="B108" s="94" t="s">
        <v>377</v>
      </c>
      <c r="D108" s="225">
        <f t="shared" si="3"/>
        <v>3</v>
      </c>
      <c r="E108" s="58" t="s">
        <v>299</v>
      </c>
      <c r="F108" s="7"/>
    </row>
    <row r="109" spans="2:6" ht="15" customHeight="1" x14ac:dyDescent="0.3">
      <c r="B109" s="94" t="s">
        <v>378</v>
      </c>
      <c r="D109" s="225">
        <f t="shared" si="3"/>
        <v>4</v>
      </c>
      <c r="E109" s="58" t="s">
        <v>297</v>
      </c>
      <c r="F109" s="7"/>
    </row>
    <row r="110" spans="2:6" ht="15" customHeight="1" x14ac:dyDescent="0.3">
      <c r="B110" s="94" t="s">
        <v>379</v>
      </c>
      <c r="D110" s="225">
        <f t="shared" si="3"/>
        <v>4</v>
      </c>
      <c r="E110" s="58" t="s">
        <v>297</v>
      </c>
      <c r="F110" s="7"/>
    </row>
    <row r="111" spans="2:6" ht="15" customHeight="1" x14ac:dyDescent="0.3">
      <c r="B111" s="94" t="s">
        <v>380</v>
      </c>
      <c r="D111" s="225">
        <f>IF(E111="Strongly disagree",0,IF(E111="disagree",1,IF(E111="non-perishable",2,IF(E111="agree",3,4))))</f>
        <v>3</v>
      </c>
      <c r="E111" s="58" t="s">
        <v>299</v>
      </c>
      <c r="F111" s="7"/>
    </row>
    <row r="112" spans="2:6" ht="15" customHeight="1" x14ac:dyDescent="0.3">
      <c r="E112" s="7"/>
    </row>
    <row r="113" spans="2:8" ht="15" customHeight="1" x14ac:dyDescent="0.3">
      <c r="B113" s="94" t="s">
        <v>381</v>
      </c>
      <c r="D113" s="7"/>
      <c r="E113" s="231" t="str">
        <f>IF(E114&gt;80%,"Very Low",IF(E114&lt;=20%,"Very High",IF(E114&lt;=40%,"High",IF(E114&lt;=60%,"Medium","Low"))))</f>
        <v>Medium</v>
      </c>
      <c r="F113" s="7"/>
    </row>
    <row r="114" spans="2:8" ht="15" customHeight="1" x14ac:dyDescent="0.3">
      <c r="B114" s="94" t="s">
        <v>382</v>
      </c>
      <c r="D114" s="7"/>
      <c r="E114" s="44">
        <f>1-AVERAGE(D67,D77,D85,D95,D102)</f>
        <v>0.47035147392290244</v>
      </c>
      <c r="F114" s="6"/>
    </row>
    <row r="115" spans="2:8" ht="15" customHeight="1" x14ac:dyDescent="0.3">
      <c r="E115" s="7"/>
    </row>
    <row r="116" spans="2:8" ht="15" customHeight="1" x14ac:dyDescent="0.3">
      <c r="B116" s="95" t="s">
        <v>383</v>
      </c>
      <c r="C116" s="9"/>
      <c r="D116" s="9"/>
      <c r="E116" s="97"/>
      <c r="F116" s="94"/>
      <c r="G116" s="94"/>
      <c r="H116" s="94"/>
    </row>
    <row r="117" spans="2:8" ht="15" customHeight="1" x14ac:dyDescent="0.3">
      <c r="B117" s="232" t="s">
        <v>384</v>
      </c>
      <c r="C117" s="233"/>
      <c r="D117" s="233"/>
      <c r="E117" s="234"/>
      <c r="F117" s="94"/>
      <c r="G117" s="94"/>
      <c r="H117" s="94"/>
    </row>
    <row r="118" spans="2:8" ht="15" customHeight="1" x14ac:dyDescent="0.3">
      <c r="B118" s="235" t="s">
        <v>385</v>
      </c>
      <c r="C118" s="233"/>
      <c r="D118" s="233">
        <v>1</v>
      </c>
      <c r="E118" s="236">
        <f t="shared" ref="E118:E126" si="4">D118/MAX($D$118:$D$127)</f>
        <v>3.4013605442176874E-2</v>
      </c>
      <c r="F118" s="94"/>
      <c r="G118" s="94"/>
      <c r="H118" s="94"/>
    </row>
    <row r="119" spans="2:8" ht="15" customHeight="1" x14ac:dyDescent="0.3">
      <c r="B119" s="235" t="str">
        <f t="shared" ref="B119:B127" si="5">C119&amp;", "&amp;D119&amp;"y"</f>
        <v>Information Technology Like, 6.6y</v>
      </c>
      <c r="C119" s="233" t="s">
        <v>386</v>
      </c>
      <c r="D119" s="233">
        <v>6.6</v>
      </c>
      <c r="E119" s="236">
        <f t="shared" si="4"/>
        <v>0.22448979591836735</v>
      </c>
      <c r="F119" s="94"/>
      <c r="G119" s="94"/>
      <c r="H119" s="94"/>
    </row>
    <row r="120" spans="2:8" ht="15" customHeight="1" x14ac:dyDescent="0.3">
      <c r="B120" s="235" t="str">
        <f t="shared" si="5"/>
        <v>Healthcare, 11.4y</v>
      </c>
      <c r="C120" s="233" t="s">
        <v>387</v>
      </c>
      <c r="D120" s="233">
        <v>11.4</v>
      </c>
      <c r="E120" s="236">
        <f t="shared" si="4"/>
        <v>0.38775510204081637</v>
      </c>
      <c r="F120" s="94"/>
      <c r="G120" s="94"/>
      <c r="H120" s="94"/>
    </row>
    <row r="121" spans="2:8" ht="15" customHeight="1" x14ac:dyDescent="0.3">
      <c r="B121" s="235" t="str">
        <f t="shared" si="5"/>
        <v>Consumer Discretionary, 12.4y</v>
      </c>
      <c r="C121" s="233" t="s">
        <v>388</v>
      </c>
      <c r="D121" s="233">
        <v>12.4</v>
      </c>
      <c r="E121" s="236">
        <f t="shared" si="4"/>
        <v>0.42176870748299322</v>
      </c>
      <c r="F121" s="94"/>
      <c r="G121" s="94"/>
      <c r="H121" s="94"/>
    </row>
    <row r="122" spans="2:8" ht="15" customHeight="1" x14ac:dyDescent="0.3">
      <c r="B122" s="235" t="str">
        <f t="shared" si="5"/>
        <v>Consumer Staples, 15.1y</v>
      </c>
      <c r="C122" s="233" t="s">
        <v>389</v>
      </c>
      <c r="D122" s="233">
        <v>15.1</v>
      </c>
      <c r="E122" s="236">
        <f t="shared" si="4"/>
        <v>0.51360544217687076</v>
      </c>
      <c r="F122" s="94"/>
      <c r="G122" s="94"/>
      <c r="H122" s="94"/>
    </row>
    <row r="123" spans="2:8" ht="15" customHeight="1" x14ac:dyDescent="0.3">
      <c r="B123" s="235" t="str">
        <f t="shared" si="5"/>
        <v>Industrials, 15.4y</v>
      </c>
      <c r="C123" s="233" t="s">
        <v>390</v>
      </c>
      <c r="D123" s="233">
        <v>15.4</v>
      </c>
      <c r="E123" s="236">
        <f t="shared" si="4"/>
        <v>0.52380952380952384</v>
      </c>
      <c r="F123" s="94"/>
      <c r="G123" s="94"/>
      <c r="H123" s="94"/>
    </row>
    <row r="124" spans="2:8" ht="15" customHeight="1" x14ac:dyDescent="0.3">
      <c r="B124" s="235" t="str">
        <f t="shared" si="5"/>
        <v>Telecommunication Services, 16.1y</v>
      </c>
      <c r="C124" s="233" t="s">
        <v>391</v>
      </c>
      <c r="D124" s="233">
        <v>16.100000000000001</v>
      </c>
      <c r="E124" s="236">
        <f t="shared" si="4"/>
        <v>0.54761904761904767</v>
      </c>
      <c r="F124" s="94"/>
      <c r="G124" s="94"/>
      <c r="H124" s="94"/>
    </row>
    <row r="125" spans="2:8" ht="15" customHeight="1" x14ac:dyDescent="0.3">
      <c r="B125" s="235" t="str">
        <f t="shared" si="5"/>
        <v>Energy, 17.6y</v>
      </c>
      <c r="C125" s="233" t="s">
        <v>392</v>
      </c>
      <c r="D125" s="233">
        <v>17.600000000000001</v>
      </c>
      <c r="E125" s="236">
        <f t="shared" si="4"/>
        <v>0.59863945578231303</v>
      </c>
      <c r="F125" s="94"/>
      <c r="G125" s="94"/>
      <c r="H125" s="94"/>
    </row>
    <row r="126" spans="2:8" ht="15" customHeight="1" x14ac:dyDescent="0.3">
      <c r="B126" s="235" t="str">
        <f t="shared" si="5"/>
        <v>Materials, 18.6y</v>
      </c>
      <c r="C126" s="233" t="s">
        <v>393</v>
      </c>
      <c r="D126" s="233">
        <v>18.600000000000001</v>
      </c>
      <c r="E126" s="236">
        <f t="shared" si="4"/>
        <v>0.63265306122448983</v>
      </c>
      <c r="F126" s="94"/>
      <c r="G126" s="94"/>
      <c r="H126" s="94"/>
    </row>
    <row r="127" spans="2:8" ht="15" customHeight="1" x14ac:dyDescent="0.3">
      <c r="B127" s="237" t="str">
        <f t="shared" si="5"/>
        <v>Utilities, 29.4y</v>
      </c>
      <c r="C127" s="238" t="s">
        <v>394</v>
      </c>
      <c r="D127" s="238">
        <v>29.4</v>
      </c>
      <c r="E127" s="239">
        <f>D127/MAX($D$119:$D$127)</f>
        <v>1</v>
      </c>
      <c r="F127" s="94"/>
      <c r="G127" s="94"/>
      <c r="H127" s="94"/>
    </row>
  </sheetData>
  <dataValidations count="21">
    <dataValidation type="list" allowBlank="1" showInputMessage="1" showErrorMessage="1" sqref="E6" xr:uid="{00000000-0002-0000-0400-000000000000}">
      <formula1>"Hot - Loose,Cold - Tight,Mixed"</formula1>
    </dataValidation>
    <dataValidation type="list" allowBlank="1" showInputMessage="1" showErrorMessage="1" sqref="E10" xr:uid="{00000000-0002-0000-0400-000001000000}">
      <formula1>"Hot - Low,Cold - High,Mixed"</formula1>
    </dataValidation>
    <dataValidation type="list" allowBlank="1" showInputMessage="1" showErrorMessage="1" sqref="E9" xr:uid="{00000000-0002-0000-0400-000002000000}">
      <formula1>"Hot - Easy,Cold - Restrictive,Mixed"</formula1>
    </dataValidation>
    <dataValidation type="list" allowBlank="1" showInputMessage="1" showErrorMessage="1" sqref="E67 E77 E85 E95 E102" xr:uid="{00000000-0002-0000-0400-000003000000}">
      <formula1>"Very High,High,Medium,Low,Very Low"</formula1>
    </dataValidation>
    <dataValidation type="list" allowBlank="1" showInputMessage="1" showErrorMessage="1" sqref="E4" xr:uid="{00000000-0002-0000-0400-000004000000}">
      <formula1>"Hot - Positive,Cold - Negative,Mixed"</formula1>
    </dataValidation>
    <dataValidation type="list" allowBlank="1" showInputMessage="1" showErrorMessage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howInputMessage="1" showErrorMessage="1" sqref="E20" xr:uid="{00000000-0002-0000-0400-000006000000}">
      <formula1>"Hot - Strong,Cold - Weak,Mixed"</formula1>
    </dataValidation>
    <dataValidation type="list" allowBlank="1" showInputMessage="1" showErrorMessage="1" sqref="E18" xr:uid="{00000000-0002-0000-0400-000007000000}">
      <formula1>"Hot - Average person joins the market,Cold - ""Worse is yet to come"",Mixed - ""Market has bottomed"""</formula1>
    </dataValidation>
    <dataValidation type="list" allowBlank="1" showInputMessage="1" showErrorMessage="1" sqref="E13" xr:uid="{00000000-0002-0000-0400-000008000000}">
      <formula1>"Hot - Happy to hold,Cold - Rushing for the exits,Mixed"</formula1>
    </dataValidation>
    <dataValidation type="list" allowBlank="1" showInputMessage="1" showErrorMessage="1" sqref="E111" xr:uid="{00000000-0002-0000-0400-000009000000}">
      <formula1>"Strongly agree,agree,non-perishable,disagree,Strongly disagree"</formula1>
    </dataValidation>
    <dataValidation type="list" allowBlank="1" showInputMessage="1" showErrorMessage="1" sqref="E21" xr:uid="{00000000-0002-0000-0400-00000A000000}">
      <formula1>"Hot - Aggressiveness,Cold - Caution and discipline,Hot - Broad reach,Cold - ""It's uninvestable"",Mixed"</formula1>
    </dataValidation>
    <dataValidation type="list" allowBlank="1" showInputMessage="1" showErrorMessage="1" sqref="E16" xr:uid="{00000000-0002-0000-0400-00000B000000}">
      <formula1>"Hot - Few,Cold - Many,Mixed"</formula1>
    </dataValidation>
    <dataValidation type="list" allowBlank="1" showInputMessage="1" showErrorMessage="1" sqref="E14" xr:uid="{00000000-0002-0000-0400-00000C000000}">
      <formula1>"Hot - High,Cold - Low,Mixed"</formula1>
    </dataValidation>
    <dataValidation type="list" allowBlank="1" showInputMessage="1" showErrorMessage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howInputMessage="1" showErrorMessage="1" sqref="E5" xr:uid="{00000000-0002-0000-0400-00000E000000}">
      <formula1>"Hot - Eager,Cold - Reticent,Mixed"</formula1>
    </dataValidation>
    <dataValidation type="list" allowBlank="1" showInputMessage="1" showErrorMessage="1" sqref="E3" xr:uid="{00000000-0002-0000-0400-00000F000000}">
      <formula1>"Hot - Vibrant,Cold - Sluggish,Mixed"</formula1>
    </dataValidation>
    <dataValidation type="list" allowBlank="1" showInputMessage="1" showErrorMessage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howInputMessage="1" showErrorMessage="1" sqref="E8" xr:uid="{00000000-0002-0000-0400-000011000000}">
      <formula1>"Hot - Plentiful,Cold - Scarce,Mixed"</formula1>
    </dataValidation>
    <dataValidation type="list" allowBlank="1" showInputMessage="1" showErrorMessage="1" sqref="E11" xr:uid="{00000000-0002-0000-0400-000012000000}">
      <formula1>"Hot - Narrow,Cold - Wide,Mixed"</formula1>
    </dataValidation>
    <dataValidation allowBlank="1" showInputMessage="1" showErrorMessage="1" sqref="E33 E60:E62" xr:uid="{00000000-0002-0000-0400-000013000000}"/>
    <dataValidation type="list" allowBlank="1" showInputMessage="1" showErrorMessage="1" sqref="E100" xr:uid="{00000000-0002-0000-0400-000014000000}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2022-08-10T03:52:42Z</dcterms:created>
  <dcterms:modified xsi:type="dcterms:W3CDTF">2022-12-02T11:21:05Z</dcterms:modified>
</cp:coreProperties>
</file>