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"/>
    </mc:Choice>
  </mc:AlternateContent>
  <xr:revisionPtr revIDLastSave="0" documentId="8_{28AC6E98-10CC-47DF-B8C3-A9296B0AD91C}" xr6:coauthVersionLast="47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<sst xmlns="http://schemas.openxmlformats.org/spreadsheetml/2006/main" count="471" uniqueCount="399">
  <si>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</si>
  <si>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</si>
  <si>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</si>
  <si>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</si>
  <si>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</si>
  <si>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</si>
  <si>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</si>
  <si>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</si>
  <si>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</si>
  <si>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</si>
  <si>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</si>
  <si>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</si>
  <si>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</si>
  <si>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</si>
  <si>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</si>
  <si>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</si>
  <si>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</si>
  <si>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</si>
  <si>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</si>
  <si>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</si>
  <si>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</si>
  <si>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</si>
  <si>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</si>
  <si>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</si>
  <si>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</si>
  <si>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</si>
  <si>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</si>
  <si>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</si>
  <si>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</si>
  <si>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</si>
  <si>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</si>
  <si>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</si>
  <si>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</si>
  <si>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</si>
  <si>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</si>
  <si>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</si>
  <si>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</si>
  <si>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</si>
  <si>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</si>
  <si>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</si>
  <si>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</si>
  <si>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</si>
  <si>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</si>
  <si>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</si>
  <si>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</si>
  <si>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</si>
  <si>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</si>
  <si>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</si>
  <si>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</si>
  <si>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</si>
  <si>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</si>
  <si>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</si>
  <si>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</si>
  <si>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</si>
  <si>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</si>
  <si>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</si>
  <si>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</si>
  <si>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</si>
  <si>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</si>
  <si>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</si>
  <si>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</si>
  <si>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</si>
  <si>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</si>
  <si>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</si>
  <si>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</si>
  <si>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</si>
  <si>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</si>
  <si>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</si>
  <si>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</si>
  <si>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</si>
  <si>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</si>
  <si>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</si>
  <si>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</si>
  <si>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</si>
  <si>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</si>
  <si>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</si>
  <si>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</si>
  <si>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</si>
  <si>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</si>
  <si>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</si>
  <si>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</si>
  <si>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</si>
  <si>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</si>
  <si>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</si>
  <si>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</si>
  <si>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</si>
  <si>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</si>
  <si>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</si>
  <si>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</si>
  <si>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</si>
  <si>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</si>
  <si>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</si>
  <si>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</si>
  <si>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</si>
  <si>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</si>
  <si>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</si>
  <si>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</si>
  <si>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</si>
  <si>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</si>
  <si>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</si>
  <si>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</si>
  <si>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</si>
  <si>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</si>
  <si>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</si>
  <si>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</si>
  <si>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</si>
  <si>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</si>
  <si>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</si>
  <si>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</si>
  <si>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</si>
  <si>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</si>
  <si>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</si>
  <si>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</si>
  <si>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</si>
  <si>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</si>
  <si>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</si>
  <si>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</si>
  <si>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</si>
  <si>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</si>
  <si>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</si>
  <si>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</si>
  <si>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</si>
  <si>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</si>
  <si>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</si>
  <si>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</si>
  <si>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</si>
  <si>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</si>
  <si>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</si>
  <si>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</si>
  <si>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</si>
  <si>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</si>
  <si>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</si>
  <si>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</si>
  <si>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</si>
  <si>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</si>
  <si>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</si>
  <si>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</si>
  <si>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</si>
  <si>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</si>
  <si>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</si>
  <si>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</si>
  <si>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</si>
  <si>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</si>
  <si>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</si>
  <si>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</si>
  <si>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</si>
  <si>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</si>
  <si>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</si>
  <si>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</si>
  <si>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</si>
  <si>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</si>
  <si>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</si>
  <si>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</si>
  <si>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</si>
  <si>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</si>
  <si>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</si>
  <si>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</si>
  <si>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</si>
  <si>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</si>
  <si>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</si>
  <si>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</si>
  <si>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</si>
  <si>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</si>
  <si>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</si>
  <si>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</si>
  <si>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</si>
  <si>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</si>
  <si>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</si>
  <si>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</si>
  <si>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</si>
  <si>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</si>
  <si>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</si>
  <si>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</si>
  <si>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</si>
  <si>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</si>
  <si>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</si>
  <si>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</si>
  <si>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</si>
  <si>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</si>
  <si>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</si>
  <si>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</si>
  <si>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</si>
  <si>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</si>
  <si>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</si>
  <si>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</si>
  <si>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</si>
  <si>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</si>
  <si>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</si>
  <si>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</si>
  <si>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</si>
  <si>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</si>
  <si>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</si>
  <si>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</si>
  <si>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</si>
  <si>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</si>
  <si>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</si>
  <si>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</si>
  <si>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</si>
  <si>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</si>
  <si>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</si>
  <si>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</si>
  <si>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</si>
  <si>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</si>
  <si>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</si>
  <si>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</si>
  <si>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</si>
  <si>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</si>
  <si>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</si>
  <si>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</si>
  <si>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</si>
  <si>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</si>
  <si>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</si>
  <si>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</si>
  <si>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</si>
  <si>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</si>
  <si>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</si>
  <si>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</si>
  <si>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</si>
  <si>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</si>
  <si>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</si>
  <si>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</si>
  <si>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</si>
  <si>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</si>
  <si>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</si>
  <si>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</si>
  <si>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</si>
  <si>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</si>
  <si>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</si>
  <si>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</si>
  <si>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</si>
  <si>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</si>
  <si>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</si>
  <si>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</si>
  <si>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</si>
  <si>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</si>
  <si>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</si>
  <si>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</si>
  <si>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</si>
  <si>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</si>
  <si>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</si>
  <si>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</si>
  <si>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</si>
  <si>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</si>
  <si>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</si>
  <si>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</si>
  <si>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</si>
  <si>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</si>
  <si>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</si>
  <si>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</si>
  <si>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</si>
  <si>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</si>
  <si>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</si>
  <si>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</si>
  <si>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</si>
  <si>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</si>
  <si>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</si>
  <si>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</si>
  <si>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</si>
  <si>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</si>
  <si>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</si>
  <si>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</si>
  <si>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</si>
  <si>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</si>
  <si>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</si>
  <si>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</si>
  <si>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</si>
  <si>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</si>
  <si>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</si>
  <si>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</si>
  <si>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</si>
  <si>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</si>
  <si>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</si>
  <si>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</si>
  <si>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</si>
  <si>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</si>
  <si>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</si>
  <si>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</si>
  <si>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</si>
  <si>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</si>
  <si>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</si>
  <si>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</si>
  <si>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</si>
  <si>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</si>
  <si>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</si>
  <si>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</si>
  <si>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</si>
  <si>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</si>
  <si>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</si>
  <si>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</si>
  <si>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</si>
  <si>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</si>
  <si>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</si>
  <si>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</si>
  <si>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</si>
  <si>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</si>
  <si>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</si>
  <si>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</si>
  <si>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</si>
  <si>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</si>
  <si>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</si>
  <si>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</si>
  <si>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</si>
  <si>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</si>
  <si>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</si>
  <si>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</si>
  <si>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</si>
  <si>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</si>
  <si>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</si>
  <si>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</si>
  <si>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</si>
  <si>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</si>
  <si>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</si>
  <si>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</si>
  <si>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</si>
  <si>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</si>
  <si>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</si>
  <si>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</si>
  <si>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</si>
  <si>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</si>
  <si>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</si>
  <si>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</si>
  <si>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</si>
  <si>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</si>
  <si>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</si>
  <si>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</si>
  <si>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</si>
  <si>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</si>
  <si>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</si>
  <si>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</si>
  <si>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</si>
  <si>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</si>
  <si>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</si>
  <si>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</si>
  <si>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</si>
  <si>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</si>
  <si>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</si>
  <si>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</si>
  <si>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</si>
  <si>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</si>
  <si>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</si>
  <si>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</si>
  <si>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</si>
  <si>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</si>
  <si>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</si>
  <si>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</si>
  <si>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</si>
  <si>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</si>
  <si>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</si>
  <si>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</si>
  <si>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</si>
  <si>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</si>
  <si>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</si>
  <si>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</si>
  <si>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</si>
  <si>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</si>
  <si>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</si>
  <si>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</si>
  <si>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</si>
  <si>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</si>
  <si>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</si>
  <si>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</si>
  <si>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</si>
  <si>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</si>
  <si>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</si>
  <si>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</si>
  <si>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</si>
  <si>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</si>
  <si>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</si>
  <si>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</si>
  <si>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</si>
  <si>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</si>
  <si>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</si>
  <si>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</si>
  <si>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</si>
  <si>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</si>
  <si>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</si>
  <si>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</si>
  <si>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</si>
  <si>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</si>
  <si>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</si>
  <si>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</si>
  <si>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</si>
  <si>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</si>
  <si>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</si>
  <si>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</si>
  <si>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</si>
  <si>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</si>
  <si>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</si>
  <si>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</si>
  <si>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</si>
  <si>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</si>
  <si>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</si>
  <si>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</si>
  <si>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</si>
  <si>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</si>
  <si>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</si>
  <si>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VALUE PARTNERS</t>
  </si>
  <si>
    <t>0806.HK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</si>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</sst>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0806.HK : VALUE PARTNERS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397</v>
      </c>
      <c r="D3" s="287"/>
      <c r="E3" s="16"/>
      <c r="G3" s="7" t="s">
        <v>2</v>
      </c>
      <c r="H3" s="291" t="s">
        <v>398</v>
      </c>
      <c r="I3" s="292"/>
    </row>
    <row r="4" spans="1:11" ht="15.75" customHeight="1" x14ac:dyDescent="0.3">
      <c r="B4" s="5" t="s">
        <v>3</v>
      </c>
      <c r="C4" s="288" t="s">
        <v>396</v>
      </c>
      <c r="D4" s="289"/>
      <c r="E4" s="6"/>
      <c r="G4" s="5" t="s">
        <v>4</v>
      </c>
      <c r="H4" s="47">
        <v>2.6</v>
      </c>
      <c r="I4" s="48" t="s">
        <v>5</v>
      </c>
    </row>
    <row r="5" spans="1:11" ht="15.75" customHeight="1" x14ac:dyDescent="0.3">
      <c r="B5" s="5" t="s">
        <v>6</v>
      </c>
      <c r="C5" s="290">
        <v>44902</v>
      </c>
      <c r="D5" s="289"/>
      <c r="E5" s="268" t="str">
        <f ca="1">IF(C5+30&gt;=TODAY(),"Patience Premium","")</f>
        <v>Patience Premium</v>
      </c>
      <c r="G5" s="5" t="s">
        <v>7</v>
      </c>
      <c r="H5" s="293">
        <v>1826710016</v>
      </c>
      <c r="I5" s="294"/>
    </row>
    <row r="6" spans="1:11" ht="15.75" customHeight="1" x14ac:dyDescent="0.3">
      <c r="B6" s="13" t="s">
        <v>8</v>
      </c>
      <c r="C6" s="299">
        <v>44925</v>
      </c>
      <c r="D6" s="300"/>
      <c r="E6" s="268"/>
      <c r="G6" s="8" t="s">
        <v>9</v>
      </c>
      <c r="H6" s="304">
        <f>H4*H5/1000000</f>
        <v>4749.4460416000002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10.374205279448159</v>
      </c>
      <c r="I9" s="72">
        <f>IF(H9="NNI","NNI",1/H9)</f>
        <v>9.6392925825465603E-2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 t="str">
        <f>IF('FCF Model'!C4&lt;=0,"Negative PEG",IFERROR(H9/('FCF Model'!C4*100),"NNI"))</f>
        <v>Negative PEG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1.2033235979264951</v>
      </c>
      <c r="I11" s="43">
        <f>IF('Asset Model'!D53/'FCF Model'!C16&lt;0,"Negative EV",'Asset Model'!D53/'FCF Model'!C16)</f>
        <v>16.635279685297586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5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3.6364808214634374</v>
      </c>
      <c r="D16" s="303"/>
      <c r="E16" s="302">
        <f>'Asset Model'!D6</f>
        <v>1.2539650627254719</v>
      </c>
      <c r="F16" s="303"/>
      <c r="G16" s="36" t="s">
        <v>25</v>
      </c>
      <c r="H16" s="295">
        <f>C22/E16-1</f>
        <v>3.2265930348015752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14.509845591014603</v>
      </c>
      <c r="D17" s="33">
        <f>'FCF Model'!F63</f>
        <v>1.6830243022592615</v>
      </c>
      <c r="E17" s="33">
        <f>'Asset Model'!H5</f>
        <v>5.0034196053731277</v>
      </c>
      <c r="F17" s="33">
        <f>'Asset Model'!H6</f>
        <v>0.58035605805882229</v>
      </c>
      <c r="G17" s="10" t="s">
        <v>27</v>
      </c>
      <c r="H17" s="297">
        <f ca="1">AVERAGE((1-'Qualitative Analysis'!E29),(1-'Qualitative Analysis'!E63),H16)+IF(C5+30&gt;=TODAY(),20%,0)</f>
        <v>1.3310865671560808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v>0.14560000000000001</v>
      </c>
      <c r="D19" s="332"/>
      <c r="E19" s="6"/>
      <c r="F19" s="6"/>
      <c r="G19" s="24" t="s">
        <v>28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5.3</v>
      </c>
      <c r="D22" s="314"/>
      <c r="E22" s="278" t="s">
        <v>32</v>
      </c>
      <c r="F22" s="270">
        <f>IF(Data!F3&lt;=0,"NNI",C22/((Data!F3*H13)/(H5/Data!C4)))</f>
        <v>21.147418454259707</v>
      </c>
      <c r="G22" s="44" t="s">
        <v>33</v>
      </c>
      <c r="H22" s="348">
        <f>'FCF Model'!G63</f>
        <v>0.3072047302954104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-0.13147439990650289</v>
      </c>
      <c r="D23" s="346"/>
      <c r="E23" s="279" t="s">
        <v>35</v>
      </c>
      <c r="F23" s="33">
        <f>C22/(Data!C25*H13*Data!C4/Common_Shares)</f>
        <v>2.4529288726963165</v>
      </c>
      <c r="G23" s="44" t="s">
        <v>36</v>
      </c>
      <c r="H23" s="349">
        <f ca="1">D10+D12*(1+H17)</f>
        <v>0.13489889552202361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-0.2663732954285265</v>
      </c>
      <c r="D24" s="344"/>
      <c r="E24" s="6"/>
      <c r="F24" s="6"/>
      <c r="G24" s="269" t="s">
        <v>38</v>
      </c>
      <c r="H24" s="337">
        <f ca="1">H22-H23</f>
        <v>0.17230583477338679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2.747169811320755E-2</v>
      </c>
      <c r="D25" s="334"/>
      <c r="E25" s="6"/>
      <c r="F25" s="6"/>
      <c r="G25" s="269" t="s">
        <v>40</v>
      </c>
      <c r="H25" s="335">
        <f>C19/H4</f>
        <v>5.6000000000000001E-2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/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50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51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-0.16907169335969918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176439.75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-7.3199641347883149E-2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1281649</v>
      </c>
      <c r="D7" s="51">
        <v>2561449</v>
      </c>
      <c r="E7" s="51">
        <v>1603918</v>
      </c>
      <c r="F7" s="51">
        <v>1641365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-0.49963907147868258</v>
      </c>
      <c r="D8" s="15">
        <f t="shared" si="0"/>
        <v>0.59699498353407088</v>
      </c>
      <c r="E8" s="15">
        <f t="shared" si="0"/>
        <v>-2.2814547647841854E-2</v>
      </c>
      <c r="F8" s="15">
        <f t="shared" si="0"/>
        <v>-0.3894935150435368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915778</v>
      </c>
      <c r="D9" s="51">
        <v>1183731</v>
      </c>
      <c r="E9" s="51">
        <v>1208113</v>
      </c>
      <c r="F9" s="51">
        <v>1190164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0.28546895444852688</v>
      </c>
      <c r="D10" s="15">
        <f t="shared" si="1"/>
        <v>0.53786665282033719</v>
      </c>
      <c r="E10" s="15">
        <f t="shared" si="1"/>
        <v>0.24677383756526206</v>
      </c>
      <c r="F10" s="15">
        <f t="shared" si="1"/>
        <v>0.27489376220401923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130618</v>
      </c>
      <c r="D11" s="51">
        <v>151504</v>
      </c>
      <c r="E11" s="51">
        <v>152501</v>
      </c>
      <c r="F11" s="51">
        <v>155688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0.10191401858075028</v>
      </c>
      <c r="D12" s="15">
        <f t="shared" si="2"/>
        <v>5.9147771437182584E-2</v>
      </c>
      <c r="E12" s="15">
        <f t="shared" si="2"/>
        <v>9.508029712242147E-2</v>
      </c>
      <c r="F12" s="15">
        <f t="shared" si="2"/>
        <v>9.4852759745699483E-2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0.1835549358677766</v>
      </c>
      <c r="D13" s="15">
        <f t="shared" si="3"/>
        <v>0.4787188813831546</v>
      </c>
      <c r="E13" s="15">
        <f t="shared" si="3"/>
        <v>0.15169354044284059</v>
      </c>
      <c r="F13" s="15">
        <f t="shared" si="3"/>
        <v>0.18004100245831975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235253</v>
      </c>
      <c r="D14" s="34">
        <f t="shared" si="4"/>
        <v>1226214</v>
      </c>
      <c r="E14" s="34">
        <f t="shared" si="4"/>
        <v>243304</v>
      </c>
      <c r="F14" s="34">
        <f t="shared" si="4"/>
        <v>295513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-0.80814686506596722</v>
      </c>
      <c r="D15" s="15">
        <f t="shared" ref="D15:M15" si="5">IF(E14="","",IF(ABS(D14+E14)=ABS(D14)+ABS(E14),IF(D14&lt;0,-1,1)*(D14-E14)/E14,"Turn"))</f>
        <v>4.0398431591753523</v>
      </c>
      <c r="E15" s="15">
        <f t="shared" si="5"/>
        <v>-0.17667243065448898</v>
      </c>
      <c r="F15" s="15">
        <f t="shared" si="5"/>
        <v>0.29805103246522213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176439.75</v>
      </c>
      <c r="D16" s="34">
        <f>IF(D14="","",D14*(1-'FCF Model'!$D$17))</f>
        <v>919660.5</v>
      </c>
      <c r="E16" s="34">
        <f>IF(E14="","",E14*(1-'FCF Model'!$D$17))</f>
        <v>182478</v>
      </c>
      <c r="F16" s="34">
        <f>IF(F14="","",F14*(1-'FCF Model'!$D$17))</f>
        <v>221634.75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3968</v>
      </c>
      <c r="D17" s="51">
        <v>3450</v>
      </c>
      <c r="E17" s="51">
        <v>5627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457813</v>
      </c>
      <c r="D18" s="51">
        <v>1379475</v>
      </c>
      <c r="E18" s="51">
        <v>513409</v>
      </c>
      <c r="F18" s="51">
        <v>229453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0.35720622416901976</v>
      </c>
      <c r="D19" s="15">
        <f t="shared" si="6"/>
        <v>0.53855259269265165</v>
      </c>
      <c r="E19" s="15">
        <f t="shared" si="6"/>
        <v>0.32009678799040847</v>
      </c>
      <c r="F19" s="15">
        <f t="shared" si="6"/>
        <v>0.1397940129099865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2925507</v>
      </c>
      <c r="D20" s="51">
        <v>3670507</v>
      </c>
      <c r="E20" s="51">
        <v>2865345</v>
      </c>
      <c r="F20" s="51">
        <v>2527686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972761</v>
      </c>
      <c r="D21" s="51">
        <v>828810</v>
      </c>
      <c r="E21" s="51">
        <v>420078</v>
      </c>
      <c r="F21" s="51">
        <v>315633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890177</v>
      </c>
      <c r="D22" s="51">
        <v>98956</v>
      </c>
      <c r="E22" s="51">
        <v>28056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2335</v>
      </c>
      <c r="D23" s="51">
        <v>775</v>
      </c>
      <c r="E23" s="51">
        <v>92873</v>
      </c>
      <c r="F23" s="51">
        <v>83168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99731</v>
      </c>
      <c r="E24" s="34">
        <f t="shared" si="7"/>
        <v>120929</v>
      </c>
      <c r="F24" s="34">
        <f t="shared" si="7"/>
        <v>83168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3946940</v>
      </c>
      <c r="D25" s="51">
        <v>5418042</v>
      </c>
      <c r="E25" s="51">
        <v>4389444</v>
      </c>
      <c r="F25" s="51">
        <v>3978461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138648</v>
      </c>
      <c r="D26" s="51">
        <v>0</v>
      </c>
      <c r="E26" s="51">
        <v>0</v>
      </c>
      <c r="F26" s="51">
        <v>0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1659687</v>
      </c>
      <c r="D27" s="51">
        <v>1974408</v>
      </c>
      <c r="E27" s="51">
        <v>2200778</v>
      </c>
      <c r="F27" s="51">
        <v>1629166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1835208</v>
      </c>
      <c r="D28" s="51">
        <v>208555</v>
      </c>
      <c r="E28" s="51">
        <v>235491</v>
      </c>
      <c r="F28" s="51">
        <v>26543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0.88635893043186387</v>
      </c>
      <c r="D29" s="15">
        <f t="shared" si="8"/>
        <v>-0.12915537867708757</v>
      </c>
      <c r="E29" s="15">
        <f t="shared" si="8"/>
        <v>0.88728656296843611</v>
      </c>
      <c r="F29" s="15">
        <f t="shared" si="8"/>
        <v>-47.803300305165202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-84082.859999999986</v>
      </c>
      <c r="D30" s="34">
        <f t="shared" ref="D30:M30" si="9">IF(E7="","",(D7-E7)*$D$49)</f>
        <v>62909.786699999997</v>
      </c>
      <c r="E30" s="34">
        <f t="shared" si="9"/>
        <v>-2460.2678999999998</v>
      </c>
      <c r="F30" s="34">
        <f t="shared" si="9"/>
        <v>-68798.7405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1542570.1400000001</v>
      </c>
      <c r="D31" s="34">
        <f t="shared" si="10"/>
        <v>35973.786699999997</v>
      </c>
      <c r="E31" s="34">
        <f t="shared" si="10"/>
        <v>206487.73209999999</v>
      </c>
      <c r="F31" s="34">
        <f t="shared" si="10"/>
        <v>-1337641.7405000001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8.7427585903970062</v>
      </c>
      <c r="D32" s="15">
        <f t="shared" si="11"/>
        <v>3.9116376858634241E-2</v>
      </c>
      <c r="E32" s="15">
        <f t="shared" si="11"/>
        <v>1.131576037111323</v>
      </c>
      <c r="F32" s="15">
        <f t="shared" si="11"/>
        <v>-6.0353430159304899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3543365</v>
      </c>
      <c r="E33" s="70">
        <f t="shared" si="12"/>
        <v>2309595</v>
      </c>
      <c r="F33" s="70">
        <f t="shared" si="12"/>
        <v>2432463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3.7149543010822524E-2</v>
      </c>
      <c r="D35" s="72">
        <f>IF(D16="","",(D16*$C$4)/(Dashboard!$H$6*1000000))</f>
        <v>0.1936353191392787</v>
      </c>
      <c r="E35" s="72">
        <f>IF(E16="","",(E16*$C$4)/(Dashboard!$H$6*1000000))</f>
        <v>3.8420901806587644E-2</v>
      </c>
      <c r="F35" s="72">
        <f>IF(F16="","",(F16*$C$4)/(Dashboard!$H$6*1000000))</f>
        <v>4.6665389617803796E-2</v>
      </c>
      <c r="G35" s="72">
        <f>IF(G16="","",(G16*$C$4)/(Dashboard!$H$6*1000000))</f>
        <v>3.5950350526033015E-2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9.6392925825465589E-2</v>
      </c>
      <c r="D36" s="73">
        <f>IF(D18="","",(D18*$C$4)/(Dashboard!$H$6*1000000))</f>
        <v>0.29044966253270255</v>
      </c>
      <c r="E36" s="73">
        <f>IF(E18="","",(E18*$C$4)/(Dashboard!$H$6*1000000))</f>
        <v>0.10809871203990813</v>
      </c>
      <c r="F36" s="73">
        <f>IF(F18="","",(F18*$C$4)/(Dashboard!$H$6*1000000))</f>
        <v>4.831152896363921E-2</v>
      </c>
      <c r="G36" s="73">
        <f>IF(G18="","",(G18*$C$4)/(Dashboard!$H$6*1000000))</f>
        <v>4.1133849777180716E-2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0.13766620190083245</v>
      </c>
      <c r="D38" s="72">
        <f t="shared" si="13"/>
        <v>0.35903916103736594</v>
      </c>
      <c r="E38" s="72">
        <f t="shared" si="13"/>
        <v>0.11377015533213045</v>
      </c>
      <c r="F38" s="72">
        <f t="shared" si="13"/>
        <v>0.1350307518437398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0.36170391703931148</v>
      </c>
      <c r="D39" s="74">
        <f t="shared" si="14"/>
        <v>1.1090468242267584</v>
      </c>
      <c r="E39" s="74">
        <f t="shared" si="14"/>
        <v>0.65938022489961823</v>
      </c>
      <c r="F39" s="74">
        <f t="shared" si="14"/>
        <v>0.88358728800101205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4.9794404471455805E-2</v>
      </c>
      <c r="D40" s="73">
        <f t="shared" si="15"/>
        <v>0.39819124132153039</v>
      </c>
      <c r="E40" s="73">
        <f t="shared" si="15"/>
        <v>7.501779060976467E-2</v>
      </c>
      <c r="F40" s="73">
        <f t="shared" si="15"/>
        <v>0.11931145581834772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1.4304060396726345E-4</v>
      </c>
      <c r="E42" s="72">
        <f t="shared" si="16"/>
        <v>2.1158260590635171E-2</v>
      </c>
      <c r="F42" s="72">
        <f t="shared" si="16"/>
        <v>2.0904565861020127E-2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1.8407203192592453E-2</v>
      </c>
      <c r="E43" s="15">
        <f t="shared" si="17"/>
        <v>2.7549958491326007E-2</v>
      </c>
      <c r="F43" s="15">
        <f t="shared" si="17"/>
        <v>2.0904565861020127E-2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0.26358525151482559</v>
      </c>
      <c r="D44" s="77">
        <f t="shared" si="18"/>
        <v>12.295214125998937</v>
      </c>
      <c r="E44" s="77">
        <f t="shared" si="18"/>
        <v>2.0119574295661091</v>
      </c>
      <c r="F44" s="77">
        <f t="shared" si="18"/>
        <v>3.5532055598307042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2.2489263332100617E-2</v>
      </c>
      <c r="D45" s="77">
        <f t="shared" si="19"/>
        <v>3.7513843423741698E-3</v>
      </c>
      <c r="E45" s="77">
        <f t="shared" si="19"/>
        <v>3.0836594000372648E-2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4.4286470964394731</v>
      </c>
      <c r="E46" s="78">
        <f t="shared" si="20"/>
        <v>6.8209832459686055</v>
      </c>
      <c r="F46" s="78">
        <f t="shared" si="20"/>
        <v>8.0083071161760646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235253</v>
      </c>
      <c r="D69" s="99">
        <f>C69+C54-F66</f>
        <v>235253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0.1835549358677766</v>
      </c>
      <c r="D70" s="100">
        <f t="shared" si="25"/>
        <v>0.1835549358677766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1542570.1400000001</v>
      </c>
      <c r="D71" s="99">
        <f>C71+E65-F66</f>
        <v>1542570.1400000001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176439.75</v>
      </c>
      <c r="D72" s="99">
        <f>C72+C55</f>
        <v>176439.75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457813</v>
      </c>
      <c r="D73" s="99">
        <f>C73+C54-F66</f>
        <v>457813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2290630.5397946876</v>
      </c>
      <c r="E5" s="15">
        <f>1-D5/D3</f>
        <v>0.41964394194117782</v>
      </c>
      <c r="F5" s="6"/>
      <c r="G5" s="109" t="s">
        <v>134</v>
      </c>
      <c r="H5" s="30">
        <f>IF(Data!F3&lt;=0,"NNI",D6/((Data!F3*Dashboard!H13)/(Dashboard!H5/Data!C4)))</f>
        <v>5.0034196053731277</v>
      </c>
      <c r="I5" s="6"/>
    </row>
    <row r="6" spans="1:9" ht="15" customHeight="1" x14ac:dyDescent="0.3">
      <c r="B6" s="80" t="s">
        <v>135</v>
      </c>
      <c r="D6" s="110">
        <f>(D5*Dashboard!H13*Data!C4)/Dashboard!H5</f>
        <v>1.2539650627254719</v>
      </c>
      <c r="E6" s="111"/>
      <c r="G6" s="109" t="s">
        <v>136</v>
      </c>
      <c r="H6" s="30">
        <f>D6/(Data!C25*Dashboard!H13*Data!C4/Common_Shares)</f>
        <v>0.58035605805882229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3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3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3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3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3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3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3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3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3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3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166838.41020531268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65" customHeight="1" x14ac:dyDescent="0.3">
      <c r="B48" s="80" t="s">
        <v>195</v>
      </c>
      <c r="C48" s="6"/>
      <c r="D48" s="339">
        <f>Data!C24+D46+D47</f>
        <v>892512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143</v>
      </c>
      <c r="C52" s="6"/>
      <c r="D52" s="339">
        <f>C10+C32</f>
        <v>1659687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3913499.4518053131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-7.3199641347883149E-2</v>
      </c>
      <c r="D4" s="128">
        <f>IF(E7="",D16/C16-1,(G16/C16)^(1/4)-1)</f>
        <v>0.82260171048190522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-0.49963907147868258</v>
      </c>
      <c r="D7" s="132">
        <f>D8/C8-1</f>
        <v>2.1726845649627942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1281649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915778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0.28546895444852688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365871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0.10191401858075028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130618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0.1835549358677766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-0.80814686506596722</v>
      </c>
      <c r="D15" s="139">
        <f>IF(ABS(C16+D16)=ABS(C16)+ABS(D16),IF(D16&lt;0,-1,1)*(D16-C16)/C16,"Turn")</f>
        <v>0.82260171048190522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235253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176439.75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8.7427585903970062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1542570.1400000001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231</v>
      </c>
      <c r="C32" s="163">
        <f>'Asset Model'!D51</f>
        <v>168341.3</v>
      </c>
    </row>
    <row r="33" spans="2:13" ht="15.75" customHeight="1" x14ac:dyDescent="0.3">
      <c r="B33" s="107" t="s">
        <v>232</v>
      </c>
      <c r="C33" s="163">
        <f>Data!C27</f>
        <v>1659687</v>
      </c>
    </row>
    <row r="34" spans="2:13" ht="15.75" customHeight="1" x14ac:dyDescent="0.3">
      <c r="B34" s="80" t="s">
        <v>233</v>
      </c>
      <c r="C34" s="163">
        <f>'Asset Model'!D48</f>
        <v>892512</v>
      </c>
    </row>
    <row r="35" spans="2:13" ht="15.75" customHeight="1" thickBot="1" x14ac:dyDescent="0.35">
      <c r="B35" s="165" t="s">
        <v>234</v>
      </c>
      <c r="C35" s="163">
        <f>'Asset Model'!E43</f>
        <v>166838.41020531268</v>
      </c>
    </row>
    <row r="36" spans="2:13" ht="15.75" customHeight="1" thickTop="1" x14ac:dyDescent="0.3">
      <c r="B36" s="5" t="s">
        <v>235</v>
      </c>
      <c r="C36" s="166">
        <f>C30+C31+(C32+C33-C34-C35)</f>
        <v>4517447.4312179191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2.4729964754394378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4535467.6767229065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9.9068127744797678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2.4828613392367287</v>
      </c>
      <c r="D45" s="76" t="str">
        <f>Dashboard!I4</f>
        <v>HKD</v>
      </c>
      <c r="E45" s="170" t="s">
        <v>136</v>
      </c>
      <c r="F45" s="30">
        <f>C45/(Data!C25*Exchange_Rate*Data!C4/Common_Shares)</f>
        <v>1.149109861493437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2.4828613392367287</v>
      </c>
      <c r="G49" s="187">
        <f>IF(Data!F$3&lt;=0,"NNI",F49/((Data!F$3*Exchange_Rate)/(Common_Shares/Data!C$4)))</f>
        <v>9.9068127744797678</v>
      </c>
      <c r="I49" s="134" t="s">
        <v>244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2.6908696997411892</v>
      </c>
      <c r="G50" s="188">
        <f>IF(Data!F$3&lt;=0,"NNI",F50/((Data!F$3*Exchange_Rate)/(Common_Shares/Data!C$4)))</f>
        <v>10.73678255590851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3.1336515950167669</v>
      </c>
      <c r="G51" s="188">
        <f>IF(Data!F$3&lt;=0,"NNI",F51/((Data!F$3*Exchange_Rate)/(Common_Shares/Data!C$4)))</f>
        <v>12.503517277297725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3.7205980408735138</v>
      </c>
      <c r="G52" s="188">
        <f>IF(Data!F$3&lt;=0,"NNI",F52/((Data!F$3*Exchange_Rate)/(Common_Shares/Data!C$4)))</f>
        <v>14.845479937820954</v>
      </c>
      <c r="I52" s="134" t="s">
        <v>245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4.1557380107441997</v>
      </c>
      <c r="G53" s="188">
        <f>IF(Data!F$3&lt;=0,"NNI",F53/((Data!F$3*Exchange_Rate)/(Common_Shares/Data!C$4)))</f>
        <v>16.58172277348687</v>
      </c>
      <c r="I53" s="134"/>
    </row>
    <row r="54" spans="1:12" ht="15.75" customHeight="1" x14ac:dyDescent="0.3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4.2836194316039116</v>
      </c>
      <c r="G54" s="190">
        <f>IF(Data!F$3&lt;=0,"NNI",F54/((Data!F$3*Exchange_Rate)/(Common_Shares/Data!C$4)))</f>
        <v>17.091979739420008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2.4729964754394378</v>
      </c>
      <c r="D57" s="26" t="str">
        <f>IF(C57&lt;E57,"&lt;",IF(C57=E57,"=","&gt;"))</f>
        <v>&lt;</v>
      </c>
      <c r="E57" s="196">
        <f>F54</f>
        <v>4.2836194316039116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0.3072047302954104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-2.1792009223894859</v>
      </c>
      <c r="K59" s="276">
        <f t="dataTable" ref="K59:K60" dt2D="0" dtr="0" r1="C60" ca="1"/>
        <v>0.3072047302954104</v>
      </c>
    </row>
    <row r="60" spans="1:12" ht="15.75" hidden="1" customHeight="1" x14ac:dyDescent="0.3">
      <c r="B60" s="6"/>
      <c r="C60" s="186">
        <f>J59</f>
        <v>-2.1792009223894859</v>
      </c>
      <c r="D60" s="186">
        <f>D22/(Dashboard!H5/Data!C4)</f>
        <v>9.8531492715324756E-2</v>
      </c>
      <c r="E60" s="186">
        <f>IF(E7="",I60,E22)/(Dashboard!H5/Data!C4)</f>
        <v>3.5949832864953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6566991.9767935621</v>
      </c>
      <c r="J60" s="277">
        <f>-Dashboard!C22+(C32+C33-C34-C35)/(Dashboard!H5/Data!C4)</f>
        <v>-4.8792009223894857</v>
      </c>
      <c r="K60" s="276">
        <v>-0.13147439990650289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3.6364808214634374</v>
      </c>
      <c r="D63" s="262" t="str">
        <f>D45</f>
        <v>HKD</v>
      </c>
      <c r="E63" s="263">
        <f>IF(Data!F3&lt;=0,"NNI",C63/((Data!F3*Exchange_Rate)/(Common_Shares/Data!C4)))</f>
        <v>14.509845591014603</v>
      </c>
      <c r="F63" s="263">
        <f>C63/(Data!C25*Exchange_Rate*Data!C4/Common_Shares)</f>
        <v>1.6830243022592615</v>
      </c>
      <c r="G63" s="273">
        <f>IRR(C60:G60)</f>
        <v>0.3072047302954104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3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3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3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3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3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3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3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2022-12-07T11:13:07Z</dcterms:modified>
  <cp:category/>
  <cp:contentStatus/>
</cp:coreProperties>
</file>