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"/>
    </mc:Choice>
  </mc:AlternateContent>
  <xr:revisionPtr revIDLastSave="0" documentId="8_{0F7AF0B8-32FA-4DF4-9FD4-ADD5FD2CAD86}" xr6:coauthVersionLast="47" xr6:coauthVersionMax="47" xr10:uidLastSave="{00000000-0000-0000-0000-000000000000}"/>
  <bookViews>
    <workbookView xWindow="1900" yWindow="1900" windowWidth="14400" windowHeight="736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<sst xmlns="http://schemas.openxmlformats.org/spreadsheetml/2006/main" count="471" uniqueCount="400">
  <si>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</si>
  <si>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</si>
  <si>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</si>
  <si>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</si>
  <si>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</si>
  <si>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</si>
  <si>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</si>
  <si>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</si>
  <si>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</si>
  <si>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</si>
  <si>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</si>
  <si>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</si>
  <si>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</si>
  <si>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</si>
  <si>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</si>
  <si>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</si>
  <si>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</si>
  <si>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</si>
  <si>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</si>
  <si>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</si>
  <si>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</si>
  <si>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</si>
  <si>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</si>
  <si>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</si>
  <si>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</si>
  <si>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</si>
  <si>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</si>
  <si>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</si>
  <si>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</si>
  <si>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</si>
  <si>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</si>
  <si>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</si>
  <si>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</si>
  <si>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</si>
  <si>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</si>
  <si>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</si>
  <si>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</si>
  <si>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</si>
  <si>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</si>
  <si>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</si>
  <si>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</si>
  <si>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</si>
  <si>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</si>
  <si>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</si>
  <si>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</si>
  <si>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</si>
  <si>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</si>
  <si>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</si>
  <si>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</si>
  <si>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</si>
  <si>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</si>
  <si>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</si>
  <si>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</si>
  <si>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</si>
  <si>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</si>
  <si>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</si>
  <si>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</si>
  <si>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</si>
  <si>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</si>
  <si>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</si>
  <si>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</si>
  <si>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</si>
  <si>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</si>
  <si>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</si>
  <si>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</si>
  <si>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</si>
  <si>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</si>
  <si>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</si>
  <si>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</si>
  <si>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</si>
  <si>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</si>
  <si>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</si>
  <si>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</si>
  <si>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</si>
  <si>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</si>
  <si>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</si>
  <si>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</si>
  <si>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</si>
  <si>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</si>
  <si>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</si>
  <si>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</si>
  <si>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</si>
  <si>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</si>
  <si>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</si>
  <si>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</si>
  <si>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</si>
  <si>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</si>
  <si>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</si>
  <si>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</si>
  <si>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</si>
  <si>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</si>
  <si>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</si>
  <si>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</si>
  <si>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</si>
  <si>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</si>
  <si>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</si>
  <si>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</si>
  <si>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</si>
  <si>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</si>
  <si>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</si>
  <si>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</si>
  <si>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</si>
  <si>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</si>
  <si>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</si>
  <si>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</si>
  <si>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</si>
  <si>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</si>
  <si>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</si>
  <si>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</si>
  <si>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</si>
  <si>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</si>
  <si>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</si>
  <si>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</si>
  <si>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</si>
  <si>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</si>
  <si>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</si>
  <si>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</si>
  <si>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</si>
  <si>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</si>
  <si>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</si>
  <si>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</si>
  <si>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</si>
  <si>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</si>
  <si>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</si>
  <si>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</si>
  <si>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</si>
  <si>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</si>
  <si>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</si>
  <si>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</si>
  <si>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</si>
  <si>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</si>
  <si>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</si>
  <si>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</si>
  <si>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</si>
  <si>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</si>
  <si>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</si>
  <si>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</si>
  <si>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</si>
  <si>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</si>
  <si>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</si>
  <si>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</si>
  <si>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</si>
  <si>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</si>
  <si>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</si>
  <si>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</si>
  <si>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</si>
  <si>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</si>
  <si>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</si>
  <si>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</si>
  <si>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</si>
  <si>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</si>
  <si>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</si>
  <si>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</si>
  <si>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</si>
  <si>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</si>
  <si>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</si>
  <si>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</si>
  <si>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</si>
  <si>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</si>
  <si>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</si>
  <si>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</si>
  <si>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</si>
  <si>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</si>
  <si>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</si>
  <si>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</si>
  <si>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</si>
  <si>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</si>
  <si>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</si>
  <si>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</si>
  <si>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</si>
  <si>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</si>
  <si>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</si>
  <si>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</si>
  <si>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</si>
  <si>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</si>
  <si>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</si>
  <si>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</si>
  <si>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</si>
  <si>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</si>
  <si>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</si>
  <si>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</si>
  <si>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</si>
  <si>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</si>
  <si>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</si>
  <si>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</si>
  <si>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</si>
  <si>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</si>
  <si>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</si>
  <si>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</si>
  <si>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</si>
  <si>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</si>
  <si>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</si>
  <si>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</si>
  <si>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</si>
  <si>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</si>
  <si>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</si>
  <si>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</si>
  <si>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</si>
  <si>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</si>
  <si>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</si>
  <si>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</si>
  <si>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</si>
  <si>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</si>
  <si>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</si>
  <si>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</si>
  <si>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</si>
  <si>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</si>
  <si>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</si>
  <si>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</si>
  <si>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</si>
  <si>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</si>
  <si>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</si>
  <si>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</si>
  <si>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</si>
  <si>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</si>
  <si>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</si>
  <si>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</si>
  <si>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</si>
  <si>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</si>
  <si>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</si>
  <si>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</si>
  <si>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</si>
  <si>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</si>
  <si>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</si>
  <si>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</si>
  <si>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</si>
  <si>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</si>
  <si>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</si>
  <si>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</si>
  <si>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</si>
  <si>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</si>
  <si>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</si>
  <si>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</si>
  <si>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</si>
  <si>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</si>
  <si>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</si>
  <si>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</si>
  <si>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</si>
  <si>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</si>
  <si>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</si>
  <si>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</si>
  <si>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</si>
  <si>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</si>
  <si>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</si>
  <si>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</si>
  <si>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</si>
  <si>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</si>
  <si>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</si>
  <si>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</si>
  <si>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</si>
  <si>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</si>
  <si>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</si>
  <si>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</si>
  <si>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</si>
  <si>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</si>
  <si>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</si>
  <si>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</si>
  <si>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</si>
  <si>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</si>
  <si>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</si>
  <si>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</si>
  <si>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</si>
  <si>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</si>
  <si>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</si>
  <si>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</si>
  <si>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</si>
  <si>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</si>
  <si>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</si>
  <si>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</si>
  <si>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</si>
  <si>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</si>
  <si>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</si>
  <si>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</si>
  <si>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</si>
  <si>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</si>
  <si>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</si>
  <si>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</si>
  <si>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</si>
  <si>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</si>
  <si>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</si>
  <si>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</si>
  <si>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</si>
  <si>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</si>
  <si>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</si>
  <si>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</si>
  <si>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</si>
  <si>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</si>
  <si>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</si>
  <si>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</si>
  <si>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</si>
  <si>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</si>
  <si>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</si>
  <si>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</si>
  <si>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</si>
  <si>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</si>
  <si>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</si>
  <si>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</si>
  <si>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</si>
  <si>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</si>
  <si>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</si>
  <si>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</si>
  <si>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</si>
  <si>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</si>
  <si>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</si>
  <si>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</si>
  <si>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</si>
  <si>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</si>
  <si>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</si>
  <si>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</si>
  <si>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</si>
  <si>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</si>
  <si>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</si>
  <si>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</si>
  <si>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</si>
  <si>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</si>
  <si>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</si>
  <si>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</si>
  <si>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</si>
  <si>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</si>
  <si>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</si>
  <si>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</si>
  <si>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</si>
  <si>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</si>
  <si>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</si>
  <si>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</si>
  <si>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</si>
  <si>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</si>
  <si>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</si>
  <si>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</si>
  <si>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</si>
  <si>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</si>
  <si>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</si>
  <si>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</si>
  <si>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</si>
  <si>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</si>
  <si>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</si>
  <si>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</si>
  <si>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</si>
  <si>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</si>
  <si>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</si>
  <si>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</si>
  <si>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</si>
  <si>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</si>
  <si>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</si>
  <si>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</si>
  <si>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</si>
  <si>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</si>
  <si>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</si>
  <si>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</si>
  <si>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</si>
  <si>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</si>
  <si>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</si>
  <si>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</si>
  <si>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</si>
  <si>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</si>
  <si>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</si>
  <si>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</si>
  <si>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</si>
  <si>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</si>
  <si>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</si>
  <si>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</si>
  <si>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</si>
  <si>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</si>
  <si>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</si>
  <si>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</si>
  <si>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</si>
  <si>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</si>
  <si>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</si>
  <si>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</si>
  <si>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</si>
  <si>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</si>
  <si>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</si>
  <si>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</si>
  <si>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</si>
  <si>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</si>
  <si>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</si>
  <si>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</si>
  <si>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</si>
  <si>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</si>
  <si>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</si>
  <si>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</si>
  <si>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</si>
  <si>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</si>
  <si>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</si>
  <si>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</si>
  <si>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</si>
  <si>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</si>
  <si>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</si>
  <si>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</si>
  <si>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</si>
  <si>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</si>
  <si>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</si>
  <si>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</si>
  <si>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</si>
  <si>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</si>
  <si>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</si>
  <si>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CRRC</t>
  </si>
  <si>
    <t>1766.HK</t>
  </si>
  <si>
    <t>HKG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</si>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</sst>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1766.HK : CRRC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397</v>
      </c>
      <c r="D3" s="287"/>
      <c r="E3" s="16"/>
      <c r="G3" s="7" t="s">
        <v>2</v>
      </c>
      <c r="H3" s="291" t="s">
        <v>398</v>
      </c>
      <c r="I3" s="292"/>
    </row>
    <row r="4" spans="1:11" ht="15.75" customHeight="1" x14ac:dyDescent="0.3">
      <c r="B4" s="5" t="s">
        <v>3</v>
      </c>
      <c r="C4" s="288" t="s">
        <v>396</v>
      </c>
      <c r="D4" s="289"/>
      <c r="E4" s="6"/>
      <c r="G4" s="5" t="s">
        <v>4</v>
      </c>
      <c r="H4" s="47">
        <v>3.11</v>
      </c>
      <c r="I4" s="48" t="s">
        <v>5</v>
      </c>
    </row>
    <row r="5" spans="1:11" ht="15.75" customHeight="1" x14ac:dyDescent="0.3">
      <c r="B5" s="5" t="s">
        <v>6</v>
      </c>
      <c r="C5" s="290">
        <v>44902</v>
      </c>
      <c r="D5" s="289"/>
      <c r="E5" s="268" t="str">
        <f ca="1">IF(C5+30&gt;=TODAY(),"Patience Premium","")</f>
        <v>Patience Premium</v>
      </c>
      <c r="G5" s="5" t="s">
        <v>7</v>
      </c>
      <c r="H5" s="293">
        <v>4371069952</v>
      </c>
      <c r="I5" s="294"/>
    </row>
    <row r="6" spans="1:11" ht="15.75" customHeight="1" x14ac:dyDescent="0.3">
      <c r="B6" s="13" t="s">
        <v>8</v>
      </c>
      <c r="C6" s="299">
        <v>45015</v>
      </c>
      <c r="D6" s="300"/>
      <c r="E6" s="268"/>
      <c r="G6" s="8" t="s">
        <v>9</v>
      </c>
      <c r="H6" s="304">
        <f>H4*H5/1000000</f>
        <v>13594.027550719999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1.4688299840867927</v>
      </c>
      <c r="I9" s="72">
        <f>IF(H9="NNI","NNI",1/H9)</f>
        <v>0.68081398857181163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06" t="str">
        <f>IF('FCF Model'!C4&lt;=0,"Negative PEG",IFERROR(H9/('FCF Model'!C4*100),"NNI"))</f>
        <v>Negative PEG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3.8340524908416422</v>
      </c>
      <c r="I11" s="43">
        <f>IF('Asset Model'!D53/'FCF Model'!C16&lt;0,"Negative EV",'Asset Model'!D53/'FCF Model'!C16)</f>
        <v>1.0439970892493855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291" t="s">
        <v>399</v>
      </c>
      <c r="I12" s="292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0.89831689340324883</v>
      </c>
      <c r="I13" s="41" t="str">
        <f>IF(H12=Dashboard!I4,I4,H12&amp;"/"&amp;Dashboard!I4)</f>
        <v>CNY/HKD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1.2902284816982712</v>
      </c>
      <c r="D16" s="303"/>
      <c r="E16" s="302">
        <f>'Asset Model'!D6</f>
        <v>0.39579674200381204</v>
      </c>
      <c r="F16" s="303"/>
      <c r="G16" s="36" t="s">
        <v>25</v>
      </c>
      <c r="H16" s="295">
        <f>C22/E16-1</f>
        <v>12.390711538370757</v>
      </c>
      <c r="I16" s="296"/>
      <c r="J16" s="6"/>
      <c r="K16" s="6"/>
    </row>
    <row r="17" spans="1:12" ht="15.75" customHeight="1" x14ac:dyDescent="0.3">
      <c r="B17" s="21" t="s">
        <v>26</v>
      </c>
      <c r="C17" s="33">
        <f>'FCF Model'!E63</f>
        <v>0.60936536342160719</v>
      </c>
      <c r="D17" s="33">
        <f>'FCF Model'!F63</f>
        <v>1.5906121299067804</v>
      </c>
      <c r="E17" s="33">
        <f>'Asset Model'!H5</f>
        <v>0.18693187210902368</v>
      </c>
      <c r="F17" s="33">
        <f>'Asset Model'!H6</f>
        <v>0.48794388570634162</v>
      </c>
      <c r="G17" s="10" t="s">
        <v>27</v>
      </c>
      <c r="H17" s="297">
        <f ca="1">AVERAGE((1-'Qualitative Analysis'!E29),(1-'Qualitative Analysis'!E63),H16)+IF(C5+30&gt;=TODAY(),20%,0)</f>
        <v>4.3857927350124744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332">
        <v>0.14560000000000001</v>
      </c>
      <c r="D19" s="332"/>
      <c r="E19" s="6"/>
      <c r="F19" s="6"/>
      <c r="G19" s="24" t="s">
        <v>28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5.3</v>
      </c>
      <c r="D22" s="314"/>
      <c r="E22" s="278" t="s">
        <v>32</v>
      </c>
      <c r="F22" s="270">
        <f>IF(Data!F3&lt;=0,"NNI",C22/((Data!F3*H13)/(H5/Data!C4)))</f>
        <v>2.5031507767395502</v>
      </c>
      <c r="G22" s="44" t="s">
        <v>33</v>
      </c>
      <c r="H22" s="348">
        <f>'FCF Model'!G63</f>
        <v>-0.32818777766352203</v>
      </c>
      <c r="I22" s="348"/>
      <c r="J22" s="6"/>
      <c r="L22" s="6"/>
    </row>
    <row r="23" spans="1:12" ht="15.75" customHeight="1" x14ac:dyDescent="0.3">
      <c r="B23" s="36" t="s">
        <v>34</v>
      </c>
      <c r="C23" s="345">
        <f>'FCF Model'!K60</f>
        <v>-0.48985265825944424</v>
      </c>
      <c r="D23" s="346"/>
      <c r="E23" s="279" t="s">
        <v>35</v>
      </c>
      <c r="F23" s="33">
        <f>C22/(Data!C25*H13*Data!C4/Common_Shares)</f>
        <v>6.5339158204053707</v>
      </c>
      <c r="G23" s="44" t="s">
        <v>36</v>
      </c>
      <c r="H23" s="349">
        <f ca="1">D10+D12*(1+H17)</f>
        <v>0.27236067307556133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-0.76221333133500557</v>
      </c>
      <c r="D24" s="344"/>
      <c r="E24" s="6"/>
      <c r="F24" s="6"/>
      <c r="G24" s="269" t="s">
        <v>38</v>
      </c>
      <c r="H24" s="337">
        <f ca="1">H22-H23</f>
        <v>-0.60054845073908336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2.747169811320755E-2</v>
      </c>
      <c r="D25" s="334"/>
      <c r="E25" s="6"/>
      <c r="F25" s="6"/>
      <c r="G25" s="269" t="s">
        <v>40</v>
      </c>
      <c r="H25" s="335">
        <f>C19/H4</f>
        <v>4.6816720257234733E-2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/>
      <c r="D33" s="321"/>
      <c r="E33" s="320"/>
      <c r="F33" s="321"/>
      <c r="G33" s="256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3">
      <c r="B35" s="26" t="s">
        <v>50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3">
      <c r="B36" s="26" t="s">
        <v>51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3">
      <c r="B39" s="1" t="s">
        <v>54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10302605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2.0270489420956328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9427344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-6.8857551463549549E-2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225731755</v>
      </c>
      <c r="D7" s="51">
        <v>227656041</v>
      </c>
      <c r="E7" s="51">
        <v>229010833</v>
      </c>
      <c r="F7" s="51">
        <v>219082641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-8.452602406452292E-3</v>
      </c>
      <c r="D8" s="15">
        <f t="shared" si="0"/>
        <v>-5.9158424178126223E-3</v>
      </c>
      <c r="E8" s="15">
        <f t="shared" si="0"/>
        <v>4.5317109355094809E-2</v>
      </c>
      <c r="F8" s="15">
        <f t="shared" si="0"/>
        <v>80.487891524364613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179303892</v>
      </c>
      <c r="D9" s="51">
        <v>176954601</v>
      </c>
      <c r="E9" s="51">
        <v>176149897</v>
      </c>
      <c r="F9" s="51">
        <v>170526021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0.20567714542422266</v>
      </c>
      <c r="D10" s="15">
        <f t="shared" si="1"/>
        <v>0.22271071647073051</v>
      </c>
      <c r="E10" s="15">
        <f t="shared" si="1"/>
        <v>0.23082286242764768</v>
      </c>
      <c r="F10" s="15">
        <f t="shared" si="1"/>
        <v>0.2216360902824793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33858071</v>
      </c>
      <c r="D11" s="51">
        <v>35309226</v>
      </c>
      <c r="E11" s="51">
        <v>35641658</v>
      </c>
      <c r="F11" s="51">
        <v>32986939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0.14999250327008712</v>
      </c>
      <c r="D12" s="15">
        <f t="shared" si="2"/>
        <v>0.15509900745396871</v>
      </c>
      <c r="E12" s="15">
        <f t="shared" si="2"/>
        <v>0.15563306562008794</v>
      </c>
      <c r="F12" s="15">
        <f t="shared" si="2"/>
        <v>0.15056847429550568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5.5684642154135558E-2</v>
      </c>
      <c r="D13" s="15">
        <f t="shared" si="3"/>
        <v>6.761170901676182E-2</v>
      </c>
      <c r="E13" s="15">
        <f t="shared" si="3"/>
        <v>7.5189796807559758E-2</v>
      </c>
      <c r="F13" s="15">
        <f t="shared" si="3"/>
        <v>7.1067615986973615E-2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12569792</v>
      </c>
      <c r="D14" s="34">
        <f t="shared" si="4"/>
        <v>15392214</v>
      </c>
      <c r="E14" s="34">
        <f t="shared" si="4"/>
        <v>17219278</v>
      </c>
      <c r="F14" s="34">
        <f t="shared" si="4"/>
        <v>15569681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-0.18336686327256105</v>
      </c>
      <c r="D15" s="15">
        <f t="shared" ref="D15:M15" si="5">IF(E14="","",IF(ABS(D14+E14)=ABS(D14)+ABS(E14),IF(D14&lt;0,-1,1)*(D14-E14)/E14,"Turn"))</f>
        <v>-0.10610572638411436</v>
      </c>
      <c r="E15" s="15">
        <f t="shared" si="5"/>
        <v>0.10594931264166556</v>
      </c>
      <c r="F15" s="15">
        <f t="shared" si="5"/>
        <v>67.390360143899429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9427344</v>
      </c>
      <c r="D16" s="34">
        <f>IF(D14="","",D14*(1-'FCF Model'!$D$17))</f>
        <v>11544160.5</v>
      </c>
      <c r="E16" s="34">
        <f>IF(E14="","",E14*(1-'FCF Model'!$D$17))</f>
        <v>12914458.5</v>
      </c>
      <c r="F16" s="34">
        <f>IF(F14="","",F14*(1-'FCF Model'!$D$17))</f>
        <v>11677260.75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1121212</v>
      </c>
      <c r="D17" s="51">
        <v>919640</v>
      </c>
      <c r="E17" s="51">
        <v>1020702</v>
      </c>
      <c r="F17" s="51">
        <v>1455585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10302605</v>
      </c>
      <c r="D18" s="51">
        <v>11331053</v>
      </c>
      <c r="E18" s="51">
        <v>11794929</v>
      </c>
      <c r="F18" s="51">
        <v>11305044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4.5640920126634378E-2</v>
      </c>
      <c r="D19" s="15">
        <f t="shared" si="6"/>
        <v>4.9772687560704791E-2</v>
      </c>
      <c r="E19" s="15">
        <f t="shared" si="6"/>
        <v>5.1503803752375329E-2</v>
      </c>
      <c r="F19" s="15">
        <f t="shared" si="6"/>
        <v>5.1601733247318302E-2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2925507</v>
      </c>
      <c r="D20" s="51">
        <v>249727225</v>
      </c>
      <c r="E20" s="51">
        <v>251215115</v>
      </c>
      <c r="F20" s="51">
        <v>227512128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972761</v>
      </c>
      <c r="D21" s="51">
        <v>197492911</v>
      </c>
      <c r="E21" s="51">
        <v>200164511</v>
      </c>
      <c r="F21" s="51">
        <v>188351436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890177</v>
      </c>
      <c r="D22" s="51">
        <v>19351309</v>
      </c>
      <c r="E22" s="51">
        <v>14531207</v>
      </c>
      <c r="F22" s="51">
        <v>20435599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2335</v>
      </c>
      <c r="D23" s="51">
        <v>7994915</v>
      </c>
      <c r="E23" s="51">
        <v>8084962</v>
      </c>
      <c r="F23" s="51">
        <v>4380011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27346224</v>
      </c>
      <c r="E24" s="34">
        <f t="shared" si="7"/>
        <v>22616169</v>
      </c>
      <c r="F24" s="34">
        <f t="shared" si="7"/>
        <v>24815610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3946940</v>
      </c>
      <c r="D25" s="51">
        <v>169141564</v>
      </c>
      <c r="E25" s="51">
        <v>158828482</v>
      </c>
      <c r="F25" s="51">
        <v>149684627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138648</v>
      </c>
      <c r="D26" s="51">
        <v>26120217</v>
      </c>
      <c r="E26" s="51">
        <v>22934851</v>
      </c>
      <c r="F26" s="51">
        <v>21226932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1659687</v>
      </c>
      <c r="D27" s="51">
        <v>33492359</v>
      </c>
      <c r="E27" s="51">
        <v>44904764</v>
      </c>
      <c r="F27" s="51">
        <v>38171008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1835208</v>
      </c>
      <c r="D28" s="51">
        <v>68095130</v>
      </c>
      <c r="E28" s="51">
        <v>67596202</v>
      </c>
      <c r="F28" s="51">
        <v>65488942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-36.104856779177076</v>
      </c>
      <c r="D29" s="15">
        <f t="shared" si="8"/>
        <v>7.3269263161697467E-3</v>
      </c>
      <c r="E29" s="15">
        <f t="shared" si="8"/>
        <v>3.1174236682705931E-2</v>
      </c>
      <c r="F29" s="15">
        <f t="shared" si="8"/>
        <v>0.98021977511867575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-126425.59019999999</v>
      </c>
      <c r="D30" s="34">
        <f t="shared" ref="D30:M30" si="9">IF(E7="","",(D7-E7)*$D$49)</f>
        <v>-89009.834399999992</v>
      </c>
      <c r="E30" s="34">
        <f t="shared" si="9"/>
        <v>652282.21439999994</v>
      </c>
      <c r="F30" s="34">
        <f t="shared" si="9"/>
        <v>14217093.092699999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-66386347.5902</v>
      </c>
      <c r="D31" s="34">
        <f t="shared" si="10"/>
        <v>409918.16560000001</v>
      </c>
      <c r="E31" s="34">
        <f t="shared" si="10"/>
        <v>2759542.2143999999</v>
      </c>
      <c r="F31" s="34">
        <f t="shared" si="10"/>
        <v>78410649.092700005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-7.0418929859990254</v>
      </c>
      <c r="D32" s="15">
        <f t="shared" si="11"/>
        <v>3.5508702915209814E-2</v>
      </c>
      <c r="E32" s="15">
        <f t="shared" si="11"/>
        <v>0.21367850726377727</v>
      </c>
      <c r="F32" s="15">
        <f t="shared" si="11"/>
        <v>6.7148152954193474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162995429</v>
      </c>
      <c r="E33" s="70">
        <f t="shared" si="12"/>
        <v>136539887</v>
      </c>
      <c r="F33" s="70">
        <f t="shared" si="12"/>
        <v>136329229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0.69349160613556993</v>
      </c>
      <c r="D35" s="72">
        <f>IF(D16="","",(D16*$C$4)/(Dashboard!$H$6*1000000))</f>
        <v>0.84920826126974935</v>
      </c>
      <c r="E35" s="72">
        <f>IF(E16="","",(E16*$C$4)/(Dashboard!$H$6*1000000))</f>
        <v>0.95000973418771639</v>
      </c>
      <c r="F35" s="72">
        <f>IF(F16="","",(F16*$C$4)/(Dashboard!$H$6*1000000))</f>
        <v>0.85899934411869872</v>
      </c>
      <c r="G35" s="72">
        <f>IF(G16="","",(G16*$C$4)/(Dashboard!$H$6*1000000))</f>
        <v>1.2560240102717508E-2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0.75787730763090355</v>
      </c>
      <c r="D36" s="73">
        <f>IF(D18="","",(D18*$C$4)/(Dashboard!$H$6*1000000))</f>
        <v>0.83353170778294161</v>
      </c>
      <c r="E36" s="73">
        <f>IF(E18="","",(E18*$C$4)/(Dashboard!$H$6*1000000))</f>
        <v>0.86765522255950478</v>
      </c>
      <c r="F36" s="73">
        <f>IF(F18="","",(F18*$C$4)/(Dashboard!$H$6*1000000))</f>
        <v>0.83161844109998406</v>
      </c>
      <c r="G36" s="73">
        <f>IF(G18="","",(G18*$C$4)/(Dashboard!$H$6*1000000))</f>
        <v>1.4371237609390656E-2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4.1763481615601665E-2</v>
      </c>
      <c r="D38" s="72">
        <f t="shared" si="13"/>
        <v>5.0708781762571369E-2</v>
      </c>
      <c r="E38" s="72">
        <f t="shared" si="13"/>
        <v>5.6392347605669815E-2</v>
      </c>
      <c r="F38" s="72">
        <f t="shared" si="13"/>
        <v>5.3300711990230204E-2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1.3848962292065259</v>
      </c>
      <c r="D39" s="74">
        <f t="shared" si="14"/>
        <v>1.6673226117434827</v>
      </c>
      <c r="E39" s="74">
        <f t="shared" si="14"/>
        <v>1.6798366328324208</v>
      </c>
      <c r="F39" s="74">
        <f t="shared" si="14"/>
        <v>117.93759255819963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5.7838088207982814E-2</v>
      </c>
      <c r="D40" s="73">
        <f t="shared" si="15"/>
        <v>8.4547898446700784E-2</v>
      </c>
      <c r="E40" s="73">
        <f t="shared" si="15"/>
        <v>9.472993131942381E-2</v>
      </c>
      <c r="F40" s="73">
        <f t="shared" si="15"/>
        <v>6.2861576537657156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4.7267595326244E-2</v>
      </c>
      <c r="E42" s="72">
        <f t="shared" si="16"/>
        <v>5.0903728967201238E-2</v>
      </c>
      <c r="F42" s="72">
        <f t="shared" si="16"/>
        <v>2.9261595447607321E-2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0.16167654687170802</v>
      </c>
      <c r="E43" s="15">
        <f t="shared" si="17"/>
        <v>0.14239366085485852</v>
      </c>
      <c r="F43" s="15">
        <f t="shared" si="17"/>
        <v>0.16578596277625757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14.083611200745761</v>
      </c>
      <c r="D44" s="77">
        <f t="shared" si="18"/>
        <v>0.56286432817927623</v>
      </c>
      <c r="E44" s="77">
        <f t="shared" si="18"/>
        <v>0.76137023914173974</v>
      </c>
      <c r="F44" s="77">
        <f t="shared" si="18"/>
        <v>0.62741480060332988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0.1189319070143192</v>
      </c>
      <c r="D45" s="77">
        <f t="shared" si="19"/>
        <v>7.9662787086163603E-2</v>
      </c>
      <c r="E45" s="77">
        <f t="shared" si="19"/>
        <v>7.903560184114572E-2</v>
      </c>
      <c r="F45" s="77">
        <f t="shared" si="19"/>
        <v>0.12465123723472561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1.26448703265101</v>
      </c>
      <c r="E46" s="78">
        <f t="shared" si="20"/>
        <v>1.2550432329135508</v>
      </c>
      <c r="F46" s="78">
        <f t="shared" si="20"/>
        <v>1.2079128932152128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12569792</v>
      </c>
      <c r="D69" s="99">
        <f>C69+C54-F66</f>
        <v>12569792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5.5684642154135558E-2</v>
      </c>
      <c r="D70" s="100">
        <f t="shared" si="25"/>
        <v>5.5684642154135558E-2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-66386347.5902</v>
      </c>
      <c r="D71" s="99">
        <f>C71+E65-F66</f>
        <v>-66386347.5902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9427344</v>
      </c>
      <c r="D72" s="99">
        <f>C72+C55</f>
        <v>9427344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10302605</v>
      </c>
      <c r="D73" s="99">
        <f>C73+C54-F66</f>
        <v>10302605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1925885.2402497882</v>
      </c>
      <c r="E5" s="15">
        <f>1-D5/D3</f>
        <v>0.51205611429365838</v>
      </c>
      <c r="F5" s="6"/>
      <c r="G5" s="109" t="s">
        <v>134</v>
      </c>
      <c r="H5" s="30">
        <f>IF(Data!F3&lt;=0,"NNI",D6/((Data!F3*Dashboard!H13)/(Dashboard!H5/Data!C4)))</f>
        <v>0.18693187210902368</v>
      </c>
      <c r="I5" s="6"/>
    </row>
    <row r="6" spans="1:9" ht="15" customHeight="1" x14ac:dyDescent="0.3">
      <c r="B6" s="80" t="s">
        <v>135</v>
      </c>
      <c r="D6" s="110">
        <f>(D5*Dashboard!H13*Data!C4)/Dashboard!H5</f>
        <v>0.39579674200381204</v>
      </c>
      <c r="E6" s="111"/>
      <c r="G6" s="109" t="s">
        <v>136</v>
      </c>
      <c r="H6" s="30">
        <f>D6/(Data!C25*Dashboard!H13*Data!C4/Common_Shares)</f>
        <v>0.48794388570634162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3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3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3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3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3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3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3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3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3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3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531583.70975021203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316"/>
      <c r="F46" s="5"/>
    </row>
    <row r="47" spans="2:9" ht="14" x14ac:dyDescent="0.3">
      <c r="B47" s="107" t="s">
        <v>193</v>
      </c>
      <c r="C47" s="6"/>
      <c r="D47" s="360">
        <v>0</v>
      </c>
      <c r="E47" s="316"/>
      <c r="F47" s="6" t="s">
        <v>194</v>
      </c>
    </row>
    <row r="48" spans="2:9" ht="12.65" customHeight="1" x14ac:dyDescent="0.3">
      <c r="B48" s="80" t="s">
        <v>195</v>
      </c>
      <c r="C48" s="6"/>
      <c r="D48" s="339">
        <f>Data!C24+D46+D47</f>
        <v>892512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143</v>
      </c>
      <c r="C52" s="6"/>
      <c r="D52" s="339">
        <f>C10+C32</f>
        <v>1659687</v>
      </c>
      <c r="E52" s="357"/>
      <c r="F52" s="6"/>
    </row>
    <row r="53" spans="2:7" ht="14" x14ac:dyDescent="0.3">
      <c r="B53" s="80" t="s">
        <v>200</v>
      </c>
      <c r="C53" s="6"/>
      <c r="D53" s="339">
        <f>((Dashboard!H6*1000)+D48+E43-(C12+C25+C28+C29)-D52)</f>
        <v>13122826.260470212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-6.8857551463549549E-2</v>
      </c>
      <c r="D4" s="128">
        <f>IF(E7="",D16/C16-1,(G16/C16)^(1/4)-1)</f>
        <v>-0.96588865430740622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1000CNY)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-8.452602406452292E-3</v>
      </c>
      <c r="D7" s="132">
        <f>D8/C8-1</f>
        <v>-0.9819862827894994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225731755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179303892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0.20567714542422266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46427863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0.14999250327008712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33858071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5.5684642154135558E-2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-0.18336686327256105</v>
      </c>
      <c r="D15" s="139">
        <f>IF(ABS(C16+D16)=ABS(C16)+ABS(D16),IF(D16&lt;0,-1,1)*(D16-C16)/C16,"Turn")</f>
        <v>-0.96588865430740622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12569792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9427344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-7.0418929859990254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-66386347.5902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231</v>
      </c>
      <c r="C32" s="163">
        <f>'Asset Model'!D51</f>
        <v>168341.3</v>
      </c>
    </row>
    <row r="33" spans="2:13" ht="15.75" customHeight="1" x14ac:dyDescent="0.3">
      <c r="B33" s="107" t="s">
        <v>232</v>
      </c>
      <c r="C33" s="163">
        <f>Data!C27</f>
        <v>1659687</v>
      </c>
    </row>
    <row r="34" spans="2:13" ht="15.75" customHeight="1" x14ac:dyDescent="0.3">
      <c r="B34" s="80" t="s">
        <v>233</v>
      </c>
      <c r="C34" s="163">
        <f>'Asset Model'!D48</f>
        <v>892512</v>
      </c>
    </row>
    <row r="35" spans="2:13" ht="15.75" customHeight="1" thickBot="1" x14ac:dyDescent="0.35">
      <c r="B35" s="165" t="s">
        <v>234</v>
      </c>
      <c r="C35" s="163">
        <f>'Asset Model'!E43</f>
        <v>531583.70975021203</v>
      </c>
    </row>
    <row r="36" spans="2:13" ht="15.75" customHeight="1" thickTop="1" x14ac:dyDescent="0.3">
      <c r="B36" s="5" t="s">
        <v>235</v>
      </c>
      <c r="C36" s="166">
        <f>C30+C31+(C32+C33-C34-C35)</f>
        <v>4152702.1316730198</v>
      </c>
      <c r="D36" s="167" t="str">
        <f>Dashboard!H12</f>
        <v>CNY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0.85343920804714601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4170722.3771780073</v>
      </c>
      <c r="D44" s="167" t="str">
        <f>Dashboard!H12</f>
        <v>CNY</v>
      </c>
      <c r="E44" s="170" t="s">
        <v>134</v>
      </c>
      <c r="F44" s="30">
        <f>IF(Data!F3&lt;=0,"NNI",C45/((Data!F3*Exchange_Rate)/(Common_Shares/Data!C4)))</f>
        <v>0.40482211801558993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0.85714262417595832</v>
      </c>
      <c r="D45" s="76" t="str">
        <f>Dashboard!I4</f>
        <v>HKD</v>
      </c>
      <c r="E45" s="170" t="s">
        <v>136</v>
      </c>
      <c r="F45" s="30">
        <f>C45/(Data!C25*Exchange_Rate*Data!C4/Common_Shares)</f>
        <v>1.0566976891409565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0.85714262417595832</v>
      </c>
      <c r="G49" s="187">
        <f>IF(Data!F$3&lt;=0,"NNI",F49/((Data!F$3*Exchange_Rate)/(Common_Shares/Data!C$4)))</f>
        <v>0.40482211801558993</v>
      </c>
      <c r="I49" s="134" t="s">
        <v>244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0.93523204670114146</v>
      </c>
      <c r="G50" s="188">
        <f>IF(Data!F$3&lt;=0,"NNI",F50/((Data!F$3*Exchange_Rate)/(Common_Shares/Data!C$4)))</f>
        <v>0.44170317436446821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1.1014589349993869</v>
      </c>
      <c r="G51" s="188">
        <f>IF(Data!F$3&lt;=0,"NNI",F51/((Data!F$3*Exchange_Rate)/(Common_Shares/Data!C$4)))</f>
        <v>0.52021090352649679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1.3218073330109146</v>
      </c>
      <c r="G52" s="188">
        <f>IF(Data!F$3&lt;=0,"NNI",F52/((Data!F$3*Exchange_Rate)/(Common_Shares/Data!C$4)))</f>
        <v>0.62427982119364234</v>
      </c>
      <c r="I52" s="134" t="s">
        <v>245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1.4851653292107785</v>
      </c>
      <c r="G53" s="188">
        <f>IF(Data!F$3&lt;=0,"NNI",F53/((Data!F$3*Exchange_Rate)/(Common_Shares/Data!C$4)))</f>
        <v>0.70143259384917167</v>
      </c>
      <c r="I53" s="134"/>
    </row>
    <row r="54" spans="1:12" ht="15.75" customHeight="1" x14ac:dyDescent="0.3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1.5331739106082585</v>
      </c>
      <c r="G54" s="190">
        <f>IF(Data!F$3&lt;=0,"NNI",F54/((Data!F$3*Exchange_Rate)/(Common_Shares/Data!C$4)))</f>
        <v>0.72410669155016527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0.85343920804714601</v>
      </c>
      <c r="D57" s="26" t="str">
        <f>IF(C57&lt;E57,"&lt;",IF(C57=E57,"=","&gt;"))</f>
        <v>&lt;</v>
      </c>
      <c r="E57" s="196">
        <f>F54</f>
        <v>1.5331739106082585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-0.32818777766352203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-3.017589538789017</v>
      </c>
      <c r="K59" s="276">
        <f t="dataTable" ref="K59:K60" dt2D="0" dtr="0" r1="C60" ca="1"/>
        <v>-0.32818777766352203</v>
      </c>
    </row>
    <row r="60" spans="1:12" ht="15.75" hidden="1" customHeight="1" x14ac:dyDescent="0.3">
      <c r="B60" s="6"/>
      <c r="C60" s="186">
        <f>J59</f>
        <v>-3.017589538789017</v>
      </c>
      <c r="D60" s="186">
        <f>D22/(Dashboard!H5/Data!C4)</f>
        <v>4.1177209839014441E-2</v>
      </c>
      <c r="E60" s="186">
        <f>IF(E7="",I60,E22)/(Dashboard!H5/Data!C4)</f>
        <v>1.3342703491668695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5832189.0310878512</v>
      </c>
      <c r="J60" s="277">
        <f>-Dashboard!C22+(C32+C33-C34-C35)/(Dashboard!H5/Data!C4)</f>
        <v>-5.2075895387890174</v>
      </c>
      <c r="K60" s="276">
        <v>-0.48985265825944424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1.2902284816982712</v>
      </c>
      <c r="D63" s="262" t="str">
        <f>D45</f>
        <v>HKD</v>
      </c>
      <c r="E63" s="263">
        <f>IF(Data!F3&lt;=0,"NNI",C63/((Data!F3*Exchange_Rate)/(Common_Shares/Data!C4)))</f>
        <v>0.60936536342160719</v>
      </c>
      <c r="F63" s="263">
        <f>C63/(Data!C25*Exchange_Rate*Data!C4/Common_Shares)</f>
        <v>1.5906121299067804</v>
      </c>
      <c r="G63" s="273">
        <f>IRR(C60:G60)</f>
        <v>-0.32818777766352203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3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3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3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3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3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3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3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2022-12-07T11:13:32Z</dcterms:modified>
  <cp:category/>
  <cp:contentStatus/>
</cp:coreProperties>
</file>