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"/>
    </mc:Choice>
  </mc:AlternateContent>
  <xr:revisionPtr revIDLastSave="0" documentId="8_{A0536BA3-B462-4759-8702-37BF6B59A60B}" xr6:coauthVersionLast="47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<sst xmlns="http://schemas.openxmlformats.org/spreadsheetml/2006/main" count="471" uniqueCount="400">
  <si>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</si>
  <si>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</si>
  <si>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</si>
  <si>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</si>
  <si>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</si>
  <si>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</si>
  <si>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</si>
  <si>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</si>
  <si>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</si>
  <si>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</si>
  <si>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</si>
  <si>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</si>
  <si>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</si>
  <si>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</si>
  <si>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</si>
  <si>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</si>
  <si>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</si>
  <si>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</si>
  <si>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</si>
  <si>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</si>
  <si>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</si>
  <si>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</si>
  <si>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</si>
  <si>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</si>
  <si>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</si>
  <si>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</si>
  <si>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</si>
  <si>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</si>
  <si>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</si>
  <si>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</si>
  <si>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</si>
  <si>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</si>
  <si>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</si>
  <si>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</si>
  <si>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</si>
  <si>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</si>
  <si>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</si>
  <si>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</si>
  <si>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</si>
  <si>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</si>
  <si>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</si>
  <si>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</si>
  <si>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</si>
  <si>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</si>
  <si>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</si>
  <si>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</si>
  <si>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</si>
  <si>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</si>
  <si>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</si>
  <si>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</si>
  <si>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</si>
  <si>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</si>
  <si>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</si>
  <si>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</si>
  <si>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</si>
  <si>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</si>
  <si>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</si>
  <si>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</si>
  <si>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</si>
  <si>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</si>
  <si>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</si>
  <si>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</si>
  <si>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</si>
  <si>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</si>
  <si>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</si>
  <si>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</si>
  <si>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</si>
  <si>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</si>
  <si>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</si>
  <si>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</si>
  <si>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</si>
  <si>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</si>
  <si>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</si>
  <si>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</si>
  <si>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</si>
  <si>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</si>
  <si>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</si>
  <si>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</si>
  <si>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</si>
  <si>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</si>
  <si>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</si>
  <si>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</si>
  <si>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</si>
  <si>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</si>
  <si>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</si>
  <si>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</si>
  <si>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</si>
  <si>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</si>
  <si>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</si>
  <si>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</si>
  <si>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</si>
  <si>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</si>
  <si>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</si>
  <si>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</si>
  <si>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</si>
  <si>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</si>
  <si>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</si>
  <si>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</si>
  <si>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</si>
  <si>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</si>
  <si>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</si>
  <si>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</si>
  <si>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</si>
  <si>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</si>
  <si>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</si>
  <si>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</si>
  <si>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</si>
  <si>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</si>
  <si>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</si>
  <si>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</si>
  <si>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</si>
  <si>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</si>
  <si>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</si>
  <si>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</si>
  <si>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</si>
  <si>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</si>
  <si>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</si>
  <si>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</si>
  <si>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</si>
  <si>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</si>
  <si>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</si>
  <si>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</si>
  <si>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</si>
  <si>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</si>
  <si>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</si>
  <si>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</si>
  <si>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</si>
  <si>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</si>
  <si>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</si>
  <si>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</si>
  <si>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</si>
  <si>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</si>
  <si>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</si>
  <si>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</si>
  <si>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</si>
  <si>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</si>
  <si>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</si>
  <si>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</si>
  <si>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</si>
  <si>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</si>
  <si>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</si>
  <si>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</si>
  <si>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</si>
  <si>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</si>
  <si>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</si>
  <si>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</si>
  <si>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</si>
  <si>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</si>
  <si>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</si>
  <si>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</si>
  <si>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</si>
  <si>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</si>
  <si>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</si>
  <si>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</si>
  <si>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</si>
  <si>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</si>
  <si>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</si>
  <si>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</si>
  <si>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</si>
  <si>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</si>
  <si>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</si>
  <si>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</si>
  <si>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</si>
  <si>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</si>
  <si>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</si>
  <si>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</si>
  <si>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</si>
  <si>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</si>
  <si>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</si>
  <si>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</si>
  <si>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</si>
  <si>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</si>
  <si>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</si>
  <si>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</si>
  <si>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</si>
  <si>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</si>
  <si>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</si>
  <si>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</si>
  <si>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</si>
  <si>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</si>
  <si>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</si>
  <si>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</si>
  <si>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</si>
  <si>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</si>
  <si>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</si>
  <si>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</si>
  <si>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</si>
  <si>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</si>
  <si>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</si>
  <si>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</si>
  <si>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</si>
  <si>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</si>
  <si>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</si>
  <si>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</si>
  <si>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</si>
  <si>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</si>
  <si>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</si>
  <si>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</si>
  <si>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</si>
  <si>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</si>
  <si>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</si>
  <si>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</si>
  <si>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</si>
  <si>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</si>
  <si>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</si>
  <si>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</si>
  <si>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</si>
  <si>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</si>
  <si>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</si>
  <si>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</si>
  <si>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</si>
  <si>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</si>
  <si>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</si>
  <si>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</si>
  <si>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</si>
  <si>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</si>
  <si>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</si>
  <si>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</si>
  <si>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</si>
  <si>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</si>
  <si>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</si>
  <si>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</si>
  <si>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</si>
  <si>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</si>
  <si>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</si>
  <si>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</si>
  <si>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</si>
  <si>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</si>
  <si>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</si>
  <si>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</si>
  <si>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</si>
  <si>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</si>
  <si>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</si>
  <si>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</si>
  <si>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</si>
  <si>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</si>
  <si>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</si>
  <si>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</si>
  <si>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</si>
  <si>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</si>
  <si>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</si>
  <si>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</si>
  <si>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</si>
  <si>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</si>
  <si>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</si>
  <si>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</si>
  <si>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</si>
  <si>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</si>
  <si>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</si>
  <si>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</si>
  <si>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</si>
  <si>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</si>
  <si>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</si>
  <si>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</si>
  <si>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</si>
  <si>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</si>
  <si>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</si>
  <si>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</si>
  <si>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</si>
  <si>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</si>
  <si>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</si>
  <si>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</si>
  <si>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</si>
  <si>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</si>
  <si>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</si>
  <si>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</si>
  <si>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</si>
  <si>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</si>
  <si>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</si>
  <si>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</si>
  <si>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</si>
  <si>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</si>
  <si>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</si>
  <si>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</si>
  <si>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</si>
  <si>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</si>
  <si>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</si>
  <si>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</si>
  <si>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</si>
  <si>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</si>
  <si>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</si>
  <si>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</si>
  <si>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</si>
  <si>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</si>
  <si>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</si>
  <si>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</si>
  <si>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</si>
  <si>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</si>
  <si>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</si>
  <si>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</si>
  <si>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</si>
  <si>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</si>
  <si>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</si>
  <si>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</si>
  <si>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</si>
  <si>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</si>
  <si>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</si>
  <si>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</si>
  <si>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</si>
  <si>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</si>
  <si>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</si>
  <si>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</si>
  <si>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</si>
  <si>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</si>
  <si>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</si>
  <si>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</si>
  <si>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</si>
  <si>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</si>
  <si>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</si>
  <si>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</si>
  <si>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</si>
  <si>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</si>
  <si>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</si>
  <si>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</si>
  <si>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</si>
  <si>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</si>
  <si>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</si>
  <si>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</si>
  <si>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</si>
  <si>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</si>
  <si>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</si>
  <si>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</si>
  <si>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</si>
  <si>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</si>
  <si>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</si>
  <si>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</si>
  <si>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</si>
  <si>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</si>
  <si>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</si>
  <si>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</si>
  <si>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</si>
  <si>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</si>
  <si>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</si>
  <si>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</si>
  <si>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</si>
  <si>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</si>
  <si>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</si>
  <si>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</si>
  <si>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</si>
  <si>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</si>
  <si>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</si>
  <si>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</si>
  <si>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</si>
  <si>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</si>
  <si>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</si>
  <si>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</si>
  <si>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</si>
  <si>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</si>
  <si>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</si>
  <si>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</si>
  <si>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</si>
  <si>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</si>
  <si>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</si>
  <si>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</si>
  <si>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</si>
  <si>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</si>
  <si>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</si>
  <si>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</si>
  <si>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</si>
  <si>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</si>
  <si>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</si>
  <si>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</si>
  <si>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</si>
  <si>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</si>
  <si>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</si>
  <si>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</si>
  <si>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</si>
  <si>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</si>
  <si>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</si>
  <si>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</si>
  <si>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</si>
  <si>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</si>
  <si>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</si>
  <si>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</si>
  <si>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</si>
  <si>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</si>
  <si>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</si>
  <si>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</si>
  <si>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</si>
  <si>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</si>
  <si>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</si>
  <si>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</si>
  <si>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</si>
  <si>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</si>
  <si>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</si>
  <si>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</si>
  <si>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</si>
  <si>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</si>
  <si>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</si>
  <si>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</si>
  <si>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</si>
  <si>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</si>
  <si>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</si>
  <si>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</si>
  <si>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</si>
  <si>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</si>
  <si>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CHINA FEIHE</t>
  </si>
  <si>
    <t>6186.HK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</si>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</sst>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6186.HK : CHINA FEIHE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397</v>
      </c>
      <c r="D3" s="287"/>
      <c r="E3" s="16"/>
      <c r="G3" s="7" t="s">
        <v>2</v>
      </c>
      <c r="H3" s="291" t="s">
        <v>398</v>
      </c>
      <c r="I3" s="292"/>
    </row>
    <row r="4" spans="1:11" ht="15.75" customHeight="1" x14ac:dyDescent="0.3">
      <c r="B4" s="5" t="s">
        <v>3</v>
      </c>
      <c r="C4" s="288" t="s">
        <v>396</v>
      </c>
      <c r="D4" s="289"/>
      <c r="E4" s="6"/>
      <c r="G4" s="5" t="s">
        <v>4</v>
      </c>
      <c r="H4" s="47">
        <v>6.61</v>
      </c>
      <c r="I4" s="48" t="s">
        <v>5</v>
      </c>
    </row>
    <row r="5" spans="1:11" ht="15.75" customHeight="1" x14ac:dyDescent="0.3">
      <c r="B5" s="5" t="s">
        <v>6</v>
      </c>
      <c r="C5" s="290">
        <v>44902</v>
      </c>
      <c r="D5" s="289"/>
      <c r="E5" s="268" t="str">
        <f ca="1">IF(C5+30&gt;=TODAY(),"Patience Premium","")</f>
        <v>Patience Premium</v>
      </c>
      <c r="G5" s="5" t="s">
        <v>7</v>
      </c>
      <c r="H5" s="293">
        <v>9068250112</v>
      </c>
      <c r="I5" s="294"/>
    </row>
    <row r="6" spans="1:11" ht="15.75" customHeight="1" x14ac:dyDescent="0.3">
      <c r="B6" s="13" t="s">
        <v>8</v>
      </c>
      <c r="C6" s="299">
        <v>44925</v>
      </c>
      <c r="D6" s="300"/>
      <c r="E6" s="268"/>
      <c r="G6" s="8" t="s">
        <v>9</v>
      </c>
      <c r="H6" s="304">
        <f>H4*H5/1000000</f>
        <v>59941.133240319999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9.7111945088265781</v>
      </c>
      <c r="I9" s="72">
        <f>IF(H9="NNI","NNI",1/H9)</f>
        <v>0.10297394404891103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>
        <f>IF('FCF Model'!C4&lt;=0,"Negative PEG",IFERROR(H9/('FCF Model'!C4*100),"NNI"))</f>
        <v>0.22176916863818666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16.905766179041436</v>
      </c>
      <c r="I11" s="43">
        <f>IF('Asset Model'!D53/'FCF Model'!C16&lt;0,"Negative EV",'Asset Model'!D53/'FCF Model'!C16)</f>
        <v>6.4646482462938311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399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0.89831689340324883</v>
      </c>
      <c r="I13" s="41" t="str">
        <f>IF(H12=Dashboard!I4,I4,H12&amp;"/"&amp;Dashboard!I4)</f>
        <v>CNY/HKD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0.44237852301241132</v>
      </c>
      <c r="D16" s="303"/>
      <c r="E16" s="302">
        <f>'Asset Model'!D6</f>
        <v>1.1245321655300683E-2</v>
      </c>
      <c r="F16" s="303"/>
      <c r="G16" s="36" t="s">
        <v>25</v>
      </c>
      <c r="H16" s="295">
        <f>C22/E16-1</f>
        <v>470.30710551989864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0.64992797027245697</v>
      </c>
      <c r="D17" s="33">
        <f>'FCF Model'!F63</f>
        <v>1.1314293302084004</v>
      </c>
      <c r="E17" s="33">
        <f>'Asset Model'!H5</f>
        <v>1.6521256567162572E-2</v>
      </c>
      <c r="F17" s="33">
        <f>'Asset Model'!H6</f>
        <v>2.8761086007961352E-2</v>
      </c>
      <c r="G17" s="10" t="s">
        <v>27</v>
      </c>
      <c r="H17" s="297">
        <f ca="1">AVERAGE((1-'Qualitative Analysis'!E29),(1-'Qualitative Analysis'!E63),H16)+IF(C5+30&gt;=TODAY(),20%,0)</f>
        <v>157.02459072885509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v>0.14560000000000001</v>
      </c>
      <c r="D19" s="332"/>
      <c r="E19" s="6"/>
      <c r="F19" s="6"/>
      <c r="G19" s="24" t="s">
        <v>28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5.3</v>
      </c>
      <c r="D22" s="314"/>
      <c r="E22" s="278" t="s">
        <v>32</v>
      </c>
      <c r="F22" s="270">
        <f>IF(Data!F3&lt;=0,"NNI",C22/((Data!F3*H13)/(H5/Data!C4)))</f>
        <v>7.7865856122210078</v>
      </c>
      <c r="G22" s="44" t="s">
        <v>33</v>
      </c>
      <c r="H22" s="348">
        <f>'FCF Model'!G63</f>
        <v>-0.68464668619756364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-0.64863209856904547</v>
      </c>
      <c r="D23" s="346"/>
      <c r="E23" s="279" t="s">
        <v>35</v>
      </c>
      <c r="F23" s="33">
        <f>C22/(Data!C25*H13*Data!C4/Common_Shares)</f>
        <v>13.555304198021121</v>
      </c>
      <c r="G23" s="44" t="s">
        <v>36</v>
      </c>
      <c r="H23" s="349">
        <f ca="1">D10+D12*(1+H17)</f>
        <v>7.1411065827984785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-7.789738681367524</v>
      </c>
      <c r="D24" s="344"/>
      <c r="E24" s="6"/>
      <c r="F24" s="6"/>
      <c r="G24" s="269" t="s">
        <v>38</v>
      </c>
      <c r="H24" s="337">
        <f ca="1">H22-H23</f>
        <v>-7.8257532689960421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2.747169811320755E-2</v>
      </c>
      <c r="D25" s="334"/>
      <c r="E25" s="6"/>
      <c r="F25" s="6"/>
      <c r="G25" s="269" t="s">
        <v>40</v>
      </c>
      <c r="H25" s="335">
        <f>C19/H4</f>
        <v>2.2027231467473526E-2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/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50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51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6871044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0.7060505891265596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7109702.25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0.43789651052307721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22776265</v>
      </c>
      <c r="D7" s="51">
        <v>18592465</v>
      </c>
      <c r="E7" s="51">
        <v>13721509</v>
      </c>
      <c r="F7" s="51">
        <v>10391917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0.22502664385814364</v>
      </c>
      <c r="D8" s="15">
        <f t="shared" si="0"/>
        <v>0.35498690413714695</v>
      </c>
      <c r="E8" s="15">
        <f t="shared" si="0"/>
        <v>0.32040209712991352</v>
      </c>
      <c r="F8" s="15">
        <f t="shared" si="0"/>
        <v>2.8652784235251234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6768676</v>
      </c>
      <c r="D9" s="51">
        <v>5112187</v>
      </c>
      <c r="E9" s="51">
        <v>4111918</v>
      </c>
      <c r="F9" s="51">
        <v>3372827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0.7028188774586176</v>
      </c>
      <c r="D10" s="15">
        <f t="shared" si="1"/>
        <v>0.72503984813202549</v>
      </c>
      <c r="E10" s="15">
        <f t="shared" si="1"/>
        <v>0.70033048114460295</v>
      </c>
      <c r="F10" s="15">
        <f t="shared" si="1"/>
        <v>0.67543745778570019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6527986</v>
      </c>
      <c r="D11" s="51">
        <v>5426389</v>
      </c>
      <c r="E11" s="51">
        <v>4053661</v>
      </c>
      <c r="F11" s="51">
        <v>3830437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0.28661354265064976</v>
      </c>
      <c r="D12" s="15">
        <f t="shared" si="2"/>
        <v>0.29185957859810407</v>
      </c>
      <c r="E12" s="15">
        <f t="shared" si="2"/>
        <v>0.29542384879097477</v>
      </c>
      <c r="F12" s="15">
        <f t="shared" si="2"/>
        <v>0.3685977284075691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0.41620533480796784</v>
      </c>
      <c r="D13" s="15">
        <f t="shared" si="3"/>
        <v>0.43318026953392141</v>
      </c>
      <c r="E13" s="15">
        <f t="shared" si="3"/>
        <v>0.40490663235362817</v>
      </c>
      <c r="F13" s="15">
        <f t="shared" si="3"/>
        <v>0.30683972937813109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9479603</v>
      </c>
      <c r="D14" s="34">
        <f t="shared" si="4"/>
        <v>8053889</v>
      </c>
      <c r="E14" s="34">
        <f t="shared" si="4"/>
        <v>5555930</v>
      </c>
      <c r="F14" s="34">
        <f t="shared" si="4"/>
        <v>3188653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0.17702180896707168</v>
      </c>
      <c r="D15" s="15">
        <f t="shared" ref="D15:M15" si="5">IF(E14="","",IF(ABS(D14+E14)=ABS(D14)+ABS(E14),IF(D14&lt;0,-1,1)*(D14-E14)/E14,"Turn"))</f>
        <v>0.44960231680384743</v>
      </c>
      <c r="E15" s="15">
        <f t="shared" si="5"/>
        <v>0.74240658986725738</v>
      </c>
      <c r="F15" s="15">
        <f t="shared" si="5"/>
        <v>13.00626814665794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7109702.25</v>
      </c>
      <c r="D16" s="34">
        <f>IF(D14="","",D14*(1-'FCF Model'!$D$17))</f>
        <v>6040416.75</v>
      </c>
      <c r="E16" s="34">
        <f>IF(E14="","",E14*(1-'FCF Model'!$D$17))</f>
        <v>4166947.5</v>
      </c>
      <c r="F16" s="34">
        <f>IF(F14="","",F14*(1-'FCF Model'!$D$17))</f>
        <v>2391489.75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29152</v>
      </c>
      <c r="D17" s="51">
        <v>50160</v>
      </c>
      <c r="E17" s="51">
        <v>72693</v>
      </c>
      <c r="F17" s="51">
        <v>58675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6871044</v>
      </c>
      <c r="D18" s="51">
        <v>7436873</v>
      </c>
      <c r="E18" s="51">
        <v>3934577</v>
      </c>
      <c r="F18" s="51">
        <v>2242254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0.30167562592022878</v>
      </c>
      <c r="D19" s="15">
        <f t="shared" si="6"/>
        <v>0.39999392226904823</v>
      </c>
      <c r="E19" s="15">
        <f t="shared" si="6"/>
        <v>0.28674521147783383</v>
      </c>
      <c r="F19" s="15">
        <f t="shared" si="6"/>
        <v>0.21576904434475372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2925507</v>
      </c>
      <c r="D20" s="51">
        <v>18544395</v>
      </c>
      <c r="E20" s="51">
        <v>17288577</v>
      </c>
      <c r="F20" s="51">
        <v>7294725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972761</v>
      </c>
      <c r="D21" s="51">
        <v>7107369</v>
      </c>
      <c r="E21" s="51">
        <v>7438500</v>
      </c>
      <c r="F21" s="51">
        <v>4860234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890177</v>
      </c>
      <c r="D22" s="51">
        <v>546585</v>
      </c>
      <c r="E22" s="51">
        <v>3151359</v>
      </c>
      <c r="F22" s="51">
        <v>1142337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2335</v>
      </c>
      <c r="D23" s="51">
        <v>871473</v>
      </c>
      <c r="E23" s="51">
        <v>1844550</v>
      </c>
      <c r="F23" s="51">
        <v>792103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1418058</v>
      </c>
      <c r="E24" s="34">
        <f t="shared" si="7"/>
        <v>4995909</v>
      </c>
      <c r="F24" s="34">
        <f t="shared" si="7"/>
        <v>1934440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3946940</v>
      </c>
      <c r="D25" s="51">
        <v>19185525</v>
      </c>
      <c r="E25" s="51">
        <v>13029578</v>
      </c>
      <c r="F25" s="51">
        <v>5787484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138648</v>
      </c>
      <c r="D26" s="51">
        <v>1438416</v>
      </c>
      <c r="E26" s="51">
        <v>0</v>
      </c>
      <c r="F26" s="51">
        <v>0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1659687</v>
      </c>
      <c r="D27" s="51">
        <v>10058767</v>
      </c>
      <c r="E27" s="51">
        <v>7377470</v>
      </c>
      <c r="F27" s="51">
        <v>3640836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1835208</v>
      </c>
      <c r="D28" s="51">
        <v>7689561</v>
      </c>
      <c r="E28" s="51">
        <v>4502426</v>
      </c>
      <c r="F28" s="51">
        <v>3009021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-3.1900215125478963</v>
      </c>
      <c r="D29" s="15">
        <f t="shared" si="8"/>
        <v>0.41447554678348997</v>
      </c>
      <c r="E29" s="15">
        <f t="shared" si="8"/>
        <v>0.33168896057369962</v>
      </c>
      <c r="F29" s="15">
        <f t="shared" si="8"/>
        <v>0.56949918262451471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274875.65999999997</v>
      </c>
      <c r="D30" s="34">
        <f t="shared" ref="D30:M30" si="9">IF(E7="","",(D7-E7)*$D$49)</f>
        <v>320021.80919999996</v>
      </c>
      <c r="E30" s="34">
        <f t="shared" si="9"/>
        <v>218754.19439999998</v>
      </c>
      <c r="F30" s="34">
        <f t="shared" si="9"/>
        <v>506112.52589999995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-5579477.3399999999</v>
      </c>
      <c r="D31" s="34">
        <f t="shared" si="10"/>
        <v>3507156.8092</v>
      </c>
      <c r="E31" s="34">
        <f t="shared" si="10"/>
        <v>1712159.1943999999</v>
      </c>
      <c r="F31" s="34">
        <f t="shared" si="10"/>
        <v>2219747.5258999998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-0.7847694803252836</v>
      </c>
      <c r="D32" s="15">
        <f t="shared" si="11"/>
        <v>0.58061503938449277</v>
      </c>
      <c r="E32" s="15">
        <f t="shared" si="11"/>
        <v>0.41089051263544835</v>
      </c>
      <c r="F32" s="15">
        <f t="shared" si="11"/>
        <v>0.92818609233010507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10544816</v>
      </c>
      <c r="E33" s="70">
        <f t="shared" si="12"/>
        <v>10648017</v>
      </c>
      <c r="F33" s="70">
        <f t="shared" si="12"/>
        <v>4081088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0.11861140865480982</v>
      </c>
      <c r="D35" s="72">
        <f>IF(D16="","",(D16*$C$4)/(Dashboard!$H$6*1000000))</f>
        <v>0.10077248165766832</v>
      </c>
      <c r="E35" s="72">
        <f>IF(E16="","",(E16*$C$4)/(Dashboard!$H$6*1000000))</f>
        <v>6.9517329331989688E-2</v>
      </c>
      <c r="F35" s="72">
        <f>IF(F16="","",(F16*$C$4)/(Dashboard!$H$6*1000000))</f>
        <v>3.9897306252317244E-2</v>
      </c>
      <c r="G35" s="72">
        <f>IF(G16="","",(G16*$C$4)/(Dashboard!$H$6*1000000))</f>
        <v>2.8485322310380875E-3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0.11462986481173372</v>
      </c>
      <c r="D36" s="73">
        <f>IF(D18="","",(D18*$C$4)/(Dashboard!$H$6*1000000))</f>
        <v>0.12406960959819681</v>
      </c>
      <c r="E36" s="73">
        <f>IF(E18="","",(E18*$C$4)/(Dashboard!$H$6*1000000))</f>
        <v>6.5640684239739525E-2</v>
      </c>
      <c r="F36" s="73">
        <f>IF(F18="","",(F18*$C$4)/(Dashboard!$H$6*1000000))</f>
        <v>3.7407601071040908E-2</v>
      </c>
      <c r="G36" s="73">
        <f>IF(G18="","",(G18*$C$4)/(Dashboard!$H$6*1000000))</f>
        <v>3.2592476891742704E-3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0.31215400110597591</v>
      </c>
      <c r="D38" s="72">
        <f t="shared" si="13"/>
        <v>0.32488520215044103</v>
      </c>
      <c r="E38" s="72">
        <f t="shared" si="13"/>
        <v>0.30367997426522114</v>
      </c>
      <c r="F38" s="72">
        <f t="shared" si="13"/>
        <v>0.23012979703359832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2.1599490213959163</v>
      </c>
      <c r="D39" s="74">
        <f t="shared" si="14"/>
        <v>1.746096479748295</v>
      </c>
      <c r="E39" s="74">
        <f t="shared" si="14"/>
        <v>3.3622183594178807</v>
      </c>
      <c r="F39" s="74">
        <f t="shared" si="14"/>
        <v>5.5942253911601707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0.67423672921367239</v>
      </c>
      <c r="D40" s="73">
        <f t="shared" si="15"/>
        <v>0.56728090779719831</v>
      </c>
      <c r="E40" s="73">
        <f t="shared" si="15"/>
        <v>1.0210383848620761</v>
      </c>
      <c r="F40" s="73">
        <f t="shared" si="15"/>
        <v>1.2873979538278921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4.5423463783242836E-2</v>
      </c>
      <c r="E42" s="72">
        <f t="shared" si="16"/>
        <v>0.14156636538804249</v>
      </c>
      <c r="F42" s="72">
        <f t="shared" si="16"/>
        <v>0.136864827617666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7.3912910905487336E-2</v>
      </c>
      <c r="E43" s="15">
        <f t="shared" si="17"/>
        <v>0.38342830443165543</v>
      </c>
      <c r="F43" s="15">
        <f t="shared" si="17"/>
        <v>0.33424541648840844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10.621261114696496</v>
      </c>
      <c r="D44" s="77">
        <f t="shared" si="18"/>
        <v>5.679520160670438</v>
      </c>
      <c r="E44" s="77">
        <f t="shared" si="18"/>
        <v>1.1120959168791906</v>
      </c>
      <c r="F44" s="77">
        <f t="shared" si="18"/>
        <v>1.648359732015467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4.1003123583691565E-3</v>
      </c>
      <c r="D45" s="77">
        <f t="shared" si="19"/>
        <v>8.3040627950049968E-3</v>
      </c>
      <c r="E45" s="77">
        <f t="shared" si="19"/>
        <v>1.7445144197281104E-2</v>
      </c>
      <c r="F45" s="77">
        <f t="shared" si="19"/>
        <v>2.4534915945176015E-2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2.6091785863376447</v>
      </c>
      <c r="E46" s="78">
        <f t="shared" si="20"/>
        <v>2.3242020568663038</v>
      </c>
      <c r="F46" s="78">
        <f t="shared" si="20"/>
        <v>1.5008999566687531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9479603</v>
      </c>
      <c r="D69" s="99">
        <f>C69+C54-F66</f>
        <v>9479603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0.41620533480796784</v>
      </c>
      <c r="D70" s="100">
        <f t="shared" si="25"/>
        <v>0.41620533480796784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-5579477.3399999999</v>
      </c>
      <c r="D71" s="99">
        <f>C71+E65-F66</f>
        <v>-5579477.3399999999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7109702.25</v>
      </c>
      <c r="D72" s="99">
        <f>C72+C55</f>
        <v>7109702.25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6871044</v>
      </c>
      <c r="D73" s="99">
        <f>C73+C54-F66</f>
        <v>6871044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113518.28080826299</v>
      </c>
      <c r="E5" s="15">
        <f>1-D5/D3</f>
        <v>0.97123891399203865</v>
      </c>
      <c r="F5" s="6"/>
      <c r="G5" s="109" t="s">
        <v>134</v>
      </c>
      <c r="H5" s="30">
        <f>IF(Data!F3&lt;=0,"NNI",D6/((Data!F3*Dashboard!H13)/(Dashboard!H5/Data!C4)))</f>
        <v>1.6521256567162572E-2</v>
      </c>
      <c r="I5" s="6"/>
    </row>
    <row r="6" spans="1:9" ht="15" customHeight="1" x14ac:dyDescent="0.3">
      <c r="B6" s="80" t="s">
        <v>135</v>
      </c>
      <c r="D6" s="110">
        <f>(D5*Dashboard!H13*Data!C4)/Dashboard!H5</f>
        <v>1.1245321655300683E-2</v>
      </c>
      <c r="E6" s="111"/>
      <c r="G6" s="109" t="s">
        <v>136</v>
      </c>
      <c r="H6" s="30">
        <f>D6/(Data!C25*Dashboard!H13*Data!C4/Common_Shares)</f>
        <v>2.8761086007961352E-2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3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3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3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3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3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3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3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3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3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3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2343950.6691917372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65" customHeight="1" x14ac:dyDescent="0.3">
      <c r="B48" s="80" t="s">
        <v>195</v>
      </c>
      <c r="C48" s="6"/>
      <c r="D48" s="339">
        <f>Data!C24+D46+D47</f>
        <v>892512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143</v>
      </c>
      <c r="C52" s="6"/>
      <c r="D52" s="339">
        <f>C10+C32</f>
        <v>1659687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61282298.909511738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0.43789651052307721</v>
      </c>
      <c r="D4" s="128">
        <f>IF(E7="",D16/C16-1,(G16/C16)^(1/4)-1)</f>
        <v>-0.95476893703291166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0.22502664385814364</v>
      </c>
      <c r="D7" s="132">
        <f>D8/C8-1</f>
        <v>-0.8214690600061072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22776265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6768676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0.7028188774586176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16007589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0.28661354265064976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6527986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0.41620533480796784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0.17702180896707168</v>
      </c>
      <c r="D15" s="139">
        <f>IF(ABS(C16+D16)=ABS(C16)+ABS(D16),IF(D16&lt;0,-1,1)*(D16-C16)/C16,"Turn")</f>
        <v>-0.95476893703291155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9479603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7109702.25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-0.7847694803252836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-5579477.3399999999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231</v>
      </c>
      <c r="C32" s="163">
        <f>'Asset Model'!D51</f>
        <v>168341.3</v>
      </c>
    </row>
    <row r="33" spans="2:13" ht="15.75" customHeight="1" x14ac:dyDescent="0.3">
      <c r="B33" s="107" t="s">
        <v>232</v>
      </c>
      <c r="C33" s="163">
        <f>Data!C27</f>
        <v>1659687</v>
      </c>
    </row>
    <row r="34" spans="2:13" ht="15.75" customHeight="1" x14ac:dyDescent="0.3">
      <c r="B34" s="80" t="s">
        <v>233</v>
      </c>
      <c r="C34" s="163">
        <f>'Asset Model'!D48</f>
        <v>892512</v>
      </c>
    </row>
    <row r="35" spans="2:13" ht="15.75" customHeight="1" thickBot="1" x14ac:dyDescent="0.35">
      <c r="B35" s="165" t="s">
        <v>234</v>
      </c>
      <c r="C35" s="163">
        <f>'Asset Model'!E43</f>
        <v>2343950.6691917372</v>
      </c>
    </row>
    <row r="36" spans="2:13" ht="15.75" customHeight="1" thickTop="1" x14ac:dyDescent="0.3">
      <c r="B36" s="5" t="s">
        <v>235</v>
      </c>
      <c r="C36" s="166">
        <f>C30+C31+(C32+C33-C34-C35)</f>
        <v>2340335.1722314944</v>
      </c>
      <c r="D36" s="167" t="str">
        <f>Dashboard!H12</f>
        <v>CNY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0.23183774107192967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2358355.4177364819</v>
      </c>
      <c r="D44" s="167" t="str">
        <f>Dashboard!H12</f>
        <v>CNY</v>
      </c>
      <c r="E44" s="170" t="s">
        <v>134</v>
      </c>
      <c r="F44" s="30">
        <f>IF(Data!F3&lt;=0,"NNI",C45/((Data!F3*Exchange_Rate)/(Common_Shares/Data!C4)))</f>
        <v>0.34323101667468314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0.23362285846067291</v>
      </c>
      <c r="D45" s="76" t="str">
        <f>Dashboard!I4</f>
        <v>HKD</v>
      </c>
      <c r="E45" s="170" t="s">
        <v>136</v>
      </c>
      <c r="F45" s="30">
        <f>C45/(Data!C25*Exchange_Rate*Data!C4/Common_Shares)</f>
        <v>0.59751488944257614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0.23362285846067291</v>
      </c>
      <c r="G49" s="187">
        <f>IF(Data!F$3&lt;=0,"NNI",F49/((Data!F$3*Exchange_Rate)/(Common_Shares/Data!C$4)))</f>
        <v>0.34323101667468314</v>
      </c>
      <c r="I49" s="134" t="s">
        <v>244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0.27126345330015289</v>
      </c>
      <c r="G50" s="188">
        <f>IF(Data!F$3&lt;=0,"NNI",F50/((Data!F$3*Exchange_Rate)/(Common_Shares/Data!C$4)))</f>
        <v>0.39853134011101055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0.35138799195766368</v>
      </c>
      <c r="G51" s="188">
        <f>IF(Data!F$3&lt;=0,"NNI",F51/((Data!F$3*Exchange_Rate)/(Common_Shares/Data!C$4)))</f>
        <v>0.51624767594052368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0.4576001331782702</v>
      </c>
      <c r="G52" s="188">
        <f>IF(Data!F$3&lt;=0,"NNI",F52/((Data!F$3*Exchange_Rate)/(Common_Shares/Data!C$4)))</f>
        <v>0.67229105908610109</v>
      </c>
      <c r="I52" s="134" t="s">
        <v>245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0.53634181098700806</v>
      </c>
      <c r="G53" s="188">
        <f>IF(Data!F$3&lt;=0,"NNI",F53/((Data!F$3*Exchange_Rate)/(Common_Shares/Data!C$4)))</f>
        <v>0.78797574125735781</v>
      </c>
      <c r="I53" s="134"/>
    </row>
    <row r="54" spans="1:12" ht="15.75" customHeight="1" x14ac:dyDescent="0.3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0.55948286521388479</v>
      </c>
      <c r="G54" s="190">
        <f>IF(Data!F$3&lt;=0,"NNI",F54/((Data!F$3*Exchange_Rate)/(Common_Shares/Data!C$4)))</f>
        <v>0.82197381670917369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0.23183774107192967</v>
      </c>
      <c r="D57" s="26" t="str">
        <f>IF(C57&lt;E57,"&lt;",IF(C57=E57,"=","&gt;"))</f>
        <v>&lt;</v>
      </c>
      <c r="E57" s="196">
        <f>F54</f>
        <v>0.55948286521388479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-0.68464668619756364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-6.7653149010885754</v>
      </c>
      <c r="K59" s="276">
        <f t="dataTable" ref="K59:K60" dt2D="0" dtr="0" r1="C60" ca="1"/>
        <v>-0.68464668619756364</v>
      </c>
    </row>
    <row r="60" spans="1:12" ht="15.75" hidden="1" customHeight="1" x14ac:dyDescent="0.3">
      <c r="B60" s="6"/>
      <c r="C60" s="186">
        <f>J59</f>
        <v>-6.7653149010885754</v>
      </c>
      <c r="D60" s="186">
        <f>D22/(Dashboard!H5/Data!C4)</f>
        <v>1.9848202510023002E-2</v>
      </c>
      <c r="E60" s="186">
        <f>IF(E7="",I60,E22)/(Dashboard!H5/Data!C4)</f>
        <v>0.66653589499795185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6044314.2044671969</v>
      </c>
      <c r="J60" s="277">
        <f>-Dashboard!C22+(C32+C33-C34-C35)/(Dashboard!H5/Data!C4)</f>
        <v>-5.4553149010885749</v>
      </c>
      <c r="K60" s="276">
        <v>-0.64863209856904547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0.44237852301241132</v>
      </c>
      <c r="D63" s="262" t="str">
        <f>D45</f>
        <v>HKD</v>
      </c>
      <c r="E63" s="263">
        <f>IF(Data!F3&lt;=0,"NNI",C63/((Data!F3*Exchange_Rate)/(Common_Shares/Data!C4)))</f>
        <v>0.64992797027245697</v>
      </c>
      <c r="F63" s="263">
        <f>C63/(Data!C25*Exchange_Rate*Data!C4/Common_Shares)</f>
        <v>1.1314293302084004</v>
      </c>
      <c r="G63" s="273">
        <f>IRR(C60:G60)</f>
        <v>-0.68464668619756364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3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3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3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3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3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3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3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2022-12-07T11:13:43Z</dcterms:modified>
  <cp:category/>
  <cp:contentStatus/>
</cp:coreProperties>
</file>