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"/>
    </mc:Choice>
  </mc:AlternateContent>
  <xr:revisionPtr revIDLastSave="0" documentId="13_ncr:1_{6C3711EB-4960-934A-8BC5-E6484ECFB14C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F60" i="4"/>
  <c r="H25" i="1" l="1"/>
  <c r="C25" i="1"/>
  <c r="E4" i="4"/>
  <c r="D11" i="1"/>
  <c r="D13" i="1"/>
  <c r="C23" i="1"/>
  <c r="I13" i="1"/>
  <c r="E5" i="1"/>
  <c r="G60" i="4"/>
  <c r="D52" i="3"/>
  <c r="E4" i="2"/>
  <c r="D8" i="4"/>
  <c r="E8" i="4"/>
  <c r="E9" i="4"/>
  <c r="E11" i="4"/>
  <c r="E13" i="4"/>
  <c r="E10" i="3"/>
  <c r="G31" i="2"/>
  <c r="G32" i="2" s="1"/>
  <c r="H31" i="2"/>
  <c r="H32" i="2" s="1"/>
  <c r="I31" i="2"/>
  <c r="I32" i="2" s="1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J32" i="2"/>
  <c r="K32" i="2"/>
  <c r="L32" i="2"/>
  <c r="M32" i="2"/>
  <c r="D13" i="4"/>
  <c r="G28" i="2"/>
  <c r="G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D100" i="5" s="1" a="1"/>
  <c r="D100" i="5" s="1"/>
  <c r="E118" i="5"/>
  <c r="D111" i="5"/>
  <c r="D110" i="5"/>
  <c r="D109" i="5"/>
  <c r="D108" i="5"/>
  <c r="D107" i="5"/>
  <c r="D106" i="5"/>
  <c r="D105" i="5"/>
  <c r="D104" i="5"/>
  <c r="D103" i="5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D51" i="3" l="1"/>
  <c r="F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J39" i="2" l="1"/>
  <c r="E61" i="5"/>
  <c r="D61" i="5" s="1"/>
  <c r="D33" i="5"/>
  <c r="E20" i="3"/>
  <c r="D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H20" i="3" l="1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<sst xmlns="http://schemas.openxmlformats.org/spreadsheetml/2006/main" count="471" uniqueCount="400">
  <si>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</si>
  <si>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</si>
  <si>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</si>
  <si>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</si>
  <si>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</si>
  <si>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</si>
  <si>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</si>
  <si>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</si>
  <si>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</si>
  <si>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</si>
  <si>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</si>
  <si>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</si>
  <si>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</si>
  <si>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</si>
  <si>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</si>
  <si>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</si>
  <si>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</si>
  <si>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</si>
  <si>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</si>
  <si>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</si>
  <si>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</si>
  <si>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</si>
  <si>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</si>
  <si>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</si>
  <si>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</si>
  <si>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</si>
  <si>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</si>
  <si>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</si>
  <si>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</si>
  <si>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</si>
  <si>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</si>
  <si>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</si>
  <si>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</si>
  <si>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</si>
  <si>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</si>
  <si>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</si>
  <si>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</si>
  <si>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</si>
  <si>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</si>
  <si>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</si>
  <si>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</si>
  <si>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</si>
  <si>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</si>
  <si>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</si>
  <si>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</si>
  <si>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</si>
  <si>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</si>
  <si>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</si>
  <si>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</si>
  <si>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</si>
  <si>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</si>
  <si>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</si>
  <si>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</si>
  <si>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</si>
  <si>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</si>
  <si>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</si>
  <si>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</si>
  <si>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</si>
  <si>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</si>
  <si>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</si>
  <si>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</si>
  <si>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</si>
  <si>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</si>
  <si>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</si>
  <si>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</si>
  <si>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</si>
  <si>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</si>
  <si>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</si>
  <si>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</si>
  <si>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</si>
  <si>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</si>
  <si>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</si>
  <si>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</si>
  <si>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</si>
  <si>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</si>
  <si>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</si>
  <si>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</si>
  <si>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</si>
  <si>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</si>
  <si>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</si>
  <si>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</si>
  <si>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</si>
  <si>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</si>
  <si>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</si>
  <si>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</si>
  <si>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</si>
  <si>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</si>
  <si>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</si>
  <si>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</si>
  <si>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</si>
  <si>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</si>
  <si>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</si>
  <si>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</si>
  <si>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</si>
  <si>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</si>
  <si>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</si>
  <si>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</si>
  <si>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</si>
  <si>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</si>
  <si>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</si>
  <si>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</si>
  <si>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</si>
  <si>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</si>
  <si>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</si>
  <si>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</si>
  <si>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</si>
  <si>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</si>
  <si>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</si>
  <si>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</si>
  <si>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</si>
  <si>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</si>
  <si>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</si>
  <si>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</si>
  <si>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</si>
  <si>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</si>
  <si>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</si>
  <si>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</si>
  <si>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</si>
  <si>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</si>
  <si>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</si>
  <si>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</si>
  <si>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</si>
  <si>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</si>
  <si>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</si>
  <si>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</si>
  <si>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</si>
  <si>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</si>
  <si>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</si>
  <si>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</si>
  <si>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</si>
  <si>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</si>
  <si>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</si>
  <si>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</si>
  <si>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</si>
  <si>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</si>
  <si>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</si>
  <si>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</si>
  <si>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</si>
  <si>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</si>
  <si>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</si>
  <si>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</si>
  <si>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</si>
  <si>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</si>
  <si>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</si>
  <si>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</si>
  <si>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</si>
  <si>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</si>
  <si>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</si>
  <si>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</si>
  <si>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</si>
  <si>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</si>
  <si>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</si>
  <si>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</si>
  <si>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</si>
  <si>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</si>
  <si>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</si>
  <si>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</si>
  <si>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</si>
  <si>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</si>
  <si>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</si>
  <si>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</si>
  <si>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</si>
  <si>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</si>
  <si>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</si>
  <si>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</si>
  <si>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</si>
  <si>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</si>
  <si>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</si>
  <si>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</si>
  <si>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</si>
  <si>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</si>
  <si>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</si>
  <si>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</si>
  <si>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</si>
  <si>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</si>
  <si>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</si>
  <si>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</si>
  <si>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</si>
  <si>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</si>
  <si>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</si>
  <si>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</si>
  <si>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</si>
  <si>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</si>
  <si>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</si>
  <si>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</si>
  <si>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</si>
  <si>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</si>
  <si>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</si>
  <si>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</si>
  <si>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</si>
  <si>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</si>
  <si>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</si>
  <si>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</si>
  <si>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</si>
  <si>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</si>
  <si>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</si>
  <si>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</si>
  <si>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</si>
  <si>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</si>
  <si>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</si>
  <si>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</si>
  <si>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</si>
  <si>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</si>
  <si>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</si>
  <si>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</si>
  <si>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</si>
  <si>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</si>
  <si>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</si>
  <si>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</si>
  <si>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</si>
  <si>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</si>
  <si>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</si>
  <si>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</si>
  <si>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</si>
  <si>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</si>
  <si>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</si>
  <si>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</si>
  <si>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</si>
  <si>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</si>
  <si>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</si>
  <si>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</si>
  <si>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</si>
  <si>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</si>
  <si>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</si>
  <si>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</si>
  <si>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</si>
  <si>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</si>
  <si>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</si>
  <si>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</si>
  <si>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</si>
  <si>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</si>
  <si>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</si>
  <si>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</si>
  <si>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</si>
  <si>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</si>
  <si>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</si>
  <si>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</si>
  <si>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</si>
  <si>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</si>
  <si>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</si>
  <si>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</si>
  <si>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</si>
  <si>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</si>
  <si>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</si>
  <si>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</si>
  <si>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</si>
  <si>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</si>
  <si>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</si>
  <si>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</si>
  <si>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</si>
  <si>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</si>
  <si>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</si>
  <si>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</si>
  <si>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</si>
  <si>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</si>
  <si>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</si>
  <si>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</si>
  <si>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</si>
  <si>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</si>
  <si>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</si>
  <si>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</si>
  <si>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</si>
  <si>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</si>
  <si>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</si>
  <si>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</si>
  <si>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</si>
  <si>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</si>
  <si>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</si>
  <si>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</si>
  <si>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</si>
  <si>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</si>
  <si>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</si>
  <si>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</si>
  <si>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</si>
  <si>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</si>
  <si>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</si>
  <si>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</si>
  <si>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</si>
  <si>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</si>
  <si>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</si>
  <si>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</si>
  <si>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</si>
  <si>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</si>
  <si>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</si>
  <si>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</si>
  <si>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</si>
  <si>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</si>
  <si>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</si>
  <si>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</si>
  <si>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</si>
  <si>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</si>
  <si>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</si>
  <si>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</si>
  <si>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</si>
  <si>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</si>
  <si>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</si>
  <si>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</si>
  <si>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</si>
  <si>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</si>
  <si>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</si>
  <si>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</si>
  <si>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</si>
  <si>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</si>
  <si>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</si>
  <si>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</si>
  <si>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</si>
  <si>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</si>
  <si>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</si>
  <si>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</si>
  <si>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</si>
  <si>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</si>
  <si>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</si>
  <si>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</si>
  <si>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</si>
  <si>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</si>
  <si>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</si>
  <si>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</si>
  <si>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</si>
  <si>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</si>
  <si>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</si>
  <si>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</si>
  <si>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</si>
  <si>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</si>
  <si>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</si>
  <si>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</si>
  <si>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</si>
  <si>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</si>
  <si>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</si>
  <si>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</si>
  <si>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</si>
  <si>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</si>
  <si>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</si>
  <si>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</si>
  <si>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</si>
  <si>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</si>
  <si>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</si>
  <si>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</si>
  <si>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</si>
  <si>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</si>
  <si>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</si>
  <si>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</si>
  <si>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</si>
  <si>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</si>
  <si>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</si>
  <si>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</si>
  <si>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</si>
  <si>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</si>
  <si>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</si>
  <si>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</si>
  <si>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</si>
  <si>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</si>
  <si>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</si>
  <si>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</si>
  <si>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</si>
  <si>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</si>
  <si>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</si>
  <si>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</si>
  <si>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</si>
  <si>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</si>
  <si>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</si>
  <si>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</si>
  <si>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</si>
  <si>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</si>
  <si>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</si>
  <si>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</si>
  <si>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</si>
  <si>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</si>
  <si>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</si>
  <si>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</si>
  <si>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</si>
  <si>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</si>
  <si>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</si>
  <si>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</si>
  <si>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</si>
  <si>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</si>
  <si>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</si>
  <si>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</si>
  <si>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</si>
  <si>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</si>
  <si>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</si>
  <si>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</si>
  <si>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</si>
  <si>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</si>
  <si>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</si>
  <si>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</si>
  <si>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</si>
  <si>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</si>
  <si>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</si>
  <si>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</si>
  <si>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</si>
  <si>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</si>
  <si>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</si>
  <si>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</si>
  <si>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</si>
  <si>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</si>
  <si>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</si>
  <si>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CRRC</t>
  </si>
  <si>
    <t>1766.HK</t>
  </si>
  <si>
    <t>HKG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</si>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</sst>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7" fillId="0" borderId="17" xfId="0" applyFont="1" applyBorder="1"/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zoomScale="103" workbookViewId="0">
      <selection activeCell="C25" sqref="C25:D25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316" t="str">
        <f>C3&amp;" : "&amp;C4</f>
        <v>1766.HK : CRRC</v>
      </c>
      <c r="D2" s="329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330" t="s">
        <v>397</v>
      </c>
      <c r="D3" s="331"/>
      <c r="E3" s="16"/>
      <c r="G3" s="7" t="s">
        <v>2</v>
      </c>
      <c r="H3" s="335" t="s">
        <v>398</v>
      </c>
      <c r="I3" s="336"/>
    </row>
    <row r="4" spans="1:11" ht="15.75" customHeight="1" x14ac:dyDescent="0.15">
      <c r="B4" s="5" t="s">
        <v>3</v>
      </c>
      <c r="C4" s="332" t="s">
        <v>396</v>
      </c>
      <c r="D4" s="333"/>
      <c r="E4" s="6"/>
      <c r="G4" s="5" t="s">
        <v>4</v>
      </c>
      <c r="H4" s="47">
        <v>3.11</v>
      </c>
      <c r="I4" s="48" t="s">
        <v>5</v>
      </c>
    </row>
    <row r="5" spans="1:11" ht="15.75" customHeight="1" x14ac:dyDescent="0.15">
      <c r="B5" s="5" t="s">
        <v>6</v>
      </c>
      <c r="C5" s="334">
        <v>44902</v>
      </c>
      <c r="D5" s="333"/>
      <c r="E5" s="268" t="str">
        <f ca="1">IF(C5+30&gt;=TODAY(),"Patience Premium","")</f>
        <v>Patience Premium</v>
      </c>
      <c r="G5" s="5" t="s">
        <v>7</v>
      </c>
      <c r="H5" s="337">
        <v>4371069952</v>
      </c>
      <c r="I5" s="338"/>
    </row>
    <row r="6" spans="1:11" ht="15.75" customHeight="1" x14ac:dyDescent="0.15">
      <c r="B6" s="13" t="s">
        <v>8</v>
      </c>
      <c r="C6" s="343">
        <v>45015</v>
      </c>
      <c r="D6" s="323"/>
      <c r="E6" s="268"/>
      <c r="G6" s="8" t="s">
        <v>9</v>
      </c>
      <c r="H6" s="344">
        <f>H4*H5/1000000</f>
        <v>13594.027550719999</v>
      </c>
      <c r="I6" s="345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15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1.4688299840867927</v>
      </c>
      <c r="I9" s="72">
        <f>IF(H9="NNI","NNI",1/H9)</f>
        <v>0.68081398857181163</v>
      </c>
    </row>
    <row r="10" spans="1:11" ht="15.75" customHeight="1" x14ac:dyDescent="0.15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46" t="str">
        <f>IF('FCF Model'!C4&lt;=0,"Negative PEG",IFERROR(H9/('FCF Model'!C4*100),"NNI"))</f>
        <v>Negative PEG</v>
      </c>
      <c r="I10" s="347"/>
    </row>
    <row r="11" spans="1:11" ht="15.75" customHeight="1" x14ac:dyDescent="0.15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3.8340524908416422</v>
      </c>
      <c r="I11" s="43">
        <f>IF('Asset Model'!D53/'FCF Model'!C16&lt;0,"Negative EV",'Asset Model'!D53/'FCF Model'!C16)</f>
        <v>1.0439970892493855</v>
      </c>
    </row>
    <row r="12" spans="1:11" ht="15.75" customHeight="1" x14ac:dyDescent="0.15">
      <c r="B12" s="20" t="s">
        <v>17</v>
      </c>
      <c r="C12" s="248"/>
      <c r="D12" s="15">
        <v>4.4999999999999998E-2</v>
      </c>
      <c r="E12" s="5"/>
      <c r="G12" s="7" t="s">
        <v>18</v>
      </c>
      <c r="H12" s="335" t="s">
        <v>399</v>
      </c>
      <c r="I12" s="336"/>
    </row>
    <row r="13" spans="1:11" ht="15.75" customHeight="1" x14ac:dyDescent="0.15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0.89831689340324883</v>
      </c>
      <c r="I13" s="41" t="str">
        <f>IF(H12=Dashboard!I4,I4,H12&amp;"/"&amp;Dashboard!I4)</f>
        <v>CNY/HKD</v>
      </c>
    </row>
    <row r="14" spans="1:11" ht="15.75" customHeight="1" x14ac:dyDescent="0.15"/>
    <row r="15" spans="1:11" ht="15.75" customHeight="1" x14ac:dyDescent="0.15">
      <c r="A15" s="11"/>
      <c r="B15" s="22" t="s">
        <v>21</v>
      </c>
      <c r="C15" s="316" t="s">
        <v>22</v>
      </c>
      <c r="D15" s="317"/>
      <c r="E15" s="316" t="s">
        <v>23</v>
      </c>
      <c r="F15" s="317"/>
      <c r="G15" s="13"/>
      <c r="H15" s="13"/>
      <c r="I15" s="8"/>
    </row>
    <row r="16" spans="1:11" ht="15.75" customHeight="1" x14ac:dyDescent="0.15">
      <c r="A16" s="6"/>
      <c r="B16" s="20" t="s">
        <v>24</v>
      </c>
      <c r="C16" s="318">
        <f>'FCF Model'!C63</f>
        <v>1.2902284816982712</v>
      </c>
      <c r="D16" s="309"/>
      <c r="E16" s="318">
        <f>'Asset Model'!D6</f>
        <v>0.39579674200381204</v>
      </c>
      <c r="F16" s="309"/>
      <c r="G16" s="36" t="s">
        <v>25</v>
      </c>
      <c r="H16" s="339">
        <f>C22/E16-1</f>
        <v>12.390711538370757</v>
      </c>
      <c r="I16" s="340"/>
      <c r="J16" s="6"/>
      <c r="K16" s="6"/>
    </row>
    <row r="17" spans="1:12" ht="15.75" customHeight="1" x14ac:dyDescent="0.15">
      <c r="B17" s="21" t="s">
        <v>26</v>
      </c>
      <c r="C17" s="33">
        <f>'FCF Model'!E63</f>
        <v>0.60936536342160719</v>
      </c>
      <c r="D17" s="33">
        <f>'FCF Model'!F63</f>
        <v>1.5906121299067804</v>
      </c>
      <c r="E17" s="33">
        <f>'Asset Model'!H5</f>
        <v>0.18693187210902368</v>
      </c>
      <c r="F17" s="33">
        <f>'Asset Model'!H6</f>
        <v>0.48794388570634162</v>
      </c>
      <c r="G17" s="10" t="s">
        <v>27</v>
      </c>
      <c r="H17" s="341">
        <f ca="1">AVERAGE((1-'Qualitative Analysis'!E29),(1-'Qualitative Analysis'!E63),H16)+IF(C5+30&gt;=TODAY(),20%,0)</f>
        <v>4.3857927350124744</v>
      </c>
      <c r="I17" s="342"/>
      <c r="J17" s="6"/>
      <c r="L17" s="6"/>
    </row>
    <row r="18" spans="1:12" ht="15.75" customHeight="1" x14ac:dyDescent="0.15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15">
      <c r="A19" s="6"/>
      <c r="B19" s="24" t="s">
        <v>28</v>
      </c>
      <c r="C19" s="284">
        <v>0.14560000000000001</v>
      </c>
      <c r="D19" s="284"/>
      <c r="E19" s="6"/>
      <c r="F19" s="6"/>
      <c r="G19" s="24" t="s">
        <v>28</v>
      </c>
      <c r="H19" s="328">
        <v>3</v>
      </c>
      <c r="I19" s="328"/>
      <c r="J19" s="6"/>
      <c r="K19" s="6"/>
    </row>
    <row r="20" spans="1:12" ht="15.75" customHeight="1" x14ac:dyDescent="0.15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15">
      <c r="B22" s="26" t="s">
        <v>31</v>
      </c>
      <c r="C22" s="319">
        <v>5.3</v>
      </c>
      <c r="D22" s="320"/>
      <c r="E22" s="278" t="s">
        <v>32</v>
      </c>
      <c r="F22" s="270">
        <f>IF(Data!F3&lt;=0,"NNI",C22/((Data!F3*H13)/(H5/Data!C4)))</f>
        <v>2.5031507767395502</v>
      </c>
      <c r="G22" s="44" t="s">
        <v>33</v>
      </c>
      <c r="H22" s="301">
        <f>'FCF Model'!G63</f>
        <v>-0.32818777766352203</v>
      </c>
      <c r="I22" s="301"/>
      <c r="J22" s="6"/>
      <c r="L22" s="6"/>
    </row>
    <row r="23" spans="1:12" ht="15.75" customHeight="1" x14ac:dyDescent="0.15">
      <c r="B23" s="36" t="s">
        <v>34</v>
      </c>
      <c r="C23" s="298">
        <f>'FCF Model'!K60</f>
        <v>-0.48985265825944424</v>
      </c>
      <c r="D23" s="299"/>
      <c r="E23" s="279" t="s">
        <v>35</v>
      </c>
      <c r="F23" s="33">
        <f>C22/(Data!C25*H13*Data!C4/Common_Shares)</f>
        <v>6.5339158204053707</v>
      </c>
      <c r="G23" s="44" t="s">
        <v>36</v>
      </c>
      <c r="H23" s="302">
        <f ca="1">D10+D12*(1+H17)</f>
        <v>0.27236067307556133</v>
      </c>
      <c r="I23" s="302"/>
      <c r="J23" s="6"/>
      <c r="L23" s="6"/>
    </row>
    <row r="24" spans="1:12" ht="15.75" customHeight="1" x14ac:dyDescent="0.15">
      <c r="B24" s="10" t="s">
        <v>37</v>
      </c>
      <c r="C24" s="296">
        <f ca="1">C23-H23</f>
        <v>-0.76221333133500557</v>
      </c>
      <c r="D24" s="297"/>
      <c r="E24" s="6"/>
      <c r="F24" s="6"/>
      <c r="G24" s="269" t="s">
        <v>38</v>
      </c>
      <c r="H24" s="287">
        <f ca="1">H22-H23</f>
        <v>-0.60054845073908336</v>
      </c>
      <c r="I24" s="287"/>
      <c r="J24" s="6"/>
      <c r="L24" s="6"/>
    </row>
    <row r="25" spans="1:12" ht="15.75" customHeight="1" x14ac:dyDescent="0.15">
      <c r="B25" s="10" t="s">
        <v>39</v>
      </c>
      <c r="C25" s="363">
        <f>C19/C22</f>
        <v>2.747169811320755E-2</v>
      </c>
      <c r="D25" s="364"/>
      <c r="E25" s="6"/>
      <c r="F25" s="6"/>
      <c r="G25" s="269" t="s">
        <v>40</v>
      </c>
      <c r="H25" s="285">
        <f>C19/H4</f>
        <v>4.6816720257234733E-2</v>
      </c>
      <c r="I25" s="286"/>
      <c r="J25" s="6"/>
      <c r="L25" s="6"/>
    </row>
    <row r="26" spans="1:12" ht="15.75" customHeight="1" x14ac:dyDescent="0.15">
      <c r="E26" s="6"/>
      <c r="F26" s="6"/>
      <c r="G26" s="44"/>
      <c r="H26" s="177"/>
      <c r="I26" s="177"/>
      <c r="J26" s="6"/>
      <c r="L26" s="6"/>
    </row>
    <row r="27" spans="1:12" ht="15.75" customHeight="1" x14ac:dyDescent="0.15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42</v>
      </c>
      <c r="C28" s="313"/>
      <c r="D28" s="314"/>
      <c r="E28" s="314"/>
      <c r="F28" s="314"/>
      <c r="G28" s="314"/>
      <c r="H28" s="314"/>
      <c r="I28" s="315"/>
      <c r="J28" s="6"/>
    </row>
    <row r="29" spans="1:12" ht="52.5" customHeight="1" x14ac:dyDescent="0.15">
      <c r="A29" s="6"/>
      <c r="B29" s="27" t="s">
        <v>43</v>
      </c>
      <c r="C29" s="321"/>
      <c r="D29" s="295"/>
      <c r="E29" s="295"/>
      <c r="F29" s="295"/>
      <c r="G29" s="321"/>
      <c r="H29" s="295"/>
      <c r="I29" s="295"/>
      <c r="J29" s="6"/>
    </row>
    <row r="30" spans="1:12" ht="52.5" customHeight="1" x14ac:dyDescent="0.15">
      <c r="A30" s="6"/>
      <c r="B30" s="28" t="s">
        <v>44</v>
      </c>
      <c r="C30" s="322"/>
      <c r="D30" s="323"/>
      <c r="E30" s="323"/>
      <c r="F30" s="323"/>
      <c r="G30" s="322"/>
      <c r="H30" s="323"/>
      <c r="I30" s="323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47</v>
      </c>
      <c r="C33" s="325"/>
      <c r="D33" s="326"/>
      <c r="E33" s="325"/>
      <c r="F33" s="326"/>
      <c r="G33" s="256"/>
      <c r="H33" s="300" t="s">
        <v>48</v>
      </c>
      <c r="I33" s="300"/>
      <c r="J33" s="6"/>
    </row>
    <row r="34" spans="2:10" ht="15.75" customHeight="1" x14ac:dyDescent="0.15">
      <c r="B34" s="26" t="s">
        <v>49</v>
      </c>
      <c r="C34" s="292">
        <f>C38/D32</f>
        <v>0</v>
      </c>
      <c r="D34" s="293"/>
      <c r="E34" s="327">
        <f>E38/D32</f>
        <v>0</v>
      </c>
      <c r="F34" s="293"/>
      <c r="G34" s="257">
        <f>G38/D32</f>
        <v>0</v>
      </c>
      <c r="H34" s="288">
        <f>C34+E34+G34</f>
        <v>0</v>
      </c>
      <c r="I34" s="288"/>
      <c r="J34" s="6"/>
    </row>
    <row r="35" spans="2:10" ht="15.75" customHeight="1" x14ac:dyDescent="0.15">
      <c r="B35" s="26" t="s">
        <v>50</v>
      </c>
      <c r="C35" s="294"/>
      <c r="D35" s="295"/>
      <c r="E35" s="294"/>
      <c r="F35" s="295"/>
      <c r="G35" s="255"/>
      <c r="H35" s="289">
        <f>C35+E35+G35</f>
        <v>0</v>
      </c>
      <c r="I35" s="289"/>
      <c r="J35" s="6"/>
    </row>
    <row r="36" spans="2:10" ht="15.75" customHeight="1" x14ac:dyDescent="0.15">
      <c r="B36" s="26" t="s">
        <v>51</v>
      </c>
      <c r="C36" s="324"/>
      <c r="D36" s="295"/>
      <c r="E36" s="324"/>
      <c r="F36" s="295"/>
      <c r="G36" s="258"/>
      <c r="H36" s="290"/>
      <c r="I36" s="290"/>
      <c r="J36" s="6"/>
    </row>
    <row r="37" spans="2:10" ht="15.75" customHeight="1" x14ac:dyDescent="0.15">
      <c r="B37" s="26" t="s">
        <v>52</v>
      </c>
      <c r="C37" s="307">
        <f>C36*$H$5/1000000</f>
        <v>0</v>
      </c>
      <c r="D37" s="308"/>
      <c r="E37" s="307">
        <f>E36*$H$5/1000000</f>
        <v>0</v>
      </c>
      <c r="F37" s="308"/>
      <c r="G37" s="259">
        <f>G36*$H$5/1000000</f>
        <v>0</v>
      </c>
      <c r="H37" s="291"/>
      <c r="I37" s="291"/>
      <c r="J37" s="6"/>
    </row>
    <row r="38" spans="2:10" ht="15.75" customHeight="1" x14ac:dyDescent="0.15">
      <c r="B38" s="2" t="s">
        <v>53</v>
      </c>
      <c r="C38" s="283">
        <f>C35*C36</f>
        <v>0</v>
      </c>
      <c r="D38" s="309"/>
      <c r="E38" s="310">
        <f>E35*E36</f>
        <v>0</v>
      </c>
      <c r="F38" s="311"/>
      <c r="G38" s="260">
        <f>G35*G36</f>
        <v>0</v>
      </c>
      <c r="H38" s="283">
        <f>C38+E38+G38</f>
        <v>0</v>
      </c>
      <c r="I38" s="283"/>
      <c r="J38" s="6"/>
    </row>
    <row r="39" spans="2:10" ht="15.75" customHeight="1" x14ac:dyDescent="0.15">
      <c r="B39" s="1" t="s">
        <v>54</v>
      </c>
      <c r="C39" s="303"/>
      <c r="D39" s="304"/>
      <c r="E39" s="312" t="str">
        <f>IF(C38=0,"-",(C38+E38)/(C35+E35))</f>
        <v>-</v>
      </c>
      <c r="F39" s="293"/>
      <c r="G39" s="250"/>
      <c r="H39" s="253"/>
      <c r="I39" s="35" t="str">
        <f>IF(H38=0,"",H38/H35)</f>
        <v/>
      </c>
      <c r="J39" s="6"/>
    </row>
    <row r="40" spans="2:10" ht="15.75" customHeight="1" x14ac:dyDescent="0.15">
      <c r="B40" s="1" t="s">
        <v>55</v>
      </c>
      <c r="C40" s="305"/>
      <c r="D40" s="306"/>
      <c r="E40" s="307" t="str">
        <f>IF(E39="-","-",E39*$H$5/1000000)</f>
        <v>-</v>
      </c>
      <c r="F40" s="308"/>
      <c r="G40" s="251"/>
      <c r="H40" s="253"/>
      <c r="I40" s="252" t="str">
        <f>IF(I39="","",I39*$H$5/1000000)</f>
        <v/>
      </c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3"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C39:D39"/>
    <mergeCell ref="C40:D40"/>
    <mergeCell ref="E40:F40"/>
    <mergeCell ref="C38:D38"/>
    <mergeCell ref="E38:F38"/>
    <mergeCell ref="E39:F39"/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opLeftCell="A7" zoomScale="105" workbookViewId="0">
      <selection activeCell="C27" sqref="C2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2"/>
      <c r="B1" s="53"/>
      <c r="C1" s="54"/>
      <c r="D1" s="54"/>
      <c r="E1" s="54"/>
      <c r="F1" s="54"/>
    </row>
    <row r="2" spans="1:14" ht="15.75" customHeight="1" x14ac:dyDescent="0.2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10302605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2.0270489420956328</v>
      </c>
      <c r="K3" s="6"/>
      <c r="L3" s="6"/>
      <c r="M3" s="6"/>
    </row>
    <row r="4" spans="1:14" ht="15.75" customHeight="1" x14ac:dyDescent="0.15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9427344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-6.8857551463549549E-2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15">
      <c r="A7" s="9"/>
      <c r="B7" s="66" t="s">
        <v>59</v>
      </c>
      <c r="C7" s="51">
        <v>225731755</v>
      </c>
      <c r="D7" s="51">
        <v>227656041</v>
      </c>
      <c r="E7" s="51">
        <v>229010833</v>
      </c>
      <c r="F7" s="51">
        <v>219082641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15">
      <c r="A8" s="9"/>
      <c r="B8" s="67" t="s">
        <v>60</v>
      </c>
      <c r="C8" s="15">
        <f t="shared" ref="C8:L8" si="0">IF(D7="","",C7/D7-1)</f>
        <v>-8.452602406452292E-3</v>
      </c>
      <c r="D8" s="15">
        <f t="shared" si="0"/>
        <v>-5.9158424178126223E-3</v>
      </c>
      <c r="E8" s="15">
        <f t="shared" si="0"/>
        <v>4.5317109355094809E-2</v>
      </c>
      <c r="F8" s="15">
        <f t="shared" si="0"/>
        <v>80.487891524364613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7" t="s">
        <v>61</v>
      </c>
      <c r="C9" s="51">
        <v>179303892</v>
      </c>
      <c r="D9" s="51">
        <v>176954601</v>
      </c>
      <c r="E9" s="51">
        <v>176149897</v>
      </c>
      <c r="F9" s="51">
        <v>170526021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15">
      <c r="A10" s="9"/>
      <c r="B10" s="67" t="s">
        <v>62</v>
      </c>
      <c r="C10" s="15">
        <f t="shared" ref="C10:M10" si="1">IF(C7="","",(C7-C9)/C7)</f>
        <v>0.20567714542422266</v>
      </c>
      <c r="D10" s="15">
        <f t="shared" si="1"/>
        <v>0.22271071647073051</v>
      </c>
      <c r="E10" s="15">
        <f t="shared" si="1"/>
        <v>0.23082286242764768</v>
      </c>
      <c r="F10" s="15">
        <f t="shared" si="1"/>
        <v>0.2216360902824793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15">
      <c r="A11" s="9"/>
      <c r="B11" s="67" t="s">
        <v>63</v>
      </c>
      <c r="C11" s="51">
        <v>33858071</v>
      </c>
      <c r="D11" s="51">
        <v>35309226</v>
      </c>
      <c r="E11" s="51">
        <v>35641658</v>
      </c>
      <c r="F11" s="51">
        <v>32986939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15">
      <c r="A12" s="9"/>
      <c r="B12" s="67" t="s">
        <v>64</v>
      </c>
      <c r="C12" s="15">
        <f t="shared" ref="C12:M12" si="2">IF(C7="","",C10-C13)</f>
        <v>0.14999250327008712</v>
      </c>
      <c r="D12" s="15">
        <f t="shared" si="2"/>
        <v>0.15509900745396871</v>
      </c>
      <c r="E12" s="15">
        <f t="shared" si="2"/>
        <v>0.15563306562008794</v>
      </c>
      <c r="F12" s="15">
        <f t="shared" si="2"/>
        <v>0.15056847429550568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15">
      <c r="A13" s="9"/>
      <c r="B13" s="67" t="s">
        <v>65</v>
      </c>
      <c r="C13" s="15">
        <f t="shared" ref="C13:M13" si="3">IF(C14="","",C14/C7)</f>
        <v>5.5684642154135558E-2</v>
      </c>
      <c r="D13" s="15">
        <f t="shared" si="3"/>
        <v>6.761170901676182E-2</v>
      </c>
      <c r="E13" s="15">
        <f t="shared" si="3"/>
        <v>7.5189796807559758E-2</v>
      </c>
      <c r="F13" s="15">
        <f t="shared" si="3"/>
        <v>7.1067615986973615E-2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15">
      <c r="A14" s="9"/>
      <c r="B14" s="67" t="s">
        <v>66</v>
      </c>
      <c r="C14" s="34">
        <f t="shared" ref="C14:M14" si="4">IF(C7="","",C7-C9-C11)</f>
        <v>12569792</v>
      </c>
      <c r="D14" s="34">
        <f t="shared" si="4"/>
        <v>15392214</v>
      </c>
      <c r="E14" s="34">
        <f t="shared" si="4"/>
        <v>17219278</v>
      </c>
      <c r="F14" s="34">
        <f t="shared" si="4"/>
        <v>15569681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15">
      <c r="A15" s="9"/>
      <c r="B15" s="67" t="s">
        <v>67</v>
      </c>
      <c r="C15" s="15">
        <f>IF(D14="","",IF(ABS(C14+D14)=ABS(C14)+ABS(D14),IF(C14&lt;0,-1,1)*(C14-D14)/D14,"Turn"))</f>
        <v>-0.18336686327256105</v>
      </c>
      <c r="D15" s="15">
        <f t="shared" ref="D15:M15" si="5">IF(E14="","",IF(ABS(D14+E14)=ABS(D14)+ABS(E14),IF(D14&lt;0,-1,1)*(D14-E14)/E14,"Turn"))</f>
        <v>-0.10610572638411436</v>
      </c>
      <c r="E15" s="15">
        <f t="shared" si="5"/>
        <v>0.10594931264166556</v>
      </c>
      <c r="F15" s="15">
        <f t="shared" si="5"/>
        <v>67.390360143899429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7" t="s">
        <v>68</v>
      </c>
      <c r="C16" s="34">
        <f>IF(C14="","",C14*(1-'FCF Model'!$D$17))</f>
        <v>9427344</v>
      </c>
      <c r="D16" s="34">
        <f>IF(D14="","",D14*(1-'FCF Model'!$D$17))</f>
        <v>11544160.5</v>
      </c>
      <c r="E16" s="34">
        <f>IF(E14="","",E14*(1-'FCF Model'!$D$17))</f>
        <v>12914458.5</v>
      </c>
      <c r="F16" s="34">
        <f>IF(F14="","",F14*(1-'FCF Model'!$D$17))</f>
        <v>11677260.75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7" t="s">
        <v>69</v>
      </c>
      <c r="C17" s="51">
        <v>1121212</v>
      </c>
      <c r="D17" s="51">
        <v>919640</v>
      </c>
      <c r="E17" s="51">
        <v>1020702</v>
      </c>
      <c r="F17" s="51">
        <v>1455585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15">
      <c r="A18" s="9"/>
      <c r="B18" s="67" t="s">
        <v>70</v>
      </c>
      <c r="C18" s="51">
        <v>10302605</v>
      </c>
      <c r="D18" s="51">
        <v>11331053</v>
      </c>
      <c r="E18" s="51">
        <v>11794929</v>
      </c>
      <c r="F18" s="51">
        <v>11305044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15">
      <c r="A19" s="9"/>
      <c r="B19" s="67" t="s">
        <v>71</v>
      </c>
      <c r="C19" s="15">
        <f t="shared" ref="C19:M19" si="6">IF(C7="","",C18/C7)</f>
        <v>4.5640920126634378E-2</v>
      </c>
      <c r="D19" s="15">
        <f t="shared" si="6"/>
        <v>4.9772687560704791E-2</v>
      </c>
      <c r="E19" s="15">
        <f t="shared" si="6"/>
        <v>5.1503803752375329E-2</v>
      </c>
      <c r="F19" s="15">
        <f t="shared" si="6"/>
        <v>5.1601733247318302E-2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15">
      <c r="A20" s="9"/>
      <c r="B20" s="67" t="s">
        <v>72</v>
      </c>
      <c r="C20" s="68">
        <f>'Asset Model'!C21</f>
        <v>2925507</v>
      </c>
      <c r="D20" s="51">
        <v>249727225</v>
      </c>
      <c r="E20" s="51">
        <v>251215115</v>
      </c>
      <c r="F20" s="51">
        <v>227512128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15">
      <c r="A21" s="9"/>
      <c r="B21" s="67" t="s">
        <v>73</v>
      </c>
      <c r="C21" s="68">
        <f>'Asset Model'!H21</f>
        <v>972761</v>
      </c>
      <c r="D21" s="51">
        <v>197492911</v>
      </c>
      <c r="E21" s="51">
        <v>200164511</v>
      </c>
      <c r="F21" s="51">
        <v>188351436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15">
      <c r="A22" s="9"/>
      <c r="B22" s="67" t="s">
        <v>74</v>
      </c>
      <c r="C22" s="68">
        <f>'Asset Model'!H10+'Asset Model'!H12</f>
        <v>890177</v>
      </c>
      <c r="D22" s="51">
        <v>19351309</v>
      </c>
      <c r="E22" s="51">
        <v>14531207</v>
      </c>
      <c r="F22" s="51">
        <v>20435599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15">
      <c r="A23" s="9"/>
      <c r="B23" s="67" t="s">
        <v>75</v>
      </c>
      <c r="C23" s="68">
        <f>'Asset Model'!H23+'Asset Model'!H24</f>
        <v>2335</v>
      </c>
      <c r="D23" s="51">
        <v>7994915</v>
      </c>
      <c r="E23" s="51">
        <v>8084962</v>
      </c>
      <c r="F23" s="51">
        <v>4380011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15">
      <c r="A24" s="9"/>
      <c r="B24" s="67" t="s">
        <v>76</v>
      </c>
      <c r="C24" s="34">
        <f t="shared" ref="C24:M24" si="7">IF(C7="","",C22+C23)</f>
        <v>892512</v>
      </c>
      <c r="D24" s="34">
        <f t="shared" si="7"/>
        <v>27346224</v>
      </c>
      <c r="E24" s="34">
        <f t="shared" si="7"/>
        <v>22616169</v>
      </c>
      <c r="F24" s="34">
        <f t="shared" si="7"/>
        <v>24815610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15">
      <c r="A25" s="9"/>
      <c r="B25" s="67" t="s">
        <v>77</v>
      </c>
      <c r="C25" s="68">
        <f>'Asset Model'!D3</f>
        <v>3946940</v>
      </c>
      <c r="D25" s="51">
        <v>169141564</v>
      </c>
      <c r="E25" s="51">
        <v>158828482</v>
      </c>
      <c r="F25" s="51">
        <v>149684627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15">
      <c r="A26" s="9"/>
      <c r="B26" s="67" t="s">
        <v>78</v>
      </c>
      <c r="C26" s="68">
        <f>'Asset Model'!C43</f>
        <v>138648</v>
      </c>
      <c r="D26" s="51">
        <v>26120217</v>
      </c>
      <c r="E26" s="51">
        <v>22934851</v>
      </c>
      <c r="F26" s="51">
        <v>21226932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15">
      <c r="A27" s="9"/>
      <c r="B27" s="67" t="s">
        <v>79</v>
      </c>
      <c r="C27" s="68">
        <f>'Asset Model'!D52</f>
        <v>1659687</v>
      </c>
      <c r="D27" s="51">
        <v>33492359</v>
      </c>
      <c r="E27" s="51">
        <v>44904764</v>
      </c>
      <c r="F27" s="51">
        <v>38171008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15">
      <c r="A28" s="9"/>
      <c r="B28" s="67" t="s">
        <v>80</v>
      </c>
      <c r="C28" s="68">
        <f>'Asset Model'!C23+'Asset Model'!C24+'Asset Model'!C27</f>
        <v>1835208</v>
      </c>
      <c r="D28" s="51">
        <v>68095130</v>
      </c>
      <c r="E28" s="51">
        <v>67596202</v>
      </c>
      <c r="F28" s="51">
        <v>65488942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15">
      <c r="A29" s="9"/>
      <c r="B29" s="67" t="s">
        <v>81</v>
      </c>
      <c r="C29" s="15">
        <f t="shared" ref="C29:M29" si="8">IF(D7="","",(C28-D28)/C28)</f>
        <v>-36.104856779177076</v>
      </c>
      <c r="D29" s="15">
        <f t="shared" si="8"/>
        <v>7.3269263161697467E-3</v>
      </c>
      <c r="E29" s="15">
        <f t="shared" si="8"/>
        <v>3.1174236682705931E-2</v>
      </c>
      <c r="F29" s="15">
        <f t="shared" si="8"/>
        <v>0.98021977511867575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7" t="s">
        <v>82</v>
      </c>
      <c r="C30" s="34">
        <f>IF(D7="","",(C7-D7)*$D$49)</f>
        <v>-126425.59019999999</v>
      </c>
      <c r="D30" s="34">
        <f t="shared" ref="D30:M30" si="9">IF(E7="","",(D7-E7)*$D$49)</f>
        <v>-89009.834399999992</v>
      </c>
      <c r="E30" s="34">
        <f t="shared" si="9"/>
        <v>652282.21439999994</v>
      </c>
      <c r="F30" s="34">
        <f t="shared" si="9"/>
        <v>14217093.092699999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7" t="s">
        <v>83</v>
      </c>
      <c r="C31" s="34">
        <f t="shared" ref="C31:M31" si="10">IF(D7="","",C28-D28+C30)</f>
        <v>-66386347.5902</v>
      </c>
      <c r="D31" s="34">
        <f t="shared" si="10"/>
        <v>409918.16560000001</v>
      </c>
      <c r="E31" s="34">
        <f t="shared" si="10"/>
        <v>2759542.2143999999</v>
      </c>
      <c r="F31" s="34">
        <f t="shared" si="10"/>
        <v>78410649.092700005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7" t="s">
        <v>84</v>
      </c>
      <c r="C32" s="15">
        <f t="shared" ref="C32:M32" si="11">IF(C31="","",C31/C16)</f>
        <v>-7.0418929859990254</v>
      </c>
      <c r="D32" s="15">
        <f t="shared" si="11"/>
        <v>3.5508702915209814E-2</v>
      </c>
      <c r="E32" s="15">
        <f t="shared" si="11"/>
        <v>0.21367850726377727</v>
      </c>
      <c r="F32" s="15">
        <f t="shared" si="11"/>
        <v>6.7148152954193474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9" t="s">
        <v>85</v>
      </c>
      <c r="C33" s="70">
        <f t="shared" ref="C33:M33" si="12">IF(C25="","",C25-C27+C24)</f>
        <v>3179765</v>
      </c>
      <c r="D33" s="70">
        <f t="shared" si="12"/>
        <v>162995429</v>
      </c>
      <c r="E33" s="70">
        <f t="shared" si="12"/>
        <v>136539887</v>
      </c>
      <c r="F33" s="70">
        <f t="shared" si="12"/>
        <v>136329229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15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6" t="s">
        <v>87</v>
      </c>
      <c r="C35" s="72">
        <f>IF(C16="","",(C16*$C$4)/(Dashboard!$H$6*1000000))</f>
        <v>0.69349160613556993</v>
      </c>
      <c r="D35" s="72">
        <f>IF(D16="","",(D16*$C$4)/(Dashboard!$H$6*1000000))</f>
        <v>0.84920826126974935</v>
      </c>
      <c r="E35" s="72">
        <f>IF(E16="","",(E16*$C$4)/(Dashboard!$H$6*1000000))</f>
        <v>0.95000973418771639</v>
      </c>
      <c r="F35" s="72">
        <f>IF(F16="","",(F16*$C$4)/(Dashboard!$H$6*1000000))</f>
        <v>0.85899934411869872</v>
      </c>
      <c r="G35" s="72">
        <f>IF(G16="","",(G16*$C$4)/(Dashboard!$H$6*1000000))</f>
        <v>1.2560240102717508E-2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15">
      <c r="A36" s="9"/>
      <c r="B36" s="69" t="s">
        <v>88</v>
      </c>
      <c r="C36" s="73">
        <f>IF(C18="","",(C18*$C$4)/(Dashboard!$H$6*1000000))</f>
        <v>0.75787730763090355</v>
      </c>
      <c r="D36" s="73">
        <f>IF(D18="","",(D18*$C$4)/(Dashboard!$H$6*1000000))</f>
        <v>0.83353170778294161</v>
      </c>
      <c r="E36" s="73">
        <f>IF(E18="","",(E18*$C$4)/(Dashboard!$H$6*1000000))</f>
        <v>0.86765522255950478</v>
      </c>
      <c r="F36" s="73">
        <f>IF(F18="","",(F18*$C$4)/(Dashboard!$H$6*1000000))</f>
        <v>0.83161844109998406</v>
      </c>
      <c r="G36" s="73">
        <f>IF(G18="","",(G18*$C$4)/(Dashboard!$H$6*1000000))</f>
        <v>1.4371237609390656E-2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15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6" t="s">
        <v>90</v>
      </c>
      <c r="C38" s="72">
        <f t="shared" ref="C38:M38" si="13">IF(C7="","",C16/C7)</f>
        <v>4.1763481615601665E-2</v>
      </c>
      <c r="D38" s="72">
        <f t="shared" si="13"/>
        <v>5.0708781762571369E-2</v>
      </c>
      <c r="E38" s="72">
        <f t="shared" si="13"/>
        <v>5.6392347605669815E-2</v>
      </c>
      <c r="F38" s="72">
        <f t="shared" si="13"/>
        <v>5.3300711990230204E-2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15">
      <c r="A39" s="9"/>
      <c r="B39" s="67" t="s">
        <v>91</v>
      </c>
      <c r="C39" s="74">
        <f t="shared" ref="C39:L39" si="14">IF(D33="","",C7/D33)</f>
        <v>1.3848962292065259</v>
      </c>
      <c r="D39" s="74">
        <f t="shared" si="14"/>
        <v>1.6673226117434827</v>
      </c>
      <c r="E39" s="74">
        <f t="shared" si="14"/>
        <v>1.6798366328324208</v>
      </c>
      <c r="F39" s="74">
        <f t="shared" si="14"/>
        <v>117.93759255819963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15">
      <c r="A40" s="9"/>
      <c r="B40" s="69" t="s">
        <v>92</v>
      </c>
      <c r="C40" s="73">
        <f t="shared" ref="C40:L40" si="15">IF(D33="","",C16/D33)</f>
        <v>5.7838088207982814E-2</v>
      </c>
      <c r="D40" s="73">
        <f t="shared" si="15"/>
        <v>8.4547898446700784E-2</v>
      </c>
      <c r="E40" s="73">
        <f t="shared" si="15"/>
        <v>9.472993131942381E-2</v>
      </c>
      <c r="F40" s="73">
        <f t="shared" si="15"/>
        <v>6.2861576537657156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15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6" t="s">
        <v>94</v>
      </c>
      <c r="C42" s="72">
        <f t="shared" ref="C42:M42" si="16">IF(C33="","",C23/C25)</f>
        <v>5.9159754138649186E-4</v>
      </c>
      <c r="D42" s="72">
        <f t="shared" si="16"/>
        <v>4.7267595326244E-2</v>
      </c>
      <c r="E42" s="72">
        <f t="shared" si="16"/>
        <v>5.0903728967201238E-2</v>
      </c>
      <c r="F42" s="72">
        <f t="shared" si="16"/>
        <v>2.9261595447607321E-2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15">
      <c r="A43" s="9"/>
      <c r="B43" s="67" t="s">
        <v>95</v>
      </c>
      <c r="C43" s="15">
        <f t="shared" ref="C43:M43" si="17">IF(C33="","",C24/C25)</f>
        <v>0.22612758238027433</v>
      </c>
      <c r="D43" s="15">
        <f t="shared" si="17"/>
        <v>0.16167654687170802</v>
      </c>
      <c r="E43" s="15">
        <f t="shared" si="17"/>
        <v>0.14239366085485852</v>
      </c>
      <c r="F43" s="15">
        <f t="shared" si="17"/>
        <v>0.16578596277625757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15">
      <c r="A44" s="9"/>
      <c r="B44" s="67" t="s">
        <v>96</v>
      </c>
      <c r="C44" s="77">
        <f t="shared" ref="C44:M44" si="18">IF(C33="","",IF(C24&lt;=0,"-",C14/C24))</f>
        <v>14.083611200745761</v>
      </c>
      <c r="D44" s="77">
        <f t="shared" si="18"/>
        <v>0.56286432817927623</v>
      </c>
      <c r="E44" s="77">
        <f t="shared" si="18"/>
        <v>0.76137023914173974</v>
      </c>
      <c r="F44" s="77">
        <f t="shared" si="18"/>
        <v>0.62741480060332988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15">
      <c r="A45" s="9"/>
      <c r="B45" s="67" t="s">
        <v>97</v>
      </c>
      <c r="C45" s="77">
        <f t="shared" ref="C45:M45" si="19">IF(C31="","",IF(C17&lt;=0,"-",C17/C16))</f>
        <v>0.1189319070143192</v>
      </c>
      <c r="D45" s="77">
        <f t="shared" si="19"/>
        <v>7.9662787086163603E-2</v>
      </c>
      <c r="E45" s="77">
        <f t="shared" si="19"/>
        <v>7.903560184114572E-2</v>
      </c>
      <c r="F45" s="77">
        <f t="shared" si="19"/>
        <v>0.12465123723472561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15">
      <c r="A46" s="9"/>
      <c r="B46" s="69" t="s">
        <v>98</v>
      </c>
      <c r="C46" s="78">
        <f t="shared" ref="C46:M46" si="20">IF(C33="","",C20/C21)</f>
        <v>3.0074262845652733</v>
      </c>
      <c r="D46" s="78">
        <f t="shared" si="20"/>
        <v>1.26448703265101</v>
      </c>
      <c r="E46" s="78">
        <f t="shared" si="20"/>
        <v>1.2550432329135508</v>
      </c>
      <c r="F46" s="78">
        <f t="shared" si="20"/>
        <v>1.2079128932152128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99</v>
      </c>
      <c r="C48" s="79"/>
      <c r="D48" s="79"/>
      <c r="E48" s="79"/>
      <c r="F48" s="79"/>
    </row>
    <row r="49" spans="1:6" ht="15.75" customHeight="1" x14ac:dyDescent="0.15">
      <c r="A49" s="9"/>
      <c r="B49" s="6" t="s">
        <v>100</v>
      </c>
      <c r="C49" s="6"/>
      <c r="D49" s="353">
        <v>6.5699999999999995E-2</v>
      </c>
      <c r="E49" s="354"/>
      <c r="F49" s="6"/>
    </row>
    <row r="50" spans="1:6" ht="15" customHeight="1" x14ac:dyDescent="0.15">
      <c r="A50" s="9"/>
      <c r="B50" s="80" t="s">
        <v>101</v>
      </c>
      <c r="C50" s="6"/>
      <c r="D50" s="348" t="s">
        <v>102</v>
      </c>
      <c r="E50" s="295"/>
      <c r="F50" s="6"/>
    </row>
    <row r="51" spans="1:6" ht="15" customHeight="1" x14ac:dyDescent="0.15">
      <c r="A51" s="9"/>
      <c r="B51" s="80"/>
      <c r="D51" s="26"/>
      <c r="E51" s="26"/>
    </row>
    <row r="52" spans="1:6" ht="15.75" customHeight="1" x14ac:dyDescent="0.15">
      <c r="A52" s="9"/>
      <c r="B52" s="81" t="s">
        <v>103</v>
      </c>
      <c r="C52" s="82"/>
      <c r="D52" s="349">
        <v>5</v>
      </c>
      <c r="E52" s="350"/>
      <c r="F52" s="83"/>
    </row>
    <row r="53" spans="1:6" ht="15.75" customHeight="1" x14ac:dyDescent="0.15">
      <c r="A53" s="9"/>
      <c r="B53" s="84" t="s">
        <v>104</v>
      </c>
      <c r="C53" s="85" t="s">
        <v>105</v>
      </c>
      <c r="D53" s="351" t="s">
        <v>106</v>
      </c>
      <c r="E53" s="352"/>
      <c r="F53" s="86" t="s">
        <v>107</v>
      </c>
    </row>
    <row r="54" spans="1:6" ht="15.75" customHeight="1" x14ac:dyDescent="0.15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15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15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15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15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15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15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15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15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15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15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15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15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15">
      <c r="A67" s="9"/>
      <c r="B67" s="93"/>
      <c r="C67" s="80"/>
      <c r="D67" s="80"/>
      <c r="E67" s="80"/>
      <c r="F67" s="94"/>
    </row>
    <row r="68" spans="1:6" ht="15.75" customHeight="1" x14ac:dyDescent="0.15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15">
      <c r="A69" s="9"/>
      <c r="B69" s="93" t="s">
        <v>114</v>
      </c>
      <c r="C69" s="99">
        <f>C14</f>
        <v>12569792</v>
      </c>
      <c r="D69" s="99">
        <f>C69+C54-F66</f>
        <v>12569792</v>
      </c>
      <c r="E69" s="80" t="s">
        <v>115</v>
      </c>
      <c r="F69" s="94" t="s">
        <v>116</v>
      </c>
    </row>
    <row r="70" spans="1:6" ht="15.75" customHeight="1" x14ac:dyDescent="0.15">
      <c r="A70" s="9"/>
      <c r="B70" s="93" t="s">
        <v>117</v>
      </c>
      <c r="C70" s="100">
        <f t="shared" ref="C70:D70" si="25">C69/$C$7</f>
        <v>5.5684642154135558E-2</v>
      </c>
      <c r="D70" s="100">
        <f t="shared" si="25"/>
        <v>5.5684642154135558E-2</v>
      </c>
      <c r="E70" s="80" t="s">
        <v>118</v>
      </c>
      <c r="F70" s="94" t="s">
        <v>119</v>
      </c>
    </row>
    <row r="71" spans="1:6" ht="15.75" customHeight="1" x14ac:dyDescent="0.15">
      <c r="A71" s="9"/>
      <c r="B71" s="93" t="s">
        <v>120</v>
      </c>
      <c r="C71" s="99">
        <f>C31</f>
        <v>-66386347.5902</v>
      </c>
      <c r="D71" s="99">
        <f>C71+E65-F66</f>
        <v>-66386347.5902</v>
      </c>
      <c r="E71" s="80" t="s">
        <v>121</v>
      </c>
      <c r="F71" s="94" t="s">
        <v>122</v>
      </c>
    </row>
    <row r="72" spans="1:6" ht="15.75" customHeight="1" x14ac:dyDescent="0.15">
      <c r="A72" s="9"/>
      <c r="B72" s="93" t="s">
        <v>123</v>
      </c>
      <c r="C72" s="99">
        <f>C16</f>
        <v>9427344</v>
      </c>
      <c r="D72" s="99">
        <f>C72+C55</f>
        <v>9427344</v>
      </c>
      <c r="E72" s="80" t="s">
        <v>124</v>
      </c>
      <c r="F72" s="94" t="s">
        <v>125</v>
      </c>
    </row>
    <row r="73" spans="1:6" ht="15.75" customHeight="1" x14ac:dyDescent="0.15">
      <c r="A73" s="9"/>
      <c r="B73" s="93" t="s">
        <v>126</v>
      </c>
      <c r="C73" s="99">
        <f>F3</f>
        <v>10302605</v>
      </c>
      <c r="D73" s="99">
        <f>C73+C54-F66</f>
        <v>10302605</v>
      </c>
      <c r="E73" s="80" t="s">
        <v>127</v>
      </c>
      <c r="F73" s="94" t="s">
        <v>125</v>
      </c>
    </row>
    <row r="74" spans="1:6" ht="15.75" customHeight="1" x14ac:dyDescent="0.15">
      <c r="A74" s="9"/>
      <c r="B74" s="101" t="s">
        <v>128</v>
      </c>
      <c r="C74" s="102">
        <f>C33</f>
        <v>3179765</v>
      </c>
      <c r="D74" s="102">
        <f>C74+E65</f>
        <v>3179765</v>
      </c>
      <c r="E74" s="8" t="s">
        <v>129</v>
      </c>
      <c r="F74" s="103" t="s">
        <v>125</v>
      </c>
    </row>
    <row r="75" spans="1:6" ht="15.75" customHeight="1" x14ac:dyDescent="0.15">
      <c r="A75" s="9"/>
      <c r="B75" s="80"/>
      <c r="C75" s="104"/>
      <c r="D75" s="104"/>
    </row>
    <row r="76" spans="1:6" ht="15.75" customHeight="1" x14ac:dyDescent="0.15">
      <c r="A76" s="9"/>
      <c r="B76" s="80"/>
      <c r="C76" s="104"/>
      <c r="D76" s="104"/>
    </row>
    <row r="77" spans="1:6" ht="15.75" customHeight="1" x14ac:dyDescent="0.15">
      <c r="A77" s="9"/>
      <c r="B77" s="80"/>
      <c r="C77" s="104"/>
      <c r="D77" s="104"/>
    </row>
    <row r="78" spans="1:6" ht="15.75" customHeight="1" x14ac:dyDescent="0.15">
      <c r="A78" s="9"/>
      <c r="B78" s="80"/>
      <c r="C78" s="105"/>
      <c r="D78" s="105"/>
    </row>
    <row r="79" spans="1:6" ht="15.75" customHeight="1" x14ac:dyDescent="0.15">
      <c r="A79" s="9"/>
      <c r="B79" s="80"/>
      <c r="C79" s="104"/>
      <c r="D79" s="104"/>
    </row>
    <row r="80" spans="1:6" ht="15.75" customHeight="1" x14ac:dyDescent="0.15">
      <c r="A80" s="9"/>
      <c r="B80" s="80"/>
      <c r="C80" s="105"/>
      <c r="D80" s="105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6" t="s">
        <v>130</v>
      </c>
      <c r="C2" s="356"/>
      <c r="D2" s="356"/>
      <c r="E2" s="13"/>
      <c r="F2" s="13"/>
      <c r="G2" s="13"/>
      <c r="H2" s="13"/>
    </row>
    <row r="3" spans="1:9" ht="15" customHeight="1" x14ac:dyDescent="0.15">
      <c r="B3" s="5" t="s">
        <v>131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6" t="s">
        <v>132</v>
      </c>
      <c r="H4" s="6"/>
    </row>
    <row r="5" spans="1:9" ht="15" customHeight="1" x14ac:dyDescent="0.15">
      <c r="B5" s="107" t="s">
        <v>133</v>
      </c>
      <c r="C5" s="6"/>
      <c r="D5" s="108">
        <f>E39-H39-E43</f>
        <v>1925885.2402497882</v>
      </c>
      <c r="E5" s="15">
        <f>1-D5/D3</f>
        <v>0.51205611429365838</v>
      </c>
      <c r="F5" s="6"/>
      <c r="G5" s="109" t="s">
        <v>134</v>
      </c>
      <c r="H5" s="30">
        <f>IF(Data!F3&lt;=0,"NNI",D6/((Data!F3*Dashboard!H13)/(Dashboard!H5/Data!C4)))</f>
        <v>0.18693187210902368</v>
      </c>
      <c r="I5" s="6"/>
    </row>
    <row r="6" spans="1:9" ht="15" customHeight="1" x14ac:dyDescent="0.15">
      <c r="B6" s="80" t="s">
        <v>135</v>
      </c>
      <c r="D6" s="110">
        <f>(D5*Dashboard!H13*Data!C4)/Dashboard!H5</f>
        <v>0.39579674200381204</v>
      </c>
      <c r="E6" s="111"/>
      <c r="G6" s="109" t="s">
        <v>136</v>
      </c>
      <c r="H6" s="30">
        <f>D6/(Data!C25*Dashboard!H13*Data!C4/Common_Shares)</f>
        <v>0.48794388570634162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6" t="s">
        <v>137</v>
      </c>
      <c r="C8" s="356"/>
      <c r="D8" s="356"/>
      <c r="E8" s="8"/>
      <c r="F8" s="13"/>
      <c r="G8" s="13"/>
      <c r="H8" s="13"/>
    </row>
    <row r="9" spans="1:9" ht="15" customHeight="1" x14ac:dyDescent="0.15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15">
      <c r="B10" s="5" t="s">
        <v>143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144</v>
      </c>
      <c r="H10" s="113">
        <v>0</v>
      </c>
      <c r="I10" s="6"/>
    </row>
    <row r="11" spans="1:9" ht="14" x14ac:dyDescent="0.15">
      <c r="B11" s="5" t="s">
        <v>145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7353</v>
      </c>
      <c r="I11" s="6"/>
    </row>
    <row r="12" spans="1:9" ht="14" x14ac:dyDescent="0.15">
      <c r="B12" s="5" t="s">
        <v>147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148</v>
      </c>
      <c r="H12" s="113">
        <v>890177</v>
      </c>
      <c r="I12" s="6"/>
    </row>
    <row r="13" spans="1:9" ht="14" x14ac:dyDescent="0.15">
      <c r="B13" s="5" t="s">
        <v>149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150</v>
      </c>
      <c r="H13" s="113">
        <v>0</v>
      </c>
      <c r="I13" s="6"/>
    </row>
    <row r="14" spans="1:9" ht="14" x14ac:dyDescent="0.15">
      <c r="B14" s="5" t="s">
        <v>151</v>
      </c>
      <c r="C14" s="113">
        <v>0</v>
      </c>
      <c r="D14" s="114">
        <v>0.8</v>
      </c>
      <c r="E14" s="34">
        <f t="shared" si="0"/>
        <v>0</v>
      </c>
      <c r="F14" s="6"/>
      <c r="G14" s="5" t="s">
        <v>152</v>
      </c>
      <c r="H14" s="113">
        <v>28197</v>
      </c>
      <c r="I14" s="6"/>
    </row>
    <row r="15" spans="1:9" ht="14" x14ac:dyDescent="0.15">
      <c r="B15" s="5" t="s">
        <v>153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154</v>
      </c>
      <c r="H15" s="113">
        <v>47034</v>
      </c>
      <c r="I15" s="6"/>
    </row>
    <row r="16" spans="1:9" ht="14" x14ac:dyDescent="0.15">
      <c r="B16" s="5" t="s">
        <v>155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156</v>
      </c>
      <c r="H16" s="113">
        <v>0</v>
      </c>
      <c r="I16" s="6"/>
    </row>
    <row r="17" spans="2:9" ht="14" x14ac:dyDescent="0.15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5" t="s">
        <v>158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159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15">
      <c r="B20" s="115" t="s">
        <v>160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161</v>
      </c>
      <c r="H20" s="119">
        <f t="shared" si="2"/>
        <v>2.321566859691127</v>
      </c>
      <c r="I20" s="14"/>
    </row>
    <row r="21" spans="2:9" ht="15" customHeight="1" x14ac:dyDescent="0.15">
      <c r="B21" s="5" t="s">
        <v>162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73</v>
      </c>
      <c r="H21" s="116">
        <f>SUM(H10:H16)</f>
        <v>972761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163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164</v>
      </c>
      <c r="H23" s="113">
        <v>0</v>
      </c>
      <c r="I23" s="6"/>
    </row>
    <row r="24" spans="2:9" ht="15" customHeight="1" x14ac:dyDescent="0.15">
      <c r="B24" s="5" t="s">
        <v>165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166</v>
      </c>
      <c r="H24" s="113">
        <v>2335</v>
      </c>
      <c r="I24" s="6"/>
    </row>
    <row r="25" spans="2:9" ht="15" customHeight="1" x14ac:dyDescent="0.15">
      <c r="B25" s="5" t="s">
        <v>167</v>
      </c>
      <c r="C25" s="113">
        <v>0</v>
      </c>
      <c r="D25" s="114">
        <v>0.85</v>
      </c>
      <c r="E25" s="34">
        <f t="shared" si="3"/>
        <v>0</v>
      </c>
      <c r="F25" s="6"/>
      <c r="G25" s="5" t="s">
        <v>168</v>
      </c>
      <c r="H25" s="113">
        <v>0</v>
      </c>
      <c r="I25" s="6"/>
    </row>
    <row r="26" spans="2:9" ht="15" customHeight="1" x14ac:dyDescent="0.15">
      <c r="B26" s="5" t="s">
        <v>169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170</v>
      </c>
      <c r="H26" s="113">
        <v>0</v>
      </c>
      <c r="I26" s="6"/>
    </row>
    <row r="27" spans="2:9" ht="14" x14ac:dyDescent="0.15">
      <c r="B27" s="5" t="s">
        <v>171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172</v>
      </c>
      <c r="H27" s="113">
        <v>61106</v>
      </c>
      <c r="I27" s="6"/>
    </row>
    <row r="28" spans="2:9" ht="14" x14ac:dyDescent="0.15">
      <c r="B28" s="5" t="s">
        <v>173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174</v>
      </c>
      <c r="H28" s="113">
        <v>18749</v>
      </c>
      <c r="I28" s="6"/>
    </row>
    <row r="29" spans="2:9" ht="14" x14ac:dyDescent="0.15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176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15">
      <c r="B31" s="5" t="s">
        <v>177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15">
      <c r="B32" s="5" t="s">
        <v>178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15">
      <c r="B33" s="5" t="s">
        <v>179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180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181</v>
      </c>
      <c r="H35" s="116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5" t="s">
        <v>182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183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15">
      <c r="B38" s="115" t="s">
        <v>184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185</v>
      </c>
      <c r="H38" s="119">
        <f>E38/$H$39</f>
        <v>1.655323043439932</v>
      </c>
      <c r="I38" s="6"/>
    </row>
    <row r="39" spans="2:9" ht="15" customHeight="1" x14ac:dyDescent="0.15">
      <c r="B39" s="5" t="s">
        <v>186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187</v>
      </c>
      <c r="H39" s="120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188</v>
      </c>
      <c r="C41" s="24"/>
      <c r="D41" s="79"/>
    </row>
    <row r="42" spans="2:9" ht="14" x14ac:dyDescent="0.15">
      <c r="B42" s="121" t="s">
        <v>189</v>
      </c>
      <c r="C42" s="5"/>
      <c r="D42" s="357"/>
      <c r="E42" s="357"/>
    </row>
    <row r="43" spans="2:9" ht="14" x14ac:dyDescent="0.15">
      <c r="B43" s="5" t="s">
        <v>190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531583.70975021203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191</v>
      </c>
      <c r="C45" s="5"/>
      <c r="D45" s="357"/>
      <c r="E45" s="357"/>
      <c r="F45" s="80"/>
    </row>
    <row r="46" spans="2:9" ht="14" x14ac:dyDescent="0.15">
      <c r="B46" s="107" t="s">
        <v>192</v>
      </c>
      <c r="C46" s="6"/>
      <c r="D46" s="358">
        <v>0</v>
      </c>
      <c r="E46" s="295"/>
      <c r="F46" s="5"/>
    </row>
    <row r="47" spans="2:9" ht="14" x14ac:dyDescent="0.15">
      <c r="B47" s="107" t="s">
        <v>193</v>
      </c>
      <c r="C47" s="6"/>
      <c r="D47" s="358">
        <v>0</v>
      </c>
      <c r="E47" s="295"/>
      <c r="F47" s="6" t="s">
        <v>194</v>
      </c>
    </row>
    <row r="48" spans="2:9" ht="12.75" customHeight="1" x14ac:dyDescent="0.15">
      <c r="B48" s="80" t="s">
        <v>195</v>
      </c>
      <c r="C48" s="6"/>
      <c r="D48" s="289">
        <f>Data!C24+D46+D47</f>
        <v>892512</v>
      </c>
      <c r="E48" s="355"/>
      <c r="F48" s="5" t="s">
        <v>196</v>
      </c>
    </row>
    <row r="49" spans="2:7" ht="15" customHeight="1" x14ac:dyDescent="0.15">
      <c r="D49" s="6"/>
      <c r="E49" s="6"/>
    </row>
    <row r="50" spans="2:7" ht="14" x14ac:dyDescent="0.15">
      <c r="B50" s="5" t="s">
        <v>197</v>
      </c>
      <c r="C50" s="5"/>
      <c r="D50" s="357"/>
      <c r="E50" s="357"/>
      <c r="F50" s="20" t="s">
        <v>198</v>
      </c>
    </row>
    <row r="51" spans="2:7" ht="15" customHeight="1" x14ac:dyDescent="0.15">
      <c r="B51" s="80" t="s">
        <v>199</v>
      </c>
      <c r="C51" s="6"/>
      <c r="D51" s="359">
        <f>E11+E12+E25+E28+E29</f>
        <v>168341.3</v>
      </c>
      <c r="E51" s="360"/>
      <c r="F51" s="15">
        <f>1-(E12+E25+E28+E29)/(C12+C25+C28+C29)</f>
        <v>0.28550867959764026</v>
      </c>
      <c r="G51" s="6"/>
    </row>
    <row r="52" spans="2:7" ht="14" x14ac:dyDescent="0.15">
      <c r="B52" s="80" t="s">
        <v>143</v>
      </c>
      <c r="C52" s="6"/>
      <c r="D52" s="289">
        <f>C10+C32</f>
        <v>1659687</v>
      </c>
      <c r="E52" s="355"/>
      <c r="F52" s="6"/>
    </row>
    <row r="53" spans="2:7" ht="14" x14ac:dyDescent="0.15">
      <c r="B53" s="80" t="s">
        <v>200</v>
      </c>
      <c r="C53" s="6"/>
      <c r="D53" s="289">
        <f>((Dashboard!H6*1000)+D48+E43-(C12+C25+C28+C29)-D52)</f>
        <v>13122826.260470212</v>
      </c>
      <c r="E53" s="355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abSelected="1" topLeftCell="A42" zoomScale="125" workbookViewId="0">
      <selection activeCell="F61" sqref="F61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3" t="s">
        <v>202</v>
      </c>
      <c r="C3" s="124">
        <v>4</v>
      </c>
      <c r="D3" s="125" t="str">
        <f>IF(E7="","next 1 years","next 3 years")</f>
        <v>next 1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6" t="s">
        <v>67</v>
      </c>
      <c r="C4" s="127">
        <f>Data!J4</f>
        <v>-6.8857551463549549E-2</v>
      </c>
      <c r="D4" s="128">
        <f>IF(E7="",D16/C16-1,(G16/C16)^(1/4)-1)</f>
        <v>-0.96588865430740622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15">
      <c r="B5" s="130"/>
      <c r="C5" s="6"/>
      <c r="D5" s="6"/>
      <c r="E5" s="6"/>
    </row>
    <row r="6" spans="1:13" ht="15.75" customHeight="1" x14ac:dyDescent="0.15">
      <c r="B6" s="39" t="str">
        <f>"(Numbers in "&amp;Data!C4&amp;Dashboard!H12&amp;")"</f>
        <v>(Numbers in 1000CNY)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205</v>
      </c>
      <c r="I6" s="131" t="s">
        <v>206</v>
      </c>
    </row>
    <row r="7" spans="1:13" ht="15.75" customHeight="1" x14ac:dyDescent="0.15">
      <c r="B7" s="5" t="s">
        <v>207</v>
      </c>
      <c r="C7" s="59">
        <f>Data!C8</f>
        <v>-8.452602406452292E-3</v>
      </c>
      <c r="D7" s="132">
        <f>D8/C8-1</f>
        <v>-0.9819862827894994</v>
      </c>
      <c r="E7" s="133"/>
      <c r="F7" s="236"/>
      <c r="G7" s="224"/>
      <c r="H7" s="6"/>
      <c r="I7" s="134"/>
    </row>
    <row r="8" spans="1:13" ht="15.75" customHeight="1" x14ac:dyDescent="0.15">
      <c r="B8" s="5" t="s">
        <v>208</v>
      </c>
      <c r="C8" s="135">
        <f>Data!C7</f>
        <v>225731755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15">
      <c r="B9" s="8" t="s">
        <v>209</v>
      </c>
      <c r="C9" s="70">
        <f>Data!C9</f>
        <v>179303892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15">
      <c r="B10" s="137" t="s">
        <v>210</v>
      </c>
      <c r="C10" s="59">
        <f>Data!C10</f>
        <v>0.20567714542422266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15">
      <c r="B11" s="5" t="s">
        <v>211</v>
      </c>
      <c r="C11" s="34">
        <f t="shared" ref="C11" si="0">C8-C9</f>
        <v>46427863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15">
      <c r="B12" s="137" t="s">
        <v>64</v>
      </c>
      <c r="C12" s="62">
        <f>Data!C12</f>
        <v>0.14999250327008712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15">
      <c r="B13" s="8" t="s">
        <v>212</v>
      </c>
      <c r="C13" s="141">
        <f>Data!C11</f>
        <v>33858071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15">
      <c r="B14" s="137" t="s">
        <v>213</v>
      </c>
      <c r="C14" s="19">
        <f>Data!C13</f>
        <v>5.5684642154135558E-2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15">
      <c r="B15" s="143" t="s">
        <v>214</v>
      </c>
      <c r="C15" s="15">
        <f>Data!C15</f>
        <v>-0.18336686327256105</v>
      </c>
      <c r="D15" s="139">
        <f>IF(ABS(C16+D16)=ABS(C16)+ABS(D16),IF(D16&lt;0,-1,1)*(D16-C16)/C16,"Turn")</f>
        <v>-0.96588865430740622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15">
      <c r="B16" s="5" t="s">
        <v>66</v>
      </c>
      <c r="C16" s="34">
        <f>IF(Data!D50="No",Data!C69,Data!D69)</f>
        <v>12569792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15">
      <c r="B17" s="21" t="s">
        <v>216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15">
      <c r="B18" s="5" t="s">
        <v>123</v>
      </c>
      <c r="C18" s="149">
        <f>IF(Data!D50="No",Data!C72,Data!D72)</f>
        <v>9427344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15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15">
      <c r="B20" s="18" t="s">
        <v>84</v>
      </c>
      <c r="C20" s="15">
        <f t="shared" ref="C20" si="1">C21/C18</f>
        <v>-7.0418929859990254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2">
      <c r="B21" s="153" t="s">
        <v>120</v>
      </c>
      <c r="C21" s="154">
        <f>IF(Data!D50="No",Data!C71,Data!D71)</f>
        <v>-66386347.5902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15">
      <c r="B22" s="8" t="s">
        <v>220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15">
      <c r="B23" s="18" t="s">
        <v>221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2">
      <c r="B24" s="160" t="s">
        <v>222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15">
      <c r="B25" s="8" t="s">
        <v>223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15">
      <c r="F26" s="6"/>
      <c r="G26" s="233"/>
    </row>
    <row r="27" spans="2:13" ht="15.75" customHeight="1" x14ac:dyDescent="0.15">
      <c r="B27" s="29" t="s">
        <v>224</v>
      </c>
      <c r="C27" s="134" t="s">
        <v>225</v>
      </c>
      <c r="G27" s="6"/>
    </row>
    <row r="28" spans="2:13" ht="15.75" customHeight="1" x14ac:dyDescent="0.15">
      <c r="B28" s="3" t="s">
        <v>226</v>
      </c>
      <c r="C28" s="163">
        <f>IF(OR(E15="",F15=""),D16,E16)*(1+G15)</f>
        <v>443951.06741093809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228</v>
      </c>
      <c r="C29" s="164">
        <f>(C28*(1-G17))/F28</f>
        <v>4141334.5840572589</v>
      </c>
      <c r="G29" s="6"/>
    </row>
    <row r="30" spans="2:13" ht="15.75" customHeight="1" thickTop="1" x14ac:dyDescent="0.15">
      <c r="B30" s="107" t="s">
        <v>229</v>
      </c>
      <c r="C30" s="163">
        <f>C29/(IF(OR(E15="",F15=""),D24,E24)*(1+G23))</f>
        <v>3597849.9853189518</v>
      </c>
      <c r="G30" s="6"/>
    </row>
    <row r="31" spans="2:13" ht="15.75" customHeight="1" x14ac:dyDescent="0.15">
      <c r="B31" s="107" t="s">
        <v>230</v>
      </c>
      <c r="C31" s="163">
        <f>IF(OR(E15="",F15=""),D18*0.5/D24,D25+E25)</f>
        <v>150919.55610427997</v>
      </c>
    </row>
    <row r="32" spans="2:13" ht="15.75" customHeight="1" x14ac:dyDescent="0.15">
      <c r="B32" s="107" t="s">
        <v>231</v>
      </c>
      <c r="C32" s="163">
        <f>'Asset Model'!D51</f>
        <v>168341.3</v>
      </c>
    </row>
    <row r="33" spans="2:13" ht="15.75" customHeight="1" x14ac:dyDescent="0.15">
      <c r="B33" s="107" t="s">
        <v>232</v>
      </c>
      <c r="C33" s="163">
        <f>Data!C27</f>
        <v>1659687</v>
      </c>
    </row>
    <row r="34" spans="2:13" ht="15.75" customHeight="1" x14ac:dyDescent="0.15">
      <c r="B34" s="80" t="s">
        <v>233</v>
      </c>
      <c r="C34" s="163">
        <f>'Asset Model'!D48</f>
        <v>892512</v>
      </c>
    </row>
    <row r="35" spans="2:13" ht="15.75" customHeight="1" thickBot="1" x14ac:dyDescent="0.2">
      <c r="B35" s="165" t="s">
        <v>234</v>
      </c>
      <c r="C35" s="163">
        <f>'Asset Model'!E43</f>
        <v>531583.70975021203</v>
      </c>
    </row>
    <row r="36" spans="2:13" ht="15.75" customHeight="1" thickTop="1" x14ac:dyDescent="0.15">
      <c r="B36" s="5" t="s">
        <v>235</v>
      </c>
      <c r="C36" s="166">
        <f>C30+C31+(C32+C33-C34-C35)</f>
        <v>4152702.1316730198</v>
      </c>
      <c r="D36" s="167" t="str">
        <f>Dashboard!H12</f>
        <v>CNY</v>
      </c>
      <c r="E36" s="6"/>
    </row>
    <row r="37" spans="2:13" ht="15.75" customHeight="1" x14ac:dyDescent="0.15">
      <c r="B37" s="5" t="s">
        <v>236</v>
      </c>
      <c r="C37" s="168">
        <f>C36*Data!C4/Common_Shares*Exchange_Rate</f>
        <v>0.85343920804714601</v>
      </c>
      <c r="D37" s="76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237</v>
      </c>
      <c r="C39" s="169"/>
      <c r="D39" s="26"/>
      <c r="E39" s="170"/>
      <c r="F39" s="171"/>
    </row>
    <row r="40" spans="2:13" ht="15.75" customHeight="1" x14ac:dyDescent="0.15">
      <c r="B40" s="3" t="s">
        <v>226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2">
      <c r="B41" s="80" t="s">
        <v>228</v>
      </c>
      <c r="C41" s="164">
        <f>G22/(G23-G15)</f>
        <v>4141334.584057258</v>
      </c>
      <c r="D41" s="172"/>
      <c r="E41" s="6" t="s">
        <v>227</v>
      </c>
      <c r="F41" s="15">
        <f>G18/C41</f>
        <v>8.0400000000000013E-2</v>
      </c>
      <c r="G41" s="6"/>
      <c r="M41" s="1"/>
    </row>
    <row r="42" spans="2:13" ht="15.75" customHeight="1" thickTop="1" x14ac:dyDescent="0.15">
      <c r="B42" s="107" t="s">
        <v>229</v>
      </c>
      <c r="C42" s="163">
        <f>C41/G24</f>
        <v>3597849.9853189508</v>
      </c>
      <c r="D42" s="173"/>
      <c r="F42" s="6"/>
      <c r="G42" s="6"/>
      <c r="I42" s="361"/>
      <c r="J42" s="361"/>
      <c r="K42" s="361"/>
      <c r="L42" s="174"/>
      <c r="M42" s="175"/>
    </row>
    <row r="43" spans="2:13" ht="15.75" customHeight="1" thickBot="1" x14ac:dyDescent="0.2">
      <c r="B43" s="107" t="s">
        <v>230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15">
      <c r="B44" s="5" t="s">
        <v>235</v>
      </c>
      <c r="C44" s="166">
        <f>C43+C42+(C32+C33-C34-C35)</f>
        <v>4170722.3771780073</v>
      </c>
      <c r="D44" s="167" t="str">
        <f>Dashboard!H12</f>
        <v>CNY</v>
      </c>
      <c r="E44" s="170" t="s">
        <v>134</v>
      </c>
      <c r="F44" s="30">
        <f>IF(Data!F3&lt;=0,"NNI",C45/((Data!F3*Exchange_Rate)/(Common_Shares/Data!C4)))</f>
        <v>0.40482211801558993</v>
      </c>
      <c r="G44" s="6"/>
      <c r="H44" s="176"/>
      <c r="I44" s="6"/>
    </row>
    <row r="45" spans="2:13" ht="15.75" customHeight="1" x14ac:dyDescent="0.15">
      <c r="B45" s="5" t="s">
        <v>236</v>
      </c>
      <c r="C45" s="168">
        <f>C44*Data!C4/Common_Shares*Exchange_Rate</f>
        <v>0.85714262417595832</v>
      </c>
      <c r="D45" s="76" t="str">
        <f>Dashboard!I4</f>
        <v>HKD</v>
      </c>
      <c r="E45" s="170" t="s">
        <v>136</v>
      </c>
      <c r="F45" s="30">
        <f>C45/(Data!C25*Exchange_Rate*Data!C4/Common_Shares)</f>
        <v>1.0566976891409565</v>
      </c>
      <c r="G45" s="6"/>
    </row>
    <row r="46" spans="2:13" ht="15.75" customHeight="1" x14ac:dyDescent="0.15">
      <c r="C46" s="6"/>
      <c r="D46" s="6"/>
      <c r="F46" s="6"/>
      <c r="I46" s="80"/>
      <c r="J46" s="177"/>
    </row>
    <row r="47" spans="2:13" ht="15.75" customHeight="1" x14ac:dyDescent="0.15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15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15">
      <c r="B49" s="3" t="s">
        <v>243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0.85714262417595832</v>
      </c>
      <c r="G49" s="187">
        <f>IF(Data!F$3&lt;=0,"NNI",F49/((Data!F$3*Exchange_Rate)/(Common_Shares/Data!C$4)))</f>
        <v>0.40482211801558993</v>
      </c>
      <c r="I49" s="134" t="s">
        <v>244</v>
      </c>
    </row>
    <row r="50" spans="1:12" ht="15.75" customHeight="1" x14ac:dyDescent="0.15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0.93523204670114146</v>
      </c>
      <c r="G50" s="188">
        <f>IF(Data!F$3&lt;=0,"NNI",F50/((Data!F$3*Exchange_Rate)/(Common_Shares/Data!C$4)))</f>
        <v>0.44170317436446821</v>
      </c>
      <c r="I50" s="134"/>
    </row>
    <row r="51" spans="1:12" ht="15.75" customHeight="1" x14ac:dyDescent="0.15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1.1014589349993869</v>
      </c>
      <c r="G51" s="188">
        <f>IF(Data!F$3&lt;=0,"NNI",F51/((Data!F$3*Exchange_Rate)/(Common_Shares/Data!C$4)))</f>
        <v>0.52021090352649679</v>
      </c>
      <c r="I51" s="134"/>
    </row>
    <row r="52" spans="1:12" ht="15.75" customHeight="1" x14ac:dyDescent="0.15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1.3218073330109146</v>
      </c>
      <c r="G52" s="188">
        <f>IF(Data!F$3&lt;=0,"NNI",F52/((Data!F$3*Exchange_Rate)/(Common_Shares/Data!C$4)))</f>
        <v>0.62427982119364234</v>
      </c>
      <c r="I52" s="134" t="s">
        <v>245</v>
      </c>
    </row>
    <row r="53" spans="1:12" ht="15.75" customHeight="1" x14ac:dyDescent="0.15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1.4851653292107785</v>
      </c>
      <c r="G53" s="188">
        <f>IF(Data!F$3&lt;=0,"NNI",F53/((Data!F$3*Exchange_Rate)/(Common_Shares/Data!C$4)))</f>
        <v>0.70143259384917167</v>
      </c>
      <c r="I53" s="134"/>
    </row>
    <row r="54" spans="1:12" ht="15.75" customHeight="1" x14ac:dyDescent="0.15">
      <c r="B54" s="3" t="s">
        <v>246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1.5331739106082585</v>
      </c>
      <c r="G54" s="190">
        <f>IF(Data!F$3&lt;=0,"NNI",F54/((Data!F$3*Exchange_Rate)/(Common_Shares/Data!C$4)))</f>
        <v>0.72410669155016527</v>
      </c>
      <c r="I54" s="13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15">
      <c r="A57" s="6"/>
      <c r="B57" s="121" t="s">
        <v>247</v>
      </c>
      <c r="C57" s="195">
        <f>C37</f>
        <v>0.85343920804714601</v>
      </c>
      <c r="D57" s="26" t="str">
        <f>IF(C57&lt;E57,"&lt;",IF(C57=E57,"=","&gt;"))</f>
        <v>&lt;</v>
      </c>
      <c r="E57" s="196">
        <f>F54</f>
        <v>1.5331739106082585</v>
      </c>
      <c r="F57" s="6"/>
      <c r="G57" s="6"/>
      <c r="H57" s="6"/>
      <c r="I57" s="6"/>
      <c r="J57" s="6"/>
      <c r="K57" s="6"/>
      <c r="L57" s="6"/>
    </row>
    <row r="58" spans="1:12" ht="15.7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-0.32818777766352203</v>
      </c>
    </row>
    <row r="59" spans="1:12" ht="15.75" customHeight="1" x14ac:dyDescent="0.15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-3.017589538789017</v>
      </c>
      <c r="K59" s="276">
        <f t="dataTable" ref="K59:K60" dt2D="0" dtr="0" r1="C60" ca="1"/>
        <v>-0.32818777766352203</v>
      </c>
    </row>
    <row r="60" spans="1:12" ht="15.75" customHeight="1" x14ac:dyDescent="0.15">
      <c r="B60" s="6"/>
      <c r="C60" s="186">
        <f>J59</f>
        <v>-3.017589538789017</v>
      </c>
      <c r="D60" s="186">
        <f>D22/(Dashboard!H5/Data!C4)</f>
        <v>4.1177209839014441E-2</v>
      </c>
      <c r="E60" s="186">
        <f>IF(E7="",I60,E22)/(Dashboard!H5/Data!C4)</f>
        <v>1.3342703491668695</v>
      </c>
      <c r="F60" s="264" t="str">
        <f>IF(E7="","",IF(F15="",I60,F22)/(Dashboard!H5/Data!C4))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5832189.0310878512</v>
      </c>
      <c r="J60" s="277">
        <f>-Dashboard!C22+(C32+C33-C34-C35)/(Dashboard!H5/Data!C4)</f>
        <v>-5.2075895387890174</v>
      </c>
      <c r="K60" s="276">
        <v>-0.48985265825944424</v>
      </c>
    </row>
    <row r="61" spans="1:12" ht="15.75" customHeight="1" x14ac:dyDescent="0.15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15">
      <c r="C62" s="316" t="s">
        <v>252</v>
      </c>
      <c r="D62" s="362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15">
      <c r="B63" s="6" t="s">
        <v>256</v>
      </c>
      <c r="C63" s="197">
        <f>MIN(C57,E57)+(ABS(C57-E57)*'Qualitative Analysis'!E56)</f>
        <v>1.2902284816982712</v>
      </c>
      <c r="D63" s="262" t="str">
        <f>D45</f>
        <v>HKD</v>
      </c>
      <c r="E63" s="263">
        <f>IF(Data!F3&lt;=0,"NNI",C63/((Data!F3*Exchange_Rate)/(Common_Shares/Data!C4)))</f>
        <v>0.60936536342160719</v>
      </c>
      <c r="F63" s="263">
        <f>C63/(Data!C25*Exchange_Rate*Data!C4/Common_Shares)</f>
        <v>1.5906121299067804</v>
      </c>
      <c r="G63" s="273">
        <f>IRR(C60:G60)</f>
        <v>-0.32818777766352203</v>
      </c>
      <c r="H63" s="6"/>
      <c r="I63" s="134" t="s">
        <v>257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258</v>
      </c>
      <c r="C2" s="199"/>
      <c r="D2" s="8"/>
      <c r="E2" s="8"/>
    </row>
    <row r="3" spans="1:6" ht="15" customHeight="1" x14ac:dyDescent="0.15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15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15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15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15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15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15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15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15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15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15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15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15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15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15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15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15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15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15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15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295</v>
      </c>
      <c r="C24" s="203"/>
      <c r="D24" s="13"/>
      <c r="E24" s="13"/>
    </row>
    <row r="25" spans="1:6" ht="14" x14ac:dyDescent="0.15">
      <c r="B25" s="204" t="s">
        <v>296</v>
      </c>
      <c r="C25" s="205"/>
      <c r="D25" s="6"/>
      <c r="E25" s="6"/>
    </row>
    <row r="26" spans="1:6" ht="14" x14ac:dyDescent="0.15">
      <c r="B26" s="6" t="s">
        <v>297</v>
      </c>
      <c r="C26" s="205"/>
      <c r="D26" s="202">
        <f>IF(E26="Strongly disagree",0,IF(E26="disagree",1,IF(E26="unclear",2,IF(E26="agree",3,4))))</f>
        <v>4</v>
      </c>
      <c r="E26" s="45" t="s">
        <v>298</v>
      </c>
      <c r="F26" s="6"/>
    </row>
    <row r="27" spans="1:6" ht="14" x14ac:dyDescent="0.15">
      <c r="B27" s="6" t="s">
        <v>299</v>
      </c>
      <c r="C27" s="205"/>
      <c r="D27" s="202">
        <f t="shared" ref="D27:D28" si="4">IF(E27="Strongly disagree",0,IF(E27="disagree",1,IF(E27="unclear",2,IF(E27="agree",3,4))))</f>
        <v>3</v>
      </c>
      <c r="E27" s="45" t="s">
        <v>300</v>
      </c>
      <c r="F27" s="6"/>
    </row>
    <row r="28" spans="1:6" ht="14" x14ac:dyDescent="0.15">
      <c r="B28" s="6" t="s">
        <v>301</v>
      </c>
      <c r="C28" s="205"/>
      <c r="D28" s="202">
        <f t="shared" si="4"/>
        <v>4</v>
      </c>
      <c r="E28" s="45" t="s">
        <v>298</v>
      </c>
      <c r="F28" s="6"/>
    </row>
    <row r="29" spans="1:6" ht="14" x14ac:dyDescent="0.15">
      <c r="B29" s="206" t="s">
        <v>302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15">
      <c r="B30" s="205"/>
      <c r="C30" s="205"/>
      <c r="E30" s="6"/>
    </row>
    <row r="31" spans="1:6" ht="14" x14ac:dyDescent="0.15">
      <c r="B31" s="208" t="s">
        <v>303</v>
      </c>
      <c r="C31" s="201"/>
    </row>
    <row r="32" spans="1:6" ht="14" x14ac:dyDescent="0.15">
      <c r="B32" s="201" t="s">
        <v>304</v>
      </c>
      <c r="C32" s="201"/>
      <c r="E32" s="6"/>
    </row>
    <row r="33" spans="2:6" ht="14" x14ac:dyDescent="0.15">
      <c r="B33" s="80" t="s">
        <v>305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15">
      <c r="B34" s="80" t="s">
        <v>306</v>
      </c>
      <c r="D34" s="209">
        <f>IF(E34="Strongly disagree",0,IF(E34="disagree",1,IF(E34="unclear",2,IF(E34="agree",3,4))))</f>
        <v>3</v>
      </c>
      <c r="E34" s="45" t="s">
        <v>300</v>
      </c>
      <c r="F34" s="6"/>
    </row>
    <row r="35" spans="2:6" ht="14" x14ac:dyDescent="0.15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15">
      <c r="B36" s="80" t="s">
        <v>309</v>
      </c>
      <c r="D36" s="209">
        <f>IF(E36="Strongly disagree",0,IF(E36="disagree",1,IF(E36="unclear",2,IF(E36="agree",3,4))))</f>
        <v>1</v>
      </c>
      <c r="E36" s="45" t="s">
        <v>310</v>
      </c>
      <c r="F36" s="6"/>
    </row>
    <row r="37" spans="2:6" ht="14" x14ac:dyDescent="0.15">
      <c r="B37" s="80" t="s">
        <v>311</v>
      </c>
      <c r="D37" s="209">
        <f>IF(E37="Strongly disagree",0,IF(E37="disagree",1,IF(E37="unclear",2,IF(E37="agree",3,4))))</f>
        <v>4</v>
      </c>
      <c r="E37" s="45" t="s">
        <v>298</v>
      </c>
      <c r="F37" s="6"/>
    </row>
    <row r="38" spans="2:6" ht="14" x14ac:dyDescent="0.15">
      <c r="B38" s="201" t="s">
        <v>312</v>
      </c>
      <c r="D38" s="54"/>
      <c r="E38" s="26"/>
    </row>
    <row r="39" spans="2:6" ht="14" x14ac:dyDescent="0.15">
      <c r="B39" s="80" t="s">
        <v>313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15">
      <c r="B40" s="80" t="s">
        <v>314</v>
      </c>
      <c r="D40" s="209">
        <f t="shared" ref="D40:D43" si="5">IF(E40="Strongly disagree",0,IF(E40="disagree",1,IF(E40="unclear",2,IF(E40="agree",3,4))))</f>
        <v>3</v>
      </c>
      <c r="E40" s="45" t="s">
        <v>300</v>
      </c>
      <c r="F40" s="6"/>
    </row>
    <row r="41" spans="2:6" ht="15" customHeight="1" x14ac:dyDescent="0.15">
      <c r="B41" s="80" t="s">
        <v>315</v>
      </c>
      <c r="D41" s="209">
        <f t="shared" si="5"/>
        <v>1</v>
      </c>
      <c r="E41" s="45" t="s">
        <v>310</v>
      </c>
      <c r="F41" s="6"/>
    </row>
    <row r="42" spans="2:6" ht="15" customHeight="1" x14ac:dyDescent="0.15">
      <c r="B42" s="80" t="s">
        <v>316</v>
      </c>
      <c r="D42" s="209">
        <f t="shared" si="5"/>
        <v>3</v>
      </c>
      <c r="E42" s="45" t="s">
        <v>300</v>
      </c>
      <c r="F42" s="6"/>
    </row>
    <row r="43" spans="2:6" ht="15" customHeight="1" x14ac:dyDescent="0.15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15">
      <c r="B44" s="201" t="s">
        <v>318</v>
      </c>
      <c r="D44" s="54"/>
      <c r="E44" s="26"/>
    </row>
    <row r="45" spans="2:6" ht="14" x14ac:dyDescent="0.15">
      <c r="B45" s="80" t="s">
        <v>319</v>
      </c>
      <c r="D45" s="209">
        <f t="shared" ref="D45:D49" si="6">IF(E45="Strongly disagree",0,IF(E45="disagree",1,IF(E45="unclear",2,IF(E45="agree",3,4))))</f>
        <v>4</v>
      </c>
      <c r="E45" s="45" t="s">
        <v>298</v>
      </c>
      <c r="F45" s="6"/>
    </row>
    <row r="46" spans="2:6" ht="15" customHeight="1" x14ac:dyDescent="0.15">
      <c r="B46" s="80" t="s">
        <v>320</v>
      </c>
      <c r="D46" s="209">
        <f t="shared" si="6"/>
        <v>3</v>
      </c>
      <c r="E46" s="45" t="s">
        <v>300</v>
      </c>
      <c r="F46" s="6"/>
    </row>
    <row r="47" spans="2:6" ht="15" customHeight="1" x14ac:dyDescent="0.15">
      <c r="B47" s="80" t="s">
        <v>321</v>
      </c>
      <c r="D47" s="209">
        <f t="shared" si="6"/>
        <v>4</v>
      </c>
      <c r="E47" s="45" t="s">
        <v>298</v>
      </c>
      <c r="F47" s="6"/>
    </row>
    <row r="48" spans="2:6" ht="15" customHeight="1" x14ac:dyDescent="0.15">
      <c r="B48" s="80" t="s">
        <v>322</v>
      </c>
      <c r="D48" s="209">
        <f t="shared" si="6"/>
        <v>2</v>
      </c>
      <c r="E48" s="45" t="s">
        <v>308</v>
      </c>
      <c r="F48" s="6"/>
    </row>
    <row r="49" spans="2:6" ht="14" x14ac:dyDescent="0.15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15">
      <c r="B50" s="201" t="s">
        <v>324</v>
      </c>
      <c r="D50" s="54"/>
      <c r="E50" s="26"/>
    </row>
    <row r="51" spans="2:6" ht="14" x14ac:dyDescent="0.15">
      <c r="B51" s="80" t="s">
        <v>325</v>
      </c>
      <c r="D51" s="44"/>
      <c r="E51" s="75" t="str">
        <f>E67</f>
        <v>Medium</v>
      </c>
      <c r="F51" s="6"/>
    </row>
    <row r="52" spans="2:6" ht="14" x14ac:dyDescent="0.15">
      <c r="B52" s="80" t="s">
        <v>326</v>
      </c>
      <c r="D52" s="44"/>
      <c r="E52" s="75" t="str">
        <f>E77</f>
        <v>Very Low</v>
      </c>
      <c r="F52" s="6"/>
    </row>
    <row r="53" spans="2:6" ht="14" x14ac:dyDescent="0.15">
      <c r="B53" s="80" t="s">
        <v>327</v>
      </c>
      <c r="D53" s="44"/>
      <c r="E53" s="75" t="str">
        <f>E85</f>
        <v>Medium</v>
      </c>
      <c r="F53" s="6"/>
    </row>
    <row r="54" spans="2:6" ht="14" x14ac:dyDescent="0.15">
      <c r="B54" s="80" t="s">
        <v>328</v>
      </c>
      <c r="D54" s="44"/>
      <c r="E54" s="75" t="str">
        <f>E95</f>
        <v>Very High</v>
      </c>
      <c r="F54" s="6"/>
    </row>
    <row r="55" spans="2:6" ht="14" x14ac:dyDescent="0.15">
      <c r="B55" s="80" t="s">
        <v>329</v>
      </c>
      <c r="D55" s="44"/>
      <c r="E55" s="75" t="str">
        <f>E102</f>
        <v>Very High</v>
      </c>
      <c r="F55" s="6"/>
    </row>
    <row r="56" spans="2:6" ht="14" x14ac:dyDescent="0.15">
      <c r="B56" s="206" t="s">
        <v>330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15">
      <c r="E57" s="6"/>
    </row>
    <row r="58" spans="2:6" ht="14" x14ac:dyDescent="0.15">
      <c r="B58" s="208" t="s">
        <v>331</v>
      </c>
      <c r="C58" s="80"/>
      <c r="D58" s="54"/>
      <c r="E58" s="26"/>
    </row>
    <row r="59" spans="2:6" ht="14" x14ac:dyDescent="0.15">
      <c r="B59" s="3" t="s">
        <v>332</v>
      </c>
      <c r="D59" s="209">
        <f>IF(E59="Strongly disagree",0,IF(E59="disagree",1,IF(E59="unclear",2,IF(E59="agree",3,4))))</f>
        <v>4</v>
      </c>
      <c r="E59" s="45" t="s">
        <v>298</v>
      </c>
      <c r="F59" s="6"/>
    </row>
    <row r="60" spans="2:6" ht="14" x14ac:dyDescent="0.15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334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15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6" t="s">
        <v>336</v>
      </c>
      <c r="D63" s="209"/>
      <c r="E63" s="207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337</v>
      </c>
      <c r="C65" s="22"/>
      <c r="D65" s="22"/>
      <c r="E65" s="13"/>
    </row>
    <row r="66" spans="1:6" ht="15" customHeight="1" x14ac:dyDescent="0.15">
      <c r="B66" s="5" t="s">
        <v>338</v>
      </c>
      <c r="C66" s="6"/>
      <c r="D66" s="26"/>
      <c r="E66" s="6"/>
    </row>
    <row r="67" spans="1:6" ht="15" customHeight="1" x14ac:dyDescent="0.15">
      <c r="B67" s="80" t="s">
        <v>339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15">
      <c r="B69" s="80" t="s">
        <v>342</v>
      </c>
      <c r="D69" s="209">
        <f t="shared" si="8"/>
        <v>3</v>
      </c>
      <c r="E69" s="45" t="s">
        <v>300</v>
      </c>
      <c r="F69" s="6"/>
    </row>
    <row r="70" spans="1:6" ht="15" customHeight="1" x14ac:dyDescent="0.15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15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15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15">
      <c r="B73" s="80" t="s">
        <v>346</v>
      </c>
      <c r="D73" s="209">
        <f t="shared" si="8"/>
        <v>2</v>
      </c>
      <c r="E73" s="45" t="s">
        <v>308</v>
      </c>
      <c r="F73" s="6"/>
    </row>
    <row r="74" spans="1:6" ht="15" customHeight="1" x14ac:dyDescent="0.15">
      <c r="B74" s="80" t="s">
        <v>347</v>
      </c>
      <c r="D74" s="209">
        <f t="shared" si="8"/>
        <v>4</v>
      </c>
      <c r="E74" s="45" t="s">
        <v>298</v>
      </c>
      <c r="F74" s="6"/>
    </row>
    <row r="75" spans="1:6" ht="15" customHeight="1" x14ac:dyDescent="0.15">
      <c r="B75" s="80" t="s">
        <v>348</v>
      </c>
      <c r="D75" s="209">
        <f t="shared" si="8"/>
        <v>0</v>
      </c>
      <c r="E75" s="45" t="s">
        <v>341</v>
      </c>
      <c r="F75" s="6"/>
    </row>
    <row r="76" spans="1:6" ht="15" customHeight="1" x14ac:dyDescent="0.15">
      <c r="E76" s="6"/>
    </row>
    <row r="77" spans="1:6" ht="15" customHeight="1" x14ac:dyDescent="0.15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15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15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15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15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15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15">
      <c r="E84" s="6"/>
    </row>
    <row r="85" spans="2:6" ht="15" customHeight="1" x14ac:dyDescent="0.15">
      <c r="B85" s="80" t="s">
        <v>356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0" t="s">
        <v>357</v>
      </c>
      <c r="D86" s="209">
        <f t="shared" ref="D86:D93" si="10">IF(E86="Strongly disagree",0,IF(E86="disagree",1,IF(E86="unclear",2,IF(E86="agree",3,4))))</f>
        <v>0</v>
      </c>
      <c r="E86" s="45" t="s">
        <v>341</v>
      </c>
      <c r="F86" s="6"/>
    </row>
    <row r="87" spans="2:6" ht="15" customHeight="1" x14ac:dyDescent="0.15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15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15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15">
      <c r="B90" s="80" t="s">
        <v>361</v>
      </c>
      <c r="D90" s="209">
        <f t="shared" si="10"/>
        <v>0</v>
      </c>
      <c r="E90" s="45" t="s">
        <v>341</v>
      </c>
      <c r="F90" s="6"/>
    </row>
    <row r="91" spans="2:6" ht="15" customHeight="1" x14ac:dyDescent="0.15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15">
      <c r="B92" s="80" t="s">
        <v>363</v>
      </c>
      <c r="D92" s="209">
        <f t="shared" si="10"/>
        <v>4</v>
      </c>
      <c r="E92" s="45" t="s">
        <v>298</v>
      </c>
      <c r="F92" s="6"/>
    </row>
    <row r="93" spans="2:6" ht="15" customHeight="1" x14ac:dyDescent="0.15">
      <c r="B93" s="80" t="s">
        <v>364</v>
      </c>
      <c r="D93" s="209">
        <f t="shared" si="10"/>
        <v>4</v>
      </c>
      <c r="E93" s="45" t="s">
        <v>298</v>
      </c>
      <c r="F93" s="6"/>
    </row>
    <row r="94" spans="2:6" ht="15" customHeight="1" x14ac:dyDescent="0.15">
      <c r="E94" s="6"/>
    </row>
    <row r="95" spans="2:6" ht="15" customHeight="1" x14ac:dyDescent="0.15">
      <c r="B95" s="80" t="s">
        <v>365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15">
      <c r="B97" s="80" t="s">
        <v>367</v>
      </c>
      <c r="D97" s="209">
        <f t="shared" si="11"/>
        <v>4</v>
      </c>
      <c r="E97" s="45" t="s">
        <v>298</v>
      </c>
      <c r="F97" s="6"/>
    </row>
    <row r="98" spans="2:6" ht="15" customHeight="1" x14ac:dyDescent="0.15">
      <c r="B98" s="80" t="s">
        <v>368</v>
      </c>
      <c r="D98" s="209">
        <f t="shared" si="11"/>
        <v>3</v>
      </c>
      <c r="E98" s="45" t="s">
        <v>300</v>
      </c>
      <c r="F98" s="6"/>
    </row>
    <row r="99" spans="2:6" ht="15" customHeight="1" x14ac:dyDescent="0.15">
      <c r="B99" s="80" t="s">
        <v>369</v>
      </c>
      <c r="D99" s="209">
        <f t="shared" si="11"/>
        <v>1</v>
      </c>
      <c r="E99" s="45" t="s">
        <v>310</v>
      </c>
      <c r="F99" s="6"/>
    </row>
    <row r="100" spans="2:6" ht="15" customHeight="1" x14ac:dyDescent="0.15">
      <c r="B100" s="80" t="s">
        <v>370</v>
      </c>
      <c r="D100" s="213">
        <f t="array" ref="D100">(1-INDEX(B118:E127,MATCH(E100,B118:B127,0),4))*4</f>
        <v>1.9455782312925169</v>
      </c>
      <c r="E100" s="45" t="s">
        <v>371</v>
      </c>
      <c r="F100" s="6"/>
    </row>
    <row r="101" spans="2:6" ht="15" customHeight="1" x14ac:dyDescent="0.15">
      <c r="E101" s="6"/>
    </row>
    <row r="102" spans="2:6" ht="15" customHeight="1" x14ac:dyDescent="0.15">
      <c r="B102" s="80" t="s">
        <v>372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0" t="s">
        <v>373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15">
      <c r="B104" s="80" t="s">
        <v>374</v>
      </c>
      <c r="D104" s="209">
        <f t="shared" si="12"/>
        <v>4</v>
      </c>
      <c r="E104" s="45" t="s">
        <v>298</v>
      </c>
      <c r="F104" s="6"/>
    </row>
    <row r="105" spans="2:6" ht="15" customHeight="1" x14ac:dyDescent="0.15">
      <c r="B105" s="80" t="s">
        <v>375</v>
      </c>
      <c r="D105" s="209">
        <f t="shared" si="12"/>
        <v>4</v>
      </c>
      <c r="E105" s="45" t="s">
        <v>298</v>
      </c>
      <c r="F105" s="6"/>
    </row>
    <row r="106" spans="2:6" ht="15" customHeight="1" x14ac:dyDescent="0.15">
      <c r="B106" s="80" t="s">
        <v>376</v>
      </c>
      <c r="D106" s="209">
        <f t="shared" si="12"/>
        <v>4</v>
      </c>
      <c r="E106" s="45" t="s">
        <v>298</v>
      </c>
      <c r="F106" s="6"/>
    </row>
    <row r="107" spans="2:6" ht="15" customHeight="1" x14ac:dyDescent="0.15">
      <c r="B107" s="80" t="s">
        <v>377</v>
      </c>
      <c r="D107" s="209">
        <f t="shared" si="12"/>
        <v>4</v>
      </c>
      <c r="E107" s="45" t="s">
        <v>298</v>
      </c>
      <c r="F107" s="6"/>
    </row>
    <row r="108" spans="2:6" ht="15" customHeight="1" x14ac:dyDescent="0.15">
      <c r="B108" s="80" t="s">
        <v>378</v>
      </c>
      <c r="D108" s="209">
        <f t="shared" si="12"/>
        <v>3</v>
      </c>
      <c r="E108" s="45" t="s">
        <v>300</v>
      </c>
      <c r="F108" s="6"/>
    </row>
    <row r="109" spans="2:6" ht="15" customHeight="1" x14ac:dyDescent="0.15">
      <c r="B109" s="80" t="s">
        <v>379</v>
      </c>
      <c r="D109" s="209">
        <f t="shared" si="12"/>
        <v>4</v>
      </c>
      <c r="E109" s="45" t="s">
        <v>298</v>
      </c>
      <c r="F109" s="6"/>
    </row>
    <row r="110" spans="2:6" ht="15" customHeight="1" x14ac:dyDescent="0.15">
      <c r="B110" s="80" t="s">
        <v>380</v>
      </c>
      <c r="D110" s="209">
        <f t="shared" si="12"/>
        <v>4</v>
      </c>
      <c r="E110" s="45" t="s">
        <v>298</v>
      </c>
      <c r="F110" s="6"/>
    </row>
    <row r="111" spans="2:6" ht="15" customHeight="1" x14ac:dyDescent="0.15">
      <c r="B111" s="80" t="s">
        <v>381</v>
      </c>
      <c r="D111" s="209">
        <f>IF(E111="Strongly disagree",0,IF(E111="disagree",1,IF(E111="non-perishable",2,IF(E111="agree",3,4))))</f>
        <v>3</v>
      </c>
      <c r="E111" s="45" t="s">
        <v>300</v>
      </c>
      <c r="F111" s="6"/>
    </row>
    <row r="112" spans="2:6" ht="15" customHeight="1" x14ac:dyDescent="0.15">
      <c r="E112" s="6"/>
    </row>
    <row r="113" spans="2:8" ht="15" customHeight="1" x14ac:dyDescent="0.15">
      <c r="B113" s="80" t="s">
        <v>382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0" t="s">
        <v>383</v>
      </c>
      <c r="D114" s="6"/>
      <c r="E114" s="37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1" t="s">
        <v>384</v>
      </c>
      <c r="C116" s="7"/>
      <c r="D116" s="7"/>
      <c r="E116" s="83"/>
      <c r="F116" s="80"/>
      <c r="G116" s="80"/>
      <c r="H116" s="80"/>
    </row>
    <row r="117" spans="2:8" ht="15" customHeight="1" x14ac:dyDescent="0.15">
      <c r="B117" s="216" t="s">
        <v>385</v>
      </c>
      <c r="C117" s="217"/>
      <c r="D117" s="217"/>
      <c r="E117" s="218"/>
      <c r="F117" s="80"/>
      <c r="G117" s="80"/>
      <c r="H117" s="80"/>
    </row>
    <row r="118" spans="2:8" ht="15" customHeight="1" x14ac:dyDescent="0.15">
      <c r="B118" s="219" t="s">
        <v>386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15">
      <c r="B119" s="219" t="str">
        <f t="shared" ref="B119:B127" si="14">C119&amp;", "&amp;D119&amp;"y"</f>
        <v>Information Technology Like, 6.6y</v>
      </c>
      <c r="C119" s="217" t="s">
        <v>387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15">
      <c r="B120" s="219" t="str">
        <f t="shared" si="14"/>
        <v>Healthcare, 11.4y</v>
      </c>
      <c r="C120" s="217" t="s">
        <v>388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15">
      <c r="B121" s="219" t="str">
        <f t="shared" si="14"/>
        <v>Consumer Discretionary, 12.4y</v>
      </c>
      <c r="C121" s="217" t="s">
        <v>389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15">
      <c r="B122" s="219" t="str">
        <f t="shared" si="14"/>
        <v>Consumer Staples, 15.1y</v>
      </c>
      <c r="C122" s="217" t="s">
        <v>390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15">
      <c r="B123" s="219" t="str">
        <f t="shared" si="14"/>
        <v>Industrials, 15.4y</v>
      </c>
      <c r="C123" s="217" t="s">
        <v>391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15">
      <c r="B124" s="219" t="str">
        <f t="shared" si="14"/>
        <v>Telecommunication Services, 16.1y</v>
      </c>
      <c r="C124" s="217" t="s">
        <v>392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15">
      <c r="B125" s="219" t="str">
        <f t="shared" si="14"/>
        <v>Energy, 17.6y</v>
      </c>
      <c r="C125" s="217" t="s">
        <v>393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15">
      <c r="B126" s="219" t="str">
        <f t="shared" si="14"/>
        <v>Materials, 18.6y</v>
      </c>
      <c r="C126" s="217" t="s">
        <v>394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15">
      <c r="B127" s="221" t="str">
        <f t="shared" si="14"/>
        <v>Utilities, 29.4y</v>
      </c>
      <c r="C127" s="222" t="s">
        <v>395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2022-12-07T13:20:24Z</dcterms:modified>
  <cp:category/>
  <cp:contentStatus/>
</cp:coreProperties>
</file>