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13_ncr:1_{32640C72-FB7F-4B46-B9EE-207AF5AF137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G60" i="4"/>
  <c r="D13" i="4"/>
  <c r="D8" i="4"/>
  <c r="C19" i="1"/>
  <c r="H25" i="1" l="1"/>
  <c r="C25" i="1"/>
  <c r="E4" i="4"/>
  <c r="D11" i="1"/>
  <c r="D13" i="1"/>
  <c r="C23" i="1"/>
  <c r="I13" i="1"/>
  <c r="E5" i="1"/>
  <c r="D52" i="3"/>
  <c r="E4" i="2"/>
  <c r="E8" i="4"/>
  <c r="E9" i="4"/>
  <c r="E11" i="4" s="1"/>
  <c r="E13" i="4"/>
  <c r="E10" i="3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M32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D51" i="3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C21" i="2"/>
  <c r="H38" i="1"/>
  <c r="H39" i="1" s="1"/>
  <c r="H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D3" i="3" l="1"/>
  <c r="C25" i="2" s="1"/>
  <c r="F23" i="1" s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C33" i="2"/>
  <c r="C74" i="2" s="1"/>
  <c r="D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C42" i="4"/>
  <c r="D57" i="4"/>
  <c r="E56" i="4" s="1"/>
  <c r="F60" i="4" l="1"/>
  <c r="E60" i="4"/>
  <c r="G63" i="4" s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K58" i="4" l="1"/>
  <c r="H24" i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<sst xmlns="http://schemas.openxmlformats.org/spreadsheetml/2006/main" count="471" uniqueCount="400">
  <si>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</si>
  <si>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</si>
  <si>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</si>
  <si>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</si>
  <si>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</si>
  <si>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</si>
  <si>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</si>
  <si>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</si>
  <si>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</si>
  <si>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</si>
  <si>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</si>
  <si>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</si>
  <si>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</si>
  <si>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</si>
  <si>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</si>
  <si>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</si>
  <si>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</si>
  <si>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</si>
  <si>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</si>
  <si>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</si>
  <si>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</si>
  <si>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</si>
  <si>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</si>
  <si>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</si>
  <si>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</si>
  <si>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</si>
  <si>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</si>
  <si>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</si>
  <si>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</si>
  <si>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</si>
  <si>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</si>
  <si>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</si>
  <si>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</si>
  <si>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</si>
  <si>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</si>
  <si>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</si>
  <si>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</si>
  <si>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</si>
  <si>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</si>
  <si>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</si>
  <si>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</si>
  <si>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</si>
  <si>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</si>
  <si>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</si>
  <si>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</si>
  <si>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</si>
  <si>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</si>
  <si>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</si>
  <si>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</si>
  <si>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</si>
  <si>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</si>
  <si>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</si>
  <si>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</si>
  <si>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</si>
  <si>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</si>
  <si>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</si>
  <si>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</si>
  <si>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</si>
  <si>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</si>
  <si>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</si>
  <si>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</si>
  <si>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</si>
  <si>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</si>
  <si>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</si>
  <si>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</si>
  <si>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</si>
  <si>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</si>
  <si>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</si>
  <si>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</si>
  <si>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</si>
  <si>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</si>
  <si>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</si>
  <si>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</si>
  <si>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</si>
  <si>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</si>
  <si>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</si>
  <si>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</si>
  <si>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</si>
  <si>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</si>
  <si>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</si>
  <si>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</si>
  <si>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</si>
  <si>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</si>
  <si>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</si>
  <si>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</si>
  <si>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</si>
  <si>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</si>
  <si>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</si>
  <si>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</si>
  <si>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</si>
  <si>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</si>
  <si>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</si>
  <si>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</si>
  <si>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</si>
  <si>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</si>
  <si>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</si>
  <si>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</si>
  <si>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</si>
  <si>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</si>
  <si>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</si>
  <si>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</si>
  <si>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</si>
  <si>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</si>
  <si>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</si>
  <si>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</si>
  <si>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</si>
  <si>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</si>
  <si>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</si>
  <si>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</si>
  <si>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</si>
  <si>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</si>
  <si>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</si>
  <si>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</si>
  <si>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</si>
  <si>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</si>
  <si>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</si>
  <si>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</si>
  <si>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</si>
  <si>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</si>
  <si>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</si>
  <si>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</si>
  <si>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</si>
  <si>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</si>
  <si>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</si>
  <si>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</si>
  <si>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</si>
  <si>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</si>
  <si>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</si>
  <si>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</si>
  <si>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</si>
  <si>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</si>
  <si>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</si>
  <si>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</si>
  <si>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</si>
  <si>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</si>
  <si>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</si>
  <si>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</si>
  <si>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</si>
  <si>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</si>
  <si>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</si>
  <si>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</si>
  <si>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</si>
  <si>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</si>
  <si>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</si>
  <si>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</si>
  <si>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</si>
  <si>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</si>
  <si>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</si>
  <si>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</si>
  <si>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</si>
  <si>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</si>
  <si>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</si>
  <si>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</si>
  <si>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</si>
  <si>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</si>
  <si>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</si>
  <si>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</si>
  <si>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</si>
  <si>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</si>
  <si>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</si>
  <si>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</si>
  <si>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</si>
  <si>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</si>
  <si>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</si>
  <si>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</si>
  <si>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</si>
  <si>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</si>
  <si>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</si>
  <si>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</si>
  <si>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</si>
  <si>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</si>
  <si>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</si>
  <si>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</si>
  <si>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</si>
  <si>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</si>
  <si>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</si>
  <si>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</si>
  <si>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</si>
  <si>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</si>
  <si>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</si>
  <si>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</si>
  <si>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</si>
  <si>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</si>
  <si>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</si>
  <si>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</si>
  <si>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</si>
  <si>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</si>
  <si>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</si>
  <si>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</si>
  <si>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</si>
  <si>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</si>
  <si>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</si>
  <si>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</si>
  <si>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</si>
  <si>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</si>
  <si>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</si>
  <si>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</si>
  <si>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</si>
  <si>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</si>
  <si>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</si>
  <si>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</si>
  <si>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</si>
  <si>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</si>
  <si>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</si>
  <si>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</si>
  <si>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</si>
  <si>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</si>
  <si>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</si>
  <si>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</si>
  <si>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</si>
  <si>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</si>
  <si>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</si>
  <si>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</si>
  <si>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</si>
  <si>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</si>
  <si>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</si>
  <si>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</si>
  <si>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</si>
  <si>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</si>
  <si>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</si>
  <si>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</si>
  <si>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</si>
  <si>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</si>
  <si>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</si>
  <si>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</si>
  <si>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</si>
  <si>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</si>
  <si>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</si>
  <si>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</si>
  <si>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</si>
  <si>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</si>
  <si>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</si>
  <si>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</si>
  <si>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</si>
  <si>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</si>
  <si>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</si>
  <si>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</si>
  <si>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</si>
  <si>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</si>
  <si>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</si>
  <si>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</si>
  <si>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</si>
  <si>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</si>
  <si>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</si>
  <si>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</si>
  <si>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</si>
  <si>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</si>
  <si>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</si>
  <si>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</si>
  <si>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</si>
  <si>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</si>
  <si>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</si>
  <si>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</si>
  <si>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</si>
  <si>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</si>
  <si>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</si>
  <si>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</si>
  <si>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</si>
  <si>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</si>
  <si>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</si>
  <si>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</si>
  <si>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</si>
  <si>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</si>
  <si>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</si>
  <si>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</si>
  <si>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</si>
  <si>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</si>
  <si>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</si>
  <si>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</si>
  <si>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</si>
  <si>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</si>
  <si>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</si>
  <si>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</si>
  <si>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</si>
  <si>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</si>
  <si>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</si>
  <si>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</si>
  <si>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</si>
  <si>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</si>
  <si>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</si>
  <si>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</si>
  <si>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</si>
  <si>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</si>
  <si>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</si>
  <si>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</si>
  <si>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</si>
  <si>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</si>
  <si>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</si>
  <si>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</si>
  <si>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</si>
  <si>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</si>
  <si>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</si>
  <si>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</si>
  <si>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</si>
  <si>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</si>
  <si>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</si>
  <si>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</si>
  <si>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</si>
  <si>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</si>
  <si>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</si>
  <si>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</si>
  <si>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</si>
  <si>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</si>
  <si>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</si>
  <si>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</si>
  <si>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</si>
  <si>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</si>
  <si>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</si>
  <si>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</si>
  <si>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</si>
  <si>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</si>
  <si>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</si>
  <si>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</si>
  <si>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</si>
  <si>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</si>
  <si>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</si>
  <si>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</si>
  <si>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</si>
  <si>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</si>
  <si>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</si>
  <si>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</si>
  <si>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</si>
  <si>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</si>
  <si>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</si>
  <si>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</si>
  <si>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</si>
  <si>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</si>
  <si>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</si>
  <si>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</si>
  <si>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</si>
  <si>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</si>
  <si>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</si>
  <si>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</si>
  <si>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</si>
  <si>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</si>
  <si>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</si>
  <si>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</si>
  <si>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</si>
  <si>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</si>
  <si>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</si>
  <si>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</si>
  <si>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</si>
  <si>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</si>
  <si>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</si>
  <si>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</si>
  <si>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</si>
  <si>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</si>
  <si>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</si>
  <si>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</si>
  <si>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</si>
  <si>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</si>
  <si>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</si>
  <si>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</si>
  <si>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</si>
  <si>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</si>
  <si>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</si>
  <si>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</si>
  <si>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</si>
  <si>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</si>
  <si>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</si>
  <si>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</si>
  <si>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</si>
  <si>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</si>
  <si>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</si>
  <si>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</si>
  <si>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</si>
  <si>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</si>
  <si>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</si>
  <si>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</si>
  <si>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</si>
  <si>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</si>
  <si>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</si>
  <si>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</si>
  <si>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</si>
  <si>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</si>
  <si>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</si>
  <si>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</si>
  <si>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</si>
  <si>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</si>
  <si>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</si>
  <si>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</si>
  <si>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</si>
  <si>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</si>
  <si>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</si>
  <si>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</si>
  <si>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</si>
  <si>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</si>
  <si>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</si>
  <si>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</si>
  <si>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</si>
  <si>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</si>
  <si>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</si>
  <si>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</si>
  <si>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</si>
  <si>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</si>
  <si>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SHOUCHENG</t>
  </si>
  <si>
    <t>0697.HK</t>
  </si>
  <si>
    <t>HKG</t>
  </si>
  <si>
    <t>Information Technology Like, 6.6y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</si>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</sst>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165" fontId="3" fillId="0" borderId="51" xfId="0" applyNumberFormat="1" applyFont="1" applyBorder="1" applyAlignment="1">
      <alignment horizontal="center"/>
    </xf>
    <xf numFmtId="173" fontId="1" fillId="0" borderId="51" xfId="0" applyNumberFormat="1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B7" zoomScale="192" workbookViewId="0">
      <selection activeCell="C29" sqref="C29:F29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6" t="str">
        <f>C3&amp;" : "&amp;C4</f>
        <v>0697.HK : SHOUCHENG</v>
      </c>
      <c r="D2" s="329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0" t="s">
        <v>396</v>
      </c>
      <c r="D3" s="331"/>
      <c r="E3" s="16"/>
      <c r="G3" s="7" t="s">
        <v>2</v>
      </c>
      <c r="H3" s="335" t="s">
        <v>397</v>
      </c>
      <c r="I3" s="336"/>
    </row>
    <row r="4" spans="1:11" ht="15.75" customHeight="1" x14ac:dyDescent="0.15">
      <c r="B4" s="5" t="s">
        <v>3</v>
      </c>
      <c r="C4" s="332" t="s">
        <v>395</v>
      </c>
      <c r="D4" s="333"/>
      <c r="E4" s="6"/>
      <c r="G4" s="5" t="s">
        <v>4</v>
      </c>
      <c r="H4" s="46">
        <v>1.74</v>
      </c>
      <c r="I4" s="47" t="s">
        <v>5</v>
      </c>
    </row>
    <row r="5" spans="1:11" ht="15.75" customHeight="1" x14ac:dyDescent="0.15">
      <c r="B5" s="5" t="s">
        <v>6</v>
      </c>
      <c r="C5" s="334">
        <v>44502</v>
      </c>
      <c r="D5" s="333"/>
      <c r="E5" s="266" t="str">
        <f ca="1">IF(C5+30&gt;=TODAY(),"Patience Premium","")</f>
        <v/>
      </c>
      <c r="G5" s="5" t="s">
        <v>7</v>
      </c>
      <c r="H5" s="337">
        <v>7275935194</v>
      </c>
      <c r="I5" s="338"/>
    </row>
    <row r="6" spans="1:11" ht="15.75" customHeight="1" x14ac:dyDescent="0.15">
      <c r="B6" s="13" t="s">
        <v>8</v>
      </c>
      <c r="C6" s="343">
        <v>44925</v>
      </c>
      <c r="D6" s="323"/>
      <c r="E6" s="266"/>
      <c r="G6" s="8" t="s">
        <v>9</v>
      </c>
      <c r="H6" s="344">
        <f>H4*H5/1000000</f>
        <v>12660.12723756</v>
      </c>
      <c r="I6" s="345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4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4"/>
      <c r="D9" s="48">
        <v>3.5400000000000001E-2</v>
      </c>
      <c r="E9" s="5"/>
      <c r="G9" s="5" t="s">
        <v>13</v>
      </c>
      <c r="H9" s="265" t="str">
        <f>IF(Data!F3&lt;=0,"NNI",H4/((Data!F3*H13)/(H5/Data!C4)))</f>
        <v>NNI</v>
      </c>
      <c r="I9" s="71" t="str">
        <f>IF(H9="NNI","NNI",1/H9)</f>
        <v>NNI</v>
      </c>
    </row>
    <row r="10" spans="1:11" ht="15.75" customHeight="1" x14ac:dyDescent="0.15">
      <c r="B10" s="20" t="s">
        <v>14</v>
      </c>
      <c r="C10" s="247"/>
      <c r="D10" s="15">
        <v>0.03</v>
      </c>
      <c r="E10" s="5"/>
      <c r="G10" s="5" t="str">
        <f>'FCF Model'!C3&amp;"yrs PEG Ratio:"</f>
        <v>4yrs PEG Ratio:</v>
      </c>
      <c r="H10" s="346" t="str">
        <f>IF('FCF Model'!C4&lt;=0,"Negative PEG",IFERROR(H9/('FCF Model'!C4*100),"NNI"))</f>
        <v>Negative PEG</v>
      </c>
      <c r="I10" s="347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1">
        <f>H4/(Data!C25*H13*Data!C4/Common_Shares)</f>
        <v>1.1780612616927919</v>
      </c>
      <c r="I11" s="42">
        <f>IF('Asset Model'!D53/'FCF Model'!C16&lt;0,"Negative EV",'Asset Model'!D53/'FCF Model'!C16)</f>
        <v>27.126241784043707</v>
      </c>
    </row>
    <row r="12" spans="1:11" ht="15.75" customHeight="1" x14ac:dyDescent="0.15">
      <c r="B12" s="20" t="s">
        <v>17</v>
      </c>
      <c r="C12" s="247"/>
      <c r="D12" s="15">
        <v>4.4999999999999998E-2</v>
      </c>
      <c r="E12" s="5"/>
      <c r="G12" s="7" t="s">
        <v>18</v>
      </c>
      <c r="H12" s="335" t="s">
        <v>5</v>
      </c>
      <c r="I12" s="336"/>
    </row>
    <row r="13" spans="1:11" ht="15.75" customHeight="1" x14ac:dyDescent="0.15">
      <c r="B13" s="21" t="s">
        <v>19</v>
      </c>
      <c r="C13" s="248"/>
      <c r="D13" s="23">
        <f>IF(D9+D12&lt;8%,8%,D9+D12)</f>
        <v>8.0399999999999999E-2</v>
      </c>
      <c r="E13" s="14"/>
      <c r="G13" s="8" t="s">
        <v>20</v>
      </c>
      <c r="H13" s="252">
        <v>1</v>
      </c>
      <c r="I13" s="40" t="str">
        <f>IF(H12=Dashboard!I4,I4,H12&amp;"/"&amp;Dashboard!I4)</f>
        <v>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6" t="s">
        <v>22</v>
      </c>
      <c r="D15" s="317"/>
      <c r="E15" s="316" t="s">
        <v>23</v>
      </c>
      <c r="F15" s="317"/>
      <c r="G15" s="13"/>
      <c r="H15" s="13"/>
      <c r="I15" s="8"/>
    </row>
    <row r="16" spans="1:11" ht="15.75" customHeight="1" x14ac:dyDescent="0.15">
      <c r="A16" s="6"/>
      <c r="B16" s="20" t="s">
        <v>24</v>
      </c>
      <c r="C16" s="318">
        <f>'FCF Model'!C63</f>
        <v>1.8437500258550168</v>
      </c>
      <c r="D16" s="309"/>
      <c r="E16" s="318">
        <f>'Asset Model'!D6</f>
        <v>0.99424197074053267</v>
      </c>
      <c r="F16" s="309"/>
      <c r="G16" s="35" t="s">
        <v>25</v>
      </c>
      <c r="H16" s="339">
        <f>C22/E16-1</f>
        <v>0.35781835783344706</v>
      </c>
      <c r="I16" s="340"/>
      <c r="J16" s="6"/>
      <c r="K16" s="6"/>
    </row>
    <row r="17" spans="1:12" ht="15.75" customHeight="1" x14ac:dyDescent="0.15">
      <c r="B17" s="21" t="s">
        <v>26</v>
      </c>
      <c r="C17" s="33" t="str">
        <f>'FCF Model'!E63</f>
        <v>NNI</v>
      </c>
      <c r="D17" s="33">
        <f>'FCF Model'!F63</f>
        <v>1.2483048745430338</v>
      </c>
      <c r="E17" s="33" t="str">
        <f>'Asset Model'!H5</f>
        <v>NNI</v>
      </c>
      <c r="F17" s="33">
        <f>'Asset Model'!H6</f>
        <v>0.67314824740144819</v>
      </c>
      <c r="G17" s="10" t="s">
        <v>27</v>
      </c>
      <c r="H17" s="341">
        <f ca="1">AVERAGE((1-'Qualitative Analysis'!E29),(1-'Qualitative Analysis'!E63),H16)+IF(C5+30&gt;=TODAY(),20%,0)</f>
        <v>0.50816167483337127</v>
      </c>
      <c r="I17" s="342"/>
      <c r="J17" s="6"/>
      <c r="L17" s="6"/>
    </row>
    <row r="18" spans="1:12" ht="15.75" customHeight="1" x14ac:dyDescent="0.15">
      <c r="B18" s="18"/>
      <c r="C18" s="278"/>
      <c r="D18" s="278"/>
      <c r="E18" s="278"/>
      <c r="F18" s="278"/>
      <c r="G18" s="35"/>
      <c r="H18" s="279"/>
      <c r="I18" s="279"/>
      <c r="J18" s="6"/>
      <c r="L18" s="6"/>
    </row>
    <row r="19" spans="1:12" ht="15.75" customHeight="1" x14ac:dyDescent="0.15">
      <c r="A19" s="6"/>
      <c r="B19" s="24" t="s">
        <v>28</v>
      </c>
      <c r="C19" s="282">
        <f>0.0549+0.0412</f>
        <v>9.6099999999999991E-2</v>
      </c>
      <c r="D19" s="282"/>
      <c r="E19" s="6"/>
      <c r="F19" s="6"/>
      <c r="G19" s="24" t="s">
        <v>28</v>
      </c>
      <c r="H19" s="328">
        <v>3</v>
      </c>
      <c r="I19" s="328"/>
      <c r="J19" s="6"/>
      <c r="K19" s="6"/>
    </row>
    <row r="20" spans="1:12" ht="15.75" customHeight="1" x14ac:dyDescent="0.15">
      <c r="A20" s="6"/>
      <c r="B20" s="204"/>
      <c r="C20" s="280"/>
      <c r="D20" s="280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1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19">
        <v>1.35</v>
      </c>
      <c r="D22" s="320"/>
      <c r="E22" s="276" t="s">
        <v>32</v>
      </c>
      <c r="F22" s="268" t="str">
        <f>IF(Data!F3&lt;=0,"NNI",C22/((Data!F3*H13)/(H5/Data!C4)))</f>
        <v>NNI</v>
      </c>
      <c r="G22" s="43" t="s">
        <v>33</v>
      </c>
      <c r="H22" s="301">
        <f>'FCF Model'!G63</f>
        <v>0.10884743290013255</v>
      </c>
      <c r="I22" s="301"/>
      <c r="J22" s="6"/>
      <c r="L22" s="6"/>
    </row>
    <row r="23" spans="1:12" ht="15.75" customHeight="1" x14ac:dyDescent="0.15">
      <c r="B23" s="35" t="s">
        <v>34</v>
      </c>
      <c r="C23" s="298">
        <f>'FCF Model'!K60</f>
        <v>0.38534434266973272</v>
      </c>
      <c r="D23" s="299"/>
      <c r="E23" s="277" t="s">
        <v>35</v>
      </c>
      <c r="F23" s="33">
        <f>C22/(Data!C25*H13*Data!C4/Common_Shares)</f>
        <v>0.91401304786509718</v>
      </c>
      <c r="G23" s="43" t="s">
        <v>36</v>
      </c>
      <c r="H23" s="302">
        <f ca="1">D10+D12*(1+H17)</f>
        <v>9.7867275367501699E-2</v>
      </c>
      <c r="I23" s="302"/>
      <c r="J23" s="6"/>
      <c r="L23" s="6"/>
    </row>
    <row r="24" spans="1:12" ht="15.75" customHeight="1" x14ac:dyDescent="0.15">
      <c r="B24" s="10" t="s">
        <v>37</v>
      </c>
      <c r="C24" s="296">
        <f ca="1">C23-H23</f>
        <v>0.28747706730223099</v>
      </c>
      <c r="D24" s="297"/>
      <c r="E24" s="6"/>
      <c r="F24" s="6"/>
      <c r="G24" s="267" t="s">
        <v>38</v>
      </c>
      <c r="H24" s="287">
        <f ca="1">H22-H23</f>
        <v>1.0980157532630846E-2</v>
      </c>
      <c r="I24" s="287"/>
      <c r="J24" s="6"/>
      <c r="L24" s="6"/>
    </row>
    <row r="25" spans="1:12" ht="15.75" customHeight="1" x14ac:dyDescent="0.15">
      <c r="B25" s="10" t="s">
        <v>39</v>
      </c>
      <c r="C25" s="283">
        <f>C19/C22</f>
        <v>7.1185185185185171E-2</v>
      </c>
      <c r="D25" s="284"/>
      <c r="E25" s="6"/>
      <c r="F25" s="6"/>
      <c r="G25" s="267" t="s">
        <v>40</v>
      </c>
      <c r="H25" s="285">
        <f>C19/H4</f>
        <v>5.5229885057471256E-2</v>
      </c>
      <c r="I25" s="286"/>
      <c r="J25" s="6"/>
      <c r="L25" s="6"/>
    </row>
    <row r="26" spans="1:12" ht="15.75" customHeight="1" x14ac:dyDescent="0.15">
      <c r="E26" s="6"/>
      <c r="F26" s="6"/>
      <c r="G26" s="43"/>
      <c r="H26" s="176"/>
      <c r="I26" s="176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3"/>
      <c r="D28" s="314"/>
      <c r="E28" s="314"/>
      <c r="F28" s="314"/>
      <c r="G28" s="314"/>
      <c r="H28" s="314"/>
      <c r="I28" s="315"/>
      <c r="J28" s="6"/>
    </row>
    <row r="29" spans="1:12" ht="52.5" customHeight="1" x14ac:dyDescent="0.15">
      <c r="A29" s="6"/>
      <c r="B29" s="27" t="s">
        <v>43</v>
      </c>
      <c r="C29" s="321"/>
      <c r="D29" s="295"/>
      <c r="E29" s="295"/>
      <c r="F29" s="295"/>
      <c r="G29" s="321"/>
      <c r="H29" s="295"/>
      <c r="I29" s="295"/>
      <c r="J29" s="6"/>
    </row>
    <row r="30" spans="1:12" ht="52.5" customHeight="1" x14ac:dyDescent="0.15">
      <c r="A30" s="6"/>
      <c r="B30" s="28" t="s">
        <v>44</v>
      </c>
      <c r="C30" s="322"/>
      <c r="D30" s="323"/>
      <c r="E30" s="323"/>
      <c r="F30" s="323"/>
      <c r="G30" s="322"/>
      <c r="H30" s="323"/>
      <c r="I30" s="323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49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5">
        <v>44419</v>
      </c>
      <c r="D33" s="326"/>
      <c r="E33" s="325"/>
      <c r="F33" s="326"/>
      <c r="G33" s="254"/>
      <c r="H33" s="300" t="s">
        <v>48</v>
      </c>
      <c r="I33" s="300"/>
      <c r="J33" s="6"/>
    </row>
    <row r="34" spans="2:10" ht="15.75" customHeight="1" x14ac:dyDescent="0.15">
      <c r="B34" s="26" t="s">
        <v>49</v>
      </c>
      <c r="C34" s="292">
        <f>C38/D32</f>
        <v>0.48571428571428571</v>
      </c>
      <c r="D34" s="293"/>
      <c r="E34" s="327">
        <f>E38/D32</f>
        <v>0</v>
      </c>
      <c r="F34" s="293"/>
      <c r="G34" s="255">
        <f>G38/D32</f>
        <v>0</v>
      </c>
      <c r="H34" s="288">
        <f>C34+E34+G34</f>
        <v>0.48571428571428571</v>
      </c>
      <c r="I34" s="288"/>
      <c r="J34" s="6"/>
    </row>
    <row r="35" spans="2:10" ht="15.75" customHeight="1" x14ac:dyDescent="0.15">
      <c r="B35" s="26" t="s">
        <v>50</v>
      </c>
      <c r="C35" s="294">
        <v>200000</v>
      </c>
      <c r="D35" s="295"/>
      <c r="E35" s="294"/>
      <c r="F35" s="295"/>
      <c r="G35" s="253"/>
      <c r="H35" s="289">
        <f>C35+E35+G35</f>
        <v>200000</v>
      </c>
      <c r="I35" s="289"/>
      <c r="J35" s="6"/>
    </row>
    <row r="36" spans="2:10" ht="15.75" customHeight="1" x14ac:dyDescent="0.15">
      <c r="B36" s="26" t="s">
        <v>51</v>
      </c>
      <c r="C36" s="324">
        <v>1.7</v>
      </c>
      <c r="D36" s="295"/>
      <c r="E36" s="324"/>
      <c r="F36" s="295"/>
      <c r="G36" s="256"/>
      <c r="H36" s="290"/>
      <c r="I36" s="290"/>
      <c r="J36" s="6"/>
    </row>
    <row r="37" spans="2:10" ht="15.75" customHeight="1" x14ac:dyDescent="0.15">
      <c r="B37" s="26" t="s">
        <v>52</v>
      </c>
      <c r="C37" s="307">
        <f>C36*$H$5/1000000</f>
        <v>12369.089829799999</v>
      </c>
      <c r="D37" s="308"/>
      <c r="E37" s="307">
        <f>E36*$H$5/1000000</f>
        <v>0</v>
      </c>
      <c r="F37" s="308"/>
      <c r="G37" s="257">
        <f>G36*$H$5/1000000</f>
        <v>0</v>
      </c>
      <c r="H37" s="291"/>
      <c r="I37" s="291"/>
      <c r="J37" s="6"/>
    </row>
    <row r="38" spans="2:10" ht="15.75" customHeight="1" x14ac:dyDescent="0.15">
      <c r="B38" s="2" t="s">
        <v>53</v>
      </c>
      <c r="C38" s="281">
        <f>C35*C36</f>
        <v>340000</v>
      </c>
      <c r="D38" s="309"/>
      <c r="E38" s="310">
        <f>E35*E36</f>
        <v>0</v>
      </c>
      <c r="F38" s="311"/>
      <c r="G38" s="258">
        <f>G35*G36</f>
        <v>0</v>
      </c>
      <c r="H38" s="310">
        <f>C38+E38+G38</f>
        <v>340000</v>
      </c>
      <c r="I38" s="310"/>
      <c r="J38" s="6"/>
    </row>
    <row r="39" spans="2:10" ht="15.75" customHeight="1" x14ac:dyDescent="0.15">
      <c r="B39" s="1" t="s">
        <v>54</v>
      </c>
      <c r="C39" s="303"/>
      <c r="D39" s="304"/>
      <c r="E39" s="312">
        <f>IF(C38=0,"-",(C38+E38)/(C35+E35))</f>
        <v>1.7</v>
      </c>
      <c r="F39" s="293"/>
      <c r="G39" s="249"/>
      <c r="H39" s="363">
        <f>IF(H38=0,"",H38/H35)</f>
        <v>1.7</v>
      </c>
      <c r="I39" s="363"/>
      <c r="J39" s="6"/>
    </row>
    <row r="40" spans="2:10" ht="15.75" customHeight="1" x14ac:dyDescent="0.15">
      <c r="B40" s="1" t="s">
        <v>55</v>
      </c>
      <c r="C40" s="305"/>
      <c r="D40" s="306"/>
      <c r="E40" s="307">
        <f>IF(E39="-","-",E39*$H$5/1000000)</f>
        <v>12369.089829799999</v>
      </c>
      <c r="F40" s="308"/>
      <c r="G40" s="250"/>
      <c r="H40" s="364">
        <f>IF(H39="","",H39*$H$5/1000000)</f>
        <v>12369.089829799999</v>
      </c>
      <c r="I40" s="364"/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5">
    <mergeCell ref="H39:I39"/>
    <mergeCell ref="H40:I40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50" sqref="D50:E50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1"/>
      <c r="B1" s="52"/>
      <c r="C1" s="53"/>
      <c r="D1" s="53"/>
      <c r="E1" s="53"/>
      <c r="F1" s="53"/>
    </row>
    <row r="2" spans="1:14" ht="15.75" customHeight="1" x14ac:dyDescent="0.2">
      <c r="A2" s="54"/>
      <c r="B2" s="12" t="s">
        <v>56</v>
      </c>
      <c r="C2" s="55"/>
      <c r="D2" s="55"/>
      <c r="E2" s="55"/>
      <c r="F2" s="55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5">
        <v>2021</v>
      </c>
      <c r="D3" s="6"/>
      <c r="E3" s="56">
        <v>1</v>
      </c>
      <c r="F3" s="57">
        <f t="array" ref="F3">AVERAGE(C18:INDEX(C18:M18,1,E3))</f>
        <v>-1095327</v>
      </c>
      <c r="G3" s="6"/>
      <c r="H3" s="5" t="str">
        <f>"Past "&amp;'FCF Model'!C3&amp;" yrs Revenue CAGR"</f>
        <v>Past 4 yrs Revenue CAGR</v>
      </c>
      <c r="I3" s="6"/>
      <c r="J3" s="58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0">
        <v>1000</v>
      </c>
      <c r="D4" s="6"/>
      <c r="E4" s="59">
        <f>E3</f>
        <v>1</v>
      </c>
      <c r="F4" s="60">
        <f>AVERAGE(C16:INDEX(C16:M16,1,E4))</f>
        <v>154611</v>
      </c>
      <c r="G4" s="6"/>
      <c r="H4" s="3" t="str">
        <f>"Past "&amp;'FCF Model'!C3&amp;" yrs EBIT CAGR"</f>
        <v>Past 4 yrs EBIT CAGR</v>
      </c>
      <c r="I4" s="6"/>
      <c r="J4" s="61" cm="1">
        <f t="array" ref="J4">IFERROR((C14/INDEX(C14:L14,0,'FCF Model'!C3))^(1/('FCF Model'!C3-1))-1,"NA")</f>
        <v>-4.8402477852546104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2"/>
      <c r="C6" s="63" t="str">
        <f>"FY "&amp;$C$3</f>
        <v>FY 2021</v>
      </c>
      <c r="D6" s="64" t="str">
        <f>"FY "&amp;$C$3-1</f>
        <v>FY 2020</v>
      </c>
      <c r="E6" s="64" t="str">
        <f>"FY "&amp;$C$3-2</f>
        <v>FY 2019</v>
      </c>
      <c r="F6" s="64" t="str">
        <f>"FY "&amp;$C$3-3</f>
        <v>FY 2018</v>
      </c>
      <c r="G6" s="64" t="str">
        <f>"FY "&amp;$C$3-4</f>
        <v>FY 2017</v>
      </c>
      <c r="H6" s="64" t="str">
        <f>"FY "&amp;$C$3-5</f>
        <v>FY 2016</v>
      </c>
      <c r="I6" s="64" t="str">
        <f>"FY "&amp;$C$3-6</f>
        <v>FY 2015</v>
      </c>
      <c r="J6" s="64" t="str">
        <f>"FY "&amp;$C$3-7</f>
        <v>FY 2014</v>
      </c>
      <c r="K6" s="64" t="str">
        <f>"FY "&amp;$C$3-8</f>
        <v>FY 2013</v>
      </c>
      <c r="L6" s="64" t="str">
        <f>"FY "&amp;$C$3-9</f>
        <v>FY 2012</v>
      </c>
      <c r="M6" s="64" t="str">
        <f>"FY "&amp;$C$3-10</f>
        <v>FY 2011</v>
      </c>
    </row>
    <row r="7" spans="1:14" ht="15.75" customHeight="1" x14ac:dyDescent="0.15">
      <c r="A7" s="9"/>
      <c r="B7" s="65" t="s">
        <v>59</v>
      </c>
      <c r="C7" s="50">
        <v>1195031</v>
      </c>
      <c r="D7" s="50">
        <v>705854</v>
      </c>
      <c r="E7" s="50">
        <v>396091</v>
      </c>
      <c r="F7" s="50">
        <v>1676296</v>
      </c>
      <c r="G7" s="50"/>
      <c r="H7" s="50"/>
      <c r="I7" s="50"/>
      <c r="J7" s="50"/>
      <c r="K7" s="50"/>
      <c r="L7" s="50"/>
      <c r="M7" s="50"/>
      <c r="N7" s="6"/>
    </row>
    <row r="8" spans="1:14" ht="15.75" customHeight="1" x14ac:dyDescent="0.15">
      <c r="A8" s="9"/>
      <c r="B8" s="66" t="s">
        <v>60</v>
      </c>
      <c r="C8" s="15">
        <f t="shared" ref="C8:L8" si="0">IF(D7="","",C7/D7-1)</f>
        <v>0.69302858664823042</v>
      </c>
      <c r="D8" s="15">
        <f t="shared" si="0"/>
        <v>0.78205008445029045</v>
      </c>
      <c r="E8" s="15">
        <f t="shared" si="0"/>
        <v>-0.76371058571994443</v>
      </c>
      <c r="F8" s="15" t="str">
        <f t="shared" si="0"/>
        <v/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6" t="s">
        <v>61</v>
      </c>
      <c r="C9" s="50">
        <v>647828</v>
      </c>
      <c r="D9" s="50">
        <v>531460</v>
      </c>
      <c r="E9" s="50">
        <v>193695</v>
      </c>
      <c r="F9" s="50">
        <v>1515759</v>
      </c>
      <c r="G9" s="50"/>
      <c r="H9" s="50"/>
      <c r="I9" s="50"/>
      <c r="J9" s="50"/>
      <c r="K9" s="50"/>
      <c r="L9" s="50"/>
      <c r="M9" s="50"/>
      <c r="N9" s="6"/>
    </row>
    <row r="10" spans="1:14" ht="15.75" customHeight="1" x14ac:dyDescent="0.15">
      <c r="A10" s="9"/>
      <c r="B10" s="66" t="s">
        <v>62</v>
      </c>
      <c r="C10" s="15">
        <f t="shared" ref="C10:M10" si="1">IF(C7="","",(C7-C9)/C7)</f>
        <v>0.45789858171043263</v>
      </c>
      <c r="D10" s="15">
        <f t="shared" si="1"/>
        <v>0.2470680905683045</v>
      </c>
      <c r="E10" s="15">
        <f t="shared" si="1"/>
        <v>0.51098358710498348</v>
      </c>
      <c r="F10" s="15">
        <f t="shared" si="1"/>
        <v>9.5768885686060221E-2</v>
      </c>
      <c r="G10" s="15" t="str">
        <f t="shared" si="1"/>
        <v/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6" t="s">
        <v>63</v>
      </c>
      <c r="C11" s="50">
        <v>341055</v>
      </c>
      <c r="D11" s="50">
        <v>194722</v>
      </c>
      <c r="E11" s="50">
        <v>231174</v>
      </c>
      <c r="F11" s="50">
        <v>164177</v>
      </c>
      <c r="G11" s="50"/>
      <c r="H11" s="50"/>
      <c r="I11" s="50"/>
      <c r="J11" s="50"/>
      <c r="K11" s="50"/>
      <c r="L11" s="50"/>
      <c r="M11" s="50"/>
      <c r="N11" s="6"/>
    </row>
    <row r="12" spans="1:14" ht="15.75" customHeight="1" x14ac:dyDescent="0.15">
      <c r="A12" s="9"/>
      <c r="B12" s="66" t="s">
        <v>64</v>
      </c>
      <c r="C12" s="15">
        <f t="shared" ref="C12:M12" si="2">IF(C7="","",C10-C13)</f>
        <v>0.28539427010680063</v>
      </c>
      <c r="D12" s="15">
        <f t="shared" si="2"/>
        <v>0.27586724733443463</v>
      </c>
      <c r="E12" s="15">
        <f t="shared" si="2"/>
        <v>0.5836386082996079</v>
      </c>
      <c r="F12" s="15">
        <f t="shared" si="2"/>
        <v>9.7940339892238604E-2</v>
      </c>
      <c r="G12" s="15" t="str">
        <f t="shared" si="2"/>
        <v/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6" t="s">
        <v>65</v>
      </c>
      <c r="C13" s="15">
        <f t="shared" ref="C13:M13" si="3">IF(C14="","",C14/C7)</f>
        <v>0.17250431160363203</v>
      </c>
      <c r="D13" s="15">
        <f t="shared" si="3"/>
        <v>-2.8799156766130107E-2</v>
      </c>
      <c r="E13" s="15">
        <f t="shared" si="3"/>
        <v>-7.265502119462447E-2</v>
      </c>
      <c r="F13" s="15">
        <f t="shared" si="3"/>
        <v>-2.1714542061783836E-3</v>
      </c>
      <c r="G13" s="15" t="str">
        <f t="shared" si="3"/>
        <v/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6" t="s">
        <v>66</v>
      </c>
      <c r="C14" s="34">
        <f t="shared" ref="C14:M14" si="4">IF(C7="","",C7-C9-C11)</f>
        <v>206148</v>
      </c>
      <c r="D14" s="34">
        <f t="shared" si="4"/>
        <v>-20328</v>
      </c>
      <c r="E14" s="34">
        <f t="shared" si="4"/>
        <v>-28778</v>
      </c>
      <c r="F14" s="34">
        <f t="shared" si="4"/>
        <v>-3640</v>
      </c>
      <c r="G14" s="34" t="str">
        <f t="shared" si="4"/>
        <v/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6" t="s">
        <v>67</v>
      </c>
      <c r="C15" s="15" t="str">
        <f>IF(D14="","",IF(ABS(C14+D14)=ABS(C14)+ABS(D14),IF(C14&lt;0,-1,1)*(C14-D14)/D14,"Turn"))</f>
        <v>Turn</v>
      </c>
      <c r="D15" s="15">
        <f t="shared" ref="D15:M15" si="5">IF(E14="","",IF(ABS(D14+E14)=ABS(D14)+ABS(E14),IF(D14&lt;0,-1,1)*(D14-E14)/E14,"Turn"))</f>
        <v>0.29362707623879353</v>
      </c>
      <c r="E15" s="15">
        <f t="shared" si="5"/>
        <v>-6.9060439560439564</v>
      </c>
      <c r="F15" s="15" t="str">
        <f t="shared" si="5"/>
        <v/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6" t="s">
        <v>68</v>
      </c>
      <c r="C16" s="34">
        <f>IF(C14="","",C14*(1-'FCF Model'!$D$17))</f>
        <v>154611</v>
      </c>
      <c r="D16" s="34">
        <f>IF(D14="","",D14*(1-'FCF Model'!$D$17))</f>
        <v>-15246</v>
      </c>
      <c r="E16" s="34">
        <f>IF(E14="","",E14*(1-'FCF Model'!$D$17))</f>
        <v>-21583.5</v>
      </c>
      <c r="F16" s="34">
        <f>IF(F14="","",F14*(1-'FCF Model'!$D$17))</f>
        <v>-2730</v>
      </c>
      <c r="G16" s="34" t="str">
        <f>IF(G14="","",G14*(1-'FCF Model'!$D$17))</f>
        <v/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6" t="s">
        <v>69</v>
      </c>
      <c r="C17" s="50">
        <v>74343</v>
      </c>
      <c r="D17" s="50">
        <v>77168</v>
      </c>
      <c r="E17" s="50">
        <v>27358</v>
      </c>
      <c r="F17" s="50">
        <v>5699</v>
      </c>
      <c r="G17" s="50"/>
      <c r="H17" s="50"/>
      <c r="I17" s="50"/>
      <c r="J17" s="50"/>
      <c r="K17" s="50"/>
      <c r="L17" s="50"/>
      <c r="M17" s="50"/>
      <c r="N17" s="6"/>
    </row>
    <row r="18" spans="1:14" ht="15.75" customHeight="1" x14ac:dyDescent="0.15">
      <c r="A18" s="9"/>
      <c r="B18" s="66" t="s">
        <v>70</v>
      </c>
      <c r="C18" s="50">
        <v>-1095327</v>
      </c>
      <c r="D18" s="50">
        <v>658613</v>
      </c>
      <c r="E18" s="50">
        <v>443003</v>
      </c>
      <c r="F18" s="50">
        <v>353097</v>
      </c>
      <c r="G18" s="50"/>
      <c r="H18" s="50"/>
      <c r="I18" s="50"/>
      <c r="J18" s="50"/>
      <c r="K18" s="50"/>
      <c r="L18" s="50"/>
      <c r="M18" s="50"/>
      <c r="N18" s="6"/>
    </row>
    <row r="19" spans="1:14" ht="15.75" customHeight="1" x14ac:dyDescent="0.15">
      <c r="A19" s="9"/>
      <c r="B19" s="66" t="s">
        <v>71</v>
      </c>
      <c r="C19" s="15">
        <f t="shared" ref="C19:M19" si="6">IF(C7="","",C18/C7)</f>
        <v>-0.9165678547251076</v>
      </c>
      <c r="D19" s="15">
        <f t="shared" si="6"/>
        <v>0.93307256174789688</v>
      </c>
      <c r="E19" s="15">
        <f t="shared" si="6"/>
        <v>1.1184374297825499</v>
      </c>
      <c r="F19" s="15">
        <f t="shared" si="6"/>
        <v>0.2106411994063101</v>
      </c>
      <c r="G19" s="15" t="str">
        <f t="shared" si="6"/>
        <v/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6" t="s">
        <v>72</v>
      </c>
      <c r="C20" s="67">
        <f>'Asset Model'!C21</f>
        <v>6479593</v>
      </c>
      <c r="D20" s="50">
        <v>4814457</v>
      </c>
      <c r="E20" s="50">
        <v>3809545</v>
      </c>
      <c r="F20" s="50">
        <v>3366187</v>
      </c>
      <c r="G20" s="50"/>
      <c r="H20" s="50"/>
      <c r="I20" s="50"/>
      <c r="J20" s="50"/>
      <c r="K20" s="50"/>
      <c r="L20" s="50"/>
      <c r="M20" s="50"/>
      <c r="N20" s="6"/>
    </row>
    <row r="21" spans="1:14" ht="15.75" customHeight="1" x14ac:dyDescent="0.15">
      <c r="A21" s="9"/>
      <c r="B21" s="66" t="s">
        <v>73</v>
      </c>
      <c r="C21" s="67">
        <f>'Asset Model'!H21</f>
        <v>1972480</v>
      </c>
      <c r="D21" s="50">
        <v>699855</v>
      </c>
      <c r="E21" s="50">
        <v>289962</v>
      </c>
      <c r="F21" s="50">
        <v>404157</v>
      </c>
      <c r="G21" s="50"/>
      <c r="H21" s="50"/>
      <c r="I21" s="50"/>
      <c r="J21" s="50"/>
      <c r="K21" s="50"/>
      <c r="L21" s="50"/>
      <c r="M21" s="50"/>
      <c r="N21" s="6"/>
    </row>
    <row r="22" spans="1:14" ht="15.75" customHeight="1" x14ac:dyDescent="0.15">
      <c r="A22" s="9"/>
      <c r="B22" s="66" t="s">
        <v>74</v>
      </c>
      <c r="C22" s="67">
        <f>'Asset Model'!H10+'Asset Model'!H12</f>
        <v>672819</v>
      </c>
      <c r="D22" s="50">
        <v>128928</v>
      </c>
      <c r="E22" s="50">
        <v>79063</v>
      </c>
      <c r="F22" s="50">
        <v>103143</v>
      </c>
      <c r="G22" s="50"/>
      <c r="H22" s="50"/>
      <c r="I22" s="50"/>
      <c r="J22" s="50"/>
      <c r="K22" s="50"/>
      <c r="L22" s="50"/>
      <c r="M22" s="50"/>
      <c r="N22" s="6"/>
    </row>
    <row r="23" spans="1:14" ht="15.75" customHeight="1" x14ac:dyDescent="0.15">
      <c r="A23" s="9"/>
      <c r="B23" s="66" t="s">
        <v>75</v>
      </c>
      <c r="C23" s="67">
        <f>'Asset Model'!H23+'Asset Model'!H24</f>
        <v>1954184</v>
      </c>
      <c r="D23" s="50">
        <v>1488416</v>
      </c>
      <c r="E23" s="50">
        <v>848368</v>
      </c>
      <c r="F23" s="50">
        <v>0</v>
      </c>
      <c r="G23" s="50"/>
      <c r="H23" s="50"/>
      <c r="I23" s="50"/>
      <c r="J23" s="50"/>
      <c r="K23" s="50"/>
      <c r="L23" s="50"/>
      <c r="M23" s="50"/>
      <c r="N23" s="6"/>
    </row>
    <row r="24" spans="1:14" ht="15.75" customHeight="1" x14ac:dyDescent="0.15">
      <c r="A24" s="9"/>
      <c r="B24" s="66" t="s">
        <v>76</v>
      </c>
      <c r="C24" s="34">
        <f t="shared" ref="C24:M24" si="7">IF(C7="","",C22+C23)</f>
        <v>2627003</v>
      </c>
      <c r="D24" s="34">
        <f t="shared" si="7"/>
        <v>1617344</v>
      </c>
      <c r="E24" s="34">
        <f t="shared" si="7"/>
        <v>927431</v>
      </c>
      <c r="F24" s="34">
        <f t="shared" si="7"/>
        <v>103143</v>
      </c>
      <c r="G24" s="34" t="str">
        <f t="shared" si="7"/>
        <v/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6" t="s">
        <v>77</v>
      </c>
      <c r="C25" s="67">
        <f>'Asset Model'!D3</f>
        <v>10746578</v>
      </c>
      <c r="D25" s="50">
        <v>11919298</v>
      </c>
      <c r="E25" s="50">
        <v>9822624</v>
      </c>
      <c r="F25" s="50">
        <v>8995456</v>
      </c>
      <c r="G25" s="50"/>
      <c r="H25" s="50"/>
      <c r="I25" s="50"/>
      <c r="J25" s="50"/>
      <c r="K25" s="50"/>
      <c r="L25" s="50"/>
      <c r="M25" s="50"/>
      <c r="N25" s="6"/>
    </row>
    <row r="26" spans="1:14" ht="15.75" customHeight="1" x14ac:dyDescent="0.15">
      <c r="A26" s="9"/>
      <c r="B26" s="66" t="s">
        <v>78</v>
      </c>
      <c r="C26" s="67">
        <f>'Asset Model'!C43</f>
        <v>100450</v>
      </c>
      <c r="D26" s="50">
        <v>147008</v>
      </c>
      <c r="E26" s="50">
        <v>138319</v>
      </c>
      <c r="F26" s="50">
        <v>29199</v>
      </c>
      <c r="G26" s="50"/>
      <c r="H26" s="50"/>
      <c r="I26" s="50"/>
      <c r="J26" s="50"/>
      <c r="K26" s="50"/>
      <c r="L26" s="50"/>
      <c r="M26" s="50"/>
      <c r="N26" s="6"/>
    </row>
    <row r="27" spans="1:14" ht="15.75" customHeight="1" x14ac:dyDescent="0.15">
      <c r="A27" s="9"/>
      <c r="B27" s="66" t="s">
        <v>79</v>
      </c>
      <c r="C27" s="67">
        <f>'Asset Model'!D52</f>
        <v>4228657</v>
      </c>
      <c r="D27" s="50">
        <v>3738533</v>
      </c>
      <c r="E27" s="50">
        <v>3057215</v>
      </c>
      <c r="F27" s="50">
        <v>3034026</v>
      </c>
      <c r="G27" s="50"/>
      <c r="H27" s="50"/>
      <c r="I27" s="50"/>
      <c r="J27" s="50"/>
      <c r="K27" s="50"/>
      <c r="L27" s="50"/>
      <c r="M27" s="50"/>
      <c r="N27" s="6"/>
    </row>
    <row r="28" spans="1:14" ht="15.75" customHeight="1" x14ac:dyDescent="0.15">
      <c r="A28" s="9"/>
      <c r="B28" s="66" t="s">
        <v>80</v>
      </c>
      <c r="C28" s="67">
        <f>'Asset Model'!C23+'Asset Model'!C24+'Asset Model'!C27</f>
        <v>2388509</v>
      </c>
      <c r="D28" s="50">
        <v>1792918</v>
      </c>
      <c r="E28" s="50">
        <v>1104686</v>
      </c>
      <c r="F28" s="50">
        <v>8066</v>
      </c>
      <c r="G28" s="50"/>
      <c r="H28" s="50"/>
      <c r="I28" s="50"/>
      <c r="J28" s="50"/>
      <c r="K28" s="50"/>
      <c r="L28" s="50"/>
      <c r="M28" s="50"/>
      <c r="N28" s="6"/>
    </row>
    <row r="29" spans="1:14" ht="15.75" customHeight="1" x14ac:dyDescent="0.15">
      <c r="A29" s="9"/>
      <c r="B29" s="66" t="s">
        <v>81</v>
      </c>
      <c r="C29" s="15">
        <f t="shared" ref="C29:M29" si="8">IF(D7="","",(C28-D28)/C28)</f>
        <v>0.24935681632348883</v>
      </c>
      <c r="D29" s="15">
        <f t="shared" si="8"/>
        <v>0.3838613924340098</v>
      </c>
      <c r="E29" s="15">
        <f t="shared" si="8"/>
        <v>0.99269837763853253</v>
      </c>
      <c r="F29" s="15" t="str">
        <f t="shared" si="8"/>
        <v/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6" t="s">
        <v>82</v>
      </c>
      <c r="C30" s="34">
        <f>IF(D7="","",(C7-D7)*$D$49)</f>
        <v>14675.31</v>
      </c>
      <c r="D30" s="34">
        <f t="shared" ref="D30:M30" si="9">IF(E7="","",(D7-E7)*$D$49)</f>
        <v>9292.89</v>
      </c>
      <c r="E30" s="34">
        <f t="shared" si="9"/>
        <v>-38406.15</v>
      </c>
      <c r="F30" s="34" t="str">
        <f t="shared" si="9"/>
        <v/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6" t="s">
        <v>83</v>
      </c>
      <c r="C31" s="34">
        <f t="shared" ref="C31:M31" si="10">IF(D7="","",C28-D28+C30)</f>
        <v>610266.31000000006</v>
      </c>
      <c r="D31" s="34">
        <f t="shared" si="10"/>
        <v>697524.89</v>
      </c>
      <c r="E31" s="34">
        <f t="shared" si="10"/>
        <v>1058213.8500000001</v>
      </c>
      <c r="F31" s="34" t="str">
        <f t="shared" si="10"/>
        <v/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6" t="s">
        <v>84</v>
      </c>
      <c r="C32" s="15">
        <f t="shared" ref="C32:M32" si="11">IF(C31="","",C31/C16)</f>
        <v>3.9471079677383889</v>
      </c>
      <c r="D32" s="15">
        <f t="shared" si="11"/>
        <v>-45.751337399973764</v>
      </c>
      <c r="E32" s="15">
        <f t="shared" si="11"/>
        <v>-49.028834526374318</v>
      </c>
      <c r="F32" s="15" t="str">
        <f t="shared" si="11"/>
        <v/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8" t="s">
        <v>85</v>
      </c>
      <c r="C33" s="69">
        <f t="shared" ref="C33:M33" si="12">IF(C25="","",C25-C27+C24)</f>
        <v>9144924</v>
      </c>
      <c r="D33" s="69">
        <f t="shared" si="12"/>
        <v>9798109</v>
      </c>
      <c r="E33" s="69">
        <f t="shared" si="12"/>
        <v>7692840</v>
      </c>
      <c r="F33" s="69">
        <f t="shared" si="12"/>
        <v>6064573</v>
      </c>
      <c r="G33" s="69" t="str">
        <f t="shared" si="12"/>
        <v/>
      </c>
      <c r="H33" s="69" t="str">
        <f t="shared" si="12"/>
        <v/>
      </c>
      <c r="I33" s="69" t="str">
        <f t="shared" si="12"/>
        <v/>
      </c>
      <c r="J33" s="69" t="str">
        <f t="shared" si="12"/>
        <v/>
      </c>
      <c r="K33" s="69" t="str">
        <f t="shared" si="12"/>
        <v/>
      </c>
      <c r="L33" s="69" t="str">
        <f t="shared" si="12"/>
        <v/>
      </c>
      <c r="M33" s="69" t="str">
        <f t="shared" si="12"/>
        <v/>
      </c>
      <c r="N33" s="6"/>
    </row>
    <row r="34" spans="1:14" ht="15.75" customHeight="1" x14ac:dyDescent="0.15">
      <c r="A34" s="9"/>
      <c r="B34" s="70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5" t="s">
        <v>87</v>
      </c>
      <c r="C35" s="71">
        <f>IF(C16="","",(C16*$C$4)/(Dashboard!$H$6*1000000))</f>
        <v>1.221243650232052E-2</v>
      </c>
      <c r="D35" s="71">
        <f>IF(D16="","",(D16*$C$4)/(Dashboard!$H$6*1000000))</f>
        <v>-1.2042532996641808E-3</v>
      </c>
      <c r="E35" s="71">
        <f>IF(E16="","",(E16*$C$4)/(Dashboard!$H$6*1000000))</f>
        <v>-1.7048406856422567E-3</v>
      </c>
      <c r="F35" s="71">
        <f>IF(F16="","",(F16*$C$4)/(Dashboard!$H$6*1000000))</f>
        <v>-2.156376431905558E-4</v>
      </c>
      <c r="G35" s="71" t="str">
        <f>IF(G16="","",(G16*$C$4)/(Dashboard!$H$6*1000000))</f>
        <v/>
      </c>
      <c r="H35" s="71" t="str">
        <f>IF(H16="","",(H16*$C$4)/(Dashboard!$H$6*1000000))</f>
        <v/>
      </c>
      <c r="I35" s="71" t="str">
        <f>IF(I16="","",(I16*$C$4)/(Dashboard!$H$6*1000000))</f>
        <v/>
      </c>
      <c r="J35" s="71" t="str">
        <f>IF(J16="","",(J16*$C$4)/(Dashboard!$H$6*1000000))</f>
        <v/>
      </c>
      <c r="K35" s="71" t="str">
        <f>IF(K16="","",(K16*$C$4)/(Dashboard!$H$6*1000000))</f>
        <v/>
      </c>
      <c r="L35" s="71" t="str">
        <f>IF(L16="","",(L16*$C$4)/(Dashboard!$H$6*1000000))</f>
        <v/>
      </c>
      <c r="M35" s="71" t="str">
        <f>IF(M16="","",(M16*$C$4)/(Dashboard!$H$6*1000000))</f>
        <v/>
      </c>
      <c r="N35" s="6"/>
    </row>
    <row r="36" spans="1:14" ht="15.75" customHeight="1" x14ac:dyDescent="0.15">
      <c r="A36" s="9"/>
      <c r="B36" s="68" t="s">
        <v>88</v>
      </c>
      <c r="C36" s="72">
        <f>IF(C18="","",(C18*$C$4)/(Dashboard!$H$6*1000000))</f>
        <v>-8.6517850843583113E-2</v>
      </c>
      <c r="D36" s="72">
        <f>IF(D18="","",(D18*$C$4)/(Dashboard!$H$6*1000000))</f>
        <v>5.2022620913795434E-2</v>
      </c>
      <c r="E36" s="72">
        <f>IF(E18="","",(E18*$C$4)/(Dashboard!$H$6*1000000))</f>
        <v>3.4991986390602851E-2</v>
      </c>
      <c r="F36" s="72">
        <f>IF(F18="","",(F18*$C$4)/(Dashboard!$H$6*1000000))</f>
        <v>2.7890477984489261E-2</v>
      </c>
      <c r="G36" s="72" t="str">
        <f>IF(G18="","",(G18*$C$4)/(Dashboard!$H$6*1000000))</f>
        <v/>
      </c>
      <c r="H36" s="72" t="str">
        <f>IF(H18="","",(H18*$C$4)/(Dashboard!$H$6*1000000))</f>
        <v/>
      </c>
      <c r="I36" s="72" t="str">
        <f>IF(I18="","",(I18*$C$4)/(Dashboard!$H$6*1000000))</f>
        <v/>
      </c>
      <c r="J36" s="72" t="str">
        <f>IF(J18="","",(J18*$C$4)/(Dashboard!$H$6*1000000))</f>
        <v/>
      </c>
      <c r="K36" s="72" t="str">
        <f>IF(K18="","",(K18*$C$4)/(Dashboard!$H$6*1000000))</f>
        <v/>
      </c>
      <c r="L36" s="72" t="str">
        <f>IF(L18="","",(L18*$C$4)/(Dashboard!$H$6*1000000))</f>
        <v/>
      </c>
      <c r="M36" s="72" t="str">
        <f>IF(M18="","",(M18*$C$4)/(Dashboard!$H$6*1000000))</f>
        <v/>
      </c>
      <c r="N36" s="6"/>
    </row>
    <row r="37" spans="1:14" ht="15.75" customHeight="1" x14ac:dyDescent="0.15">
      <c r="A37" s="9"/>
      <c r="B37" s="192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5" t="s">
        <v>90</v>
      </c>
      <c r="C38" s="71">
        <f t="shared" ref="C38:M38" si="13">IF(C7="","",C16/C7)</f>
        <v>0.12937823370272403</v>
      </c>
      <c r="D38" s="71">
        <f t="shared" si="13"/>
        <v>-2.1599367574597579E-2</v>
      </c>
      <c r="E38" s="71">
        <f t="shared" si="13"/>
        <v>-5.4491265895968352E-2</v>
      </c>
      <c r="F38" s="71">
        <f t="shared" si="13"/>
        <v>-1.6285906546337878E-3</v>
      </c>
      <c r="G38" s="71" t="str">
        <f t="shared" si="13"/>
        <v/>
      </c>
      <c r="H38" s="71" t="str">
        <f t="shared" si="13"/>
        <v/>
      </c>
      <c r="I38" s="71" t="str">
        <f t="shared" si="13"/>
        <v/>
      </c>
      <c r="J38" s="71" t="str">
        <f t="shared" si="13"/>
        <v/>
      </c>
      <c r="K38" s="71" t="str">
        <f t="shared" si="13"/>
        <v/>
      </c>
      <c r="L38" s="71" t="str">
        <f t="shared" si="13"/>
        <v/>
      </c>
      <c r="M38" s="71" t="str">
        <f t="shared" si="13"/>
        <v/>
      </c>
      <c r="N38" s="6"/>
    </row>
    <row r="39" spans="1:14" ht="15.75" customHeight="1" x14ac:dyDescent="0.15">
      <c r="A39" s="9"/>
      <c r="B39" s="66" t="s">
        <v>91</v>
      </c>
      <c r="C39" s="73">
        <f t="shared" ref="C39:L39" si="14">IF(D33="","",C7/D33)</f>
        <v>0.12196547313364242</v>
      </c>
      <c r="D39" s="73">
        <f t="shared" si="14"/>
        <v>9.175467057679608E-2</v>
      </c>
      <c r="E39" s="73">
        <f t="shared" si="14"/>
        <v>6.5312265183385537E-2</v>
      </c>
      <c r="F39" s="73" t="str">
        <f t="shared" si="14"/>
        <v/>
      </c>
      <c r="G39" s="73" t="str">
        <f t="shared" si="14"/>
        <v/>
      </c>
      <c r="H39" s="73" t="str">
        <f t="shared" si="14"/>
        <v/>
      </c>
      <c r="I39" s="73" t="str">
        <f t="shared" si="14"/>
        <v/>
      </c>
      <c r="J39" s="73" t="str">
        <f t="shared" si="14"/>
        <v/>
      </c>
      <c r="K39" s="73" t="str">
        <f t="shared" si="14"/>
        <v/>
      </c>
      <c r="L39" s="73" t="str">
        <f t="shared" si="14"/>
        <v/>
      </c>
      <c r="M39" s="74"/>
      <c r="N39" s="6"/>
    </row>
    <row r="40" spans="1:14" ht="15.75" customHeight="1" x14ac:dyDescent="0.15">
      <c r="A40" s="9"/>
      <c r="B40" s="68" t="s">
        <v>92</v>
      </c>
      <c r="C40" s="72">
        <f t="shared" ref="C40:L40" si="15">IF(D33="","",C16/D33)</f>
        <v>1.5779677486747697E-2</v>
      </c>
      <c r="D40" s="72">
        <f t="shared" si="15"/>
        <v>-1.9818428564743321E-3</v>
      </c>
      <c r="E40" s="72">
        <f t="shared" si="15"/>
        <v>-3.5589480083758574E-3</v>
      </c>
      <c r="F40" s="72" t="str">
        <f t="shared" si="15"/>
        <v/>
      </c>
      <c r="G40" s="72" t="str">
        <f t="shared" si="15"/>
        <v/>
      </c>
      <c r="H40" s="72" t="str">
        <f t="shared" si="15"/>
        <v/>
      </c>
      <c r="I40" s="72" t="str">
        <f t="shared" si="15"/>
        <v/>
      </c>
      <c r="J40" s="72" t="str">
        <f t="shared" si="15"/>
        <v/>
      </c>
      <c r="K40" s="72" t="str">
        <f t="shared" si="15"/>
        <v/>
      </c>
      <c r="L40" s="72" t="str">
        <f t="shared" si="15"/>
        <v/>
      </c>
      <c r="M40" s="75"/>
      <c r="N40" s="6"/>
    </row>
    <row r="41" spans="1:14" ht="15.75" customHeight="1" x14ac:dyDescent="0.15">
      <c r="A41" s="9"/>
      <c r="B41" s="192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5" t="s">
        <v>94</v>
      </c>
      <c r="C42" s="71">
        <f t="shared" ref="C42:M42" si="16">IF(C33="","",C23/C25)</f>
        <v>0.18184244324100193</v>
      </c>
      <c r="D42" s="71">
        <f t="shared" si="16"/>
        <v>0.12487446827824927</v>
      </c>
      <c r="E42" s="71">
        <f t="shared" si="16"/>
        <v>8.6368774779529381E-2</v>
      </c>
      <c r="F42" s="71">
        <f t="shared" si="16"/>
        <v>0</v>
      </c>
      <c r="G42" s="71" t="str">
        <f t="shared" si="16"/>
        <v/>
      </c>
      <c r="H42" s="71" t="str">
        <f t="shared" si="16"/>
        <v/>
      </c>
      <c r="I42" s="71" t="str">
        <f t="shared" si="16"/>
        <v/>
      </c>
      <c r="J42" s="71" t="str">
        <f t="shared" si="16"/>
        <v/>
      </c>
      <c r="K42" s="71" t="str">
        <f t="shared" si="16"/>
        <v/>
      </c>
      <c r="L42" s="71" t="str">
        <f t="shared" si="16"/>
        <v/>
      </c>
      <c r="M42" s="71" t="str">
        <f t="shared" si="16"/>
        <v/>
      </c>
      <c r="N42" s="6"/>
    </row>
    <row r="43" spans="1:14" ht="15.75" customHeight="1" x14ac:dyDescent="0.15">
      <c r="A43" s="9"/>
      <c r="B43" s="66" t="s">
        <v>95</v>
      </c>
      <c r="C43" s="15">
        <f t="shared" ref="C43:M43" si="17">IF(C33="","",C24/C25)</f>
        <v>0.24445018684087158</v>
      </c>
      <c r="D43" s="15">
        <f t="shared" si="17"/>
        <v>0.13569121268719014</v>
      </c>
      <c r="E43" s="15">
        <f t="shared" si="17"/>
        <v>9.4417845984942517E-2</v>
      </c>
      <c r="F43" s="15">
        <f t="shared" si="17"/>
        <v>1.1466122451157561E-2</v>
      </c>
      <c r="G43" s="15" t="str">
        <f t="shared" si="17"/>
        <v/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6" t="s">
        <v>96</v>
      </c>
      <c r="C44" s="76">
        <f t="shared" ref="C44:M44" si="18">IF(C33="","",IF(C24&lt;=0,"-",C14/C24))</f>
        <v>7.8472693026996929E-2</v>
      </c>
      <c r="D44" s="76">
        <f t="shared" si="18"/>
        <v>-1.2568754699062165E-2</v>
      </c>
      <c r="E44" s="76">
        <f t="shared" si="18"/>
        <v>-3.1029801677968497E-2</v>
      </c>
      <c r="F44" s="76">
        <f t="shared" si="18"/>
        <v>-3.529080984652376E-2</v>
      </c>
      <c r="G44" s="76" t="str">
        <f t="shared" si="18"/>
        <v/>
      </c>
      <c r="H44" s="76" t="str">
        <f t="shared" si="18"/>
        <v/>
      </c>
      <c r="I44" s="76" t="str">
        <f t="shared" si="18"/>
        <v/>
      </c>
      <c r="J44" s="76" t="str">
        <f t="shared" si="18"/>
        <v/>
      </c>
      <c r="K44" s="76" t="str">
        <f t="shared" si="18"/>
        <v/>
      </c>
      <c r="L44" s="76" t="str">
        <f t="shared" si="18"/>
        <v/>
      </c>
      <c r="M44" s="76" t="str">
        <f t="shared" si="18"/>
        <v/>
      </c>
      <c r="N44" s="6"/>
    </row>
    <row r="45" spans="1:14" ht="15.75" customHeight="1" x14ac:dyDescent="0.15">
      <c r="A45" s="9"/>
      <c r="B45" s="66" t="s">
        <v>97</v>
      </c>
      <c r="C45" s="76">
        <f t="shared" ref="C45:M45" si="19">IF(C31="","",IF(C17&lt;=0,"-",C17/C16))</f>
        <v>0.48083900886741565</v>
      </c>
      <c r="D45" s="76">
        <f t="shared" si="19"/>
        <v>-5.0615243342516072</v>
      </c>
      <c r="E45" s="76">
        <f t="shared" si="19"/>
        <v>-1.2675423355804203</v>
      </c>
      <c r="F45" s="76" t="str">
        <f t="shared" si="19"/>
        <v/>
      </c>
      <c r="G45" s="76" t="str">
        <f t="shared" si="19"/>
        <v/>
      </c>
      <c r="H45" s="76" t="str">
        <f t="shared" si="19"/>
        <v/>
      </c>
      <c r="I45" s="76" t="str">
        <f t="shared" si="19"/>
        <v/>
      </c>
      <c r="J45" s="76" t="str">
        <f t="shared" si="19"/>
        <v/>
      </c>
      <c r="K45" s="76" t="str">
        <f t="shared" si="19"/>
        <v/>
      </c>
      <c r="L45" s="76" t="str">
        <f t="shared" si="19"/>
        <v/>
      </c>
      <c r="M45" s="76" t="str">
        <f t="shared" si="19"/>
        <v/>
      </c>
      <c r="N45" s="6"/>
    </row>
    <row r="46" spans="1:14" ht="15.75" customHeight="1" x14ac:dyDescent="0.15">
      <c r="A46" s="9"/>
      <c r="B46" s="68" t="s">
        <v>98</v>
      </c>
      <c r="C46" s="77">
        <f t="shared" ref="C46:M46" si="20">IF(C33="","",C20/C21)</f>
        <v>3.2849980734912396</v>
      </c>
      <c r="D46" s="77">
        <f t="shared" si="20"/>
        <v>6.8792206957155413</v>
      </c>
      <c r="E46" s="77">
        <f t="shared" si="20"/>
        <v>13.138083610955919</v>
      </c>
      <c r="F46" s="77">
        <f t="shared" si="20"/>
        <v>8.3289093099958684</v>
      </c>
      <c r="G46" s="77" t="str">
        <f t="shared" si="20"/>
        <v/>
      </c>
      <c r="H46" s="77" t="str">
        <f t="shared" si="20"/>
        <v/>
      </c>
      <c r="I46" s="77" t="str">
        <f t="shared" si="20"/>
        <v/>
      </c>
      <c r="J46" s="77" t="str">
        <f t="shared" si="20"/>
        <v/>
      </c>
      <c r="K46" s="77" t="str">
        <f t="shared" si="20"/>
        <v/>
      </c>
      <c r="L46" s="77" t="str">
        <f t="shared" si="20"/>
        <v/>
      </c>
      <c r="M46" s="77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8"/>
      <c r="D48" s="78"/>
      <c r="E48" s="78"/>
      <c r="F48" s="78"/>
    </row>
    <row r="49" spans="1:6" ht="15.75" customHeight="1" x14ac:dyDescent="0.15">
      <c r="A49" s="9"/>
      <c r="B49" s="6" t="s">
        <v>100</v>
      </c>
      <c r="C49" s="6"/>
      <c r="D49" s="353">
        <v>0.03</v>
      </c>
      <c r="E49" s="354"/>
      <c r="F49" s="6"/>
    </row>
    <row r="50" spans="1:6" ht="15" customHeight="1" x14ac:dyDescent="0.15">
      <c r="A50" s="9"/>
      <c r="B50" s="79" t="s">
        <v>101</v>
      </c>
      <c r="C50" s="6"/>
      <c r="D50" s="348" t="s">
        <v>102</v>
      </c>
      <c r="E50" s="295"/>
      <c r="F50" s="6"/>
    </row>
    <row r="51" spans="1:6" ht="15" customHeight="1" x14ac:dyDescent="0.15">
      <c r="A51" s="9"/>
      <c r="B51" s="79"/>
      <c r="D51" s="26"/>
      <c r="E51" s="26"/>
    </row>
    <row r="52" spans="1:6" ht="15.75" customHeight="1" x14ac:dyDescent="0.15">
      <c r="A52" s="9"/>
      <c r="B52" s="80" t="s">
        <v>103</v>
      </c>
      <c r="C52" s="81"/>
      <c r="D52" s="349">
        <v>5</v>
      </c>
      <c r="E52" s="350"/>
      <c r="F52" s="82"/>
    </row>
    <row r="53" spans="1:6" ht="15.75" customHeight="1" x14ac:dyDescent="0.15">
      <c r="A53" s="9"/>
      <c r="B53" s="83" t="s">
        <v>104</v>
      </c>
      <c r="C53" s="84" t="s">
        <v>105</v>
      </c>
      <c r="D53" s="351" t="s">
        <v>106</v>
      </c>
      <c r="E53" s="352"/>
      <c r="F53" s="85" t="s">
        <v>107</v>
      </c>
    </row>
    <row r="54" spans="1:6" ht="15.75" customHeight="1" x14ac:dyDescent="0.15">
      <c r="A54" s="9"/>
      <c r="B54" s="86" t="str">
        <f>C6</f>
        <v>FY 2021</v>
      </c>
      <c r="C54" s="87"/>
      <c r="D54" s="88">
        <f>1</f>
        <v>1</v>
      </c>
      <c r="E54" s="89">
        <f t="shared" ref="E54:E64" si="21">C54*D54</f>
        <v>0</v>
      </c>
      <c r="F54" s="90">
        <v>0</v>
      </c>
    </row>
    <row r="55" spans="1:6" ht="15.75" customHeight="1" x14ac:dyDescent="0.15">
      <c r="A55" s="9"/>
      <c r="B55" s="91">
        <f>IF(D7="","",-1)</f>
        <v>-1</v>
      </c>
      <c r="C55" s="87"/>
      <c r="D55" s="88">
        <f t="shared" ref="D55:D64" si="22">IF(B55&lt;0,(D$52+B55)/D$52,0)</f>
        <v>0.8</v>
      </c>
      <c r="E55" s="89">
        <f t="shared" si="21"/>
        <v>0</v>
      </c>
      <c r="F55" s="90">
        <f t="shared" ref="F55:F64" si="23">IF(B55&lt;0,C55/$D$52,0)</f>
        <v>0</v>
      </c>
    </row>
    <row r="56" spans="1:6" ht="15.75" customHeight="1" x14ac:dyDescent="0.15">
      <c r="A56" s="9"/>
      <c r="B56" s="91">
        <f t="shared" ref="B56:B64" si="24">IF((0-B55)&lt;$D$52,IF(B55&gt;-1, ,B55-1), )</f>
        <v>-2</v>
      </c>
      <c r="C56" s="87"/>
      <c r="D56" s="88">
        <f t="shared" si="22"/>
        <v>0.6</v>
      </c>
      <c r="E56" s="89">
        <f t="shared" si="21"/>
        <v>0</v>
      </c>
      <c r="F56" s="90">
        <f t="shared" si="23"/>
        <v>0</v>
      </c>
    </row>
    <row r="57" spans="1:6" ht="15.75" customHeight="1" x14ac:dyDescent="0.15">
      <c r="A57" s="9"/>
      <c r="B57" s="91">
        <f t="shared" si="24"/>
        <v>-3</v>
      </c>
      <c r="C57" s="87"/>
      <c r="D57" s="88">
        <f t="shared" si="22"/>
        <v>0.4</v>
      </c>
      <c r="E57" s="89">
        <f t="shared" si="21"/>
        <v>0</v>
      </c>
      <c r="F57" s="90">
        <f t="shared" si="23"/>
        <v>0</v>
      </c>
    </row>
    <row r="58" spans="1:6" ht="15.75" customHeight="1" x14ac:dyDescent="0.15">
      <c r="A58" s="9"/>
      <c r="B58" s="91">
        <f t="shared" si="24"/>
        <v>-4</v>
      </c>
      <c r="C58" s="87"/>
      <c r="D58" s="88">
        <f t="shared" si="22"/>
        <v>0.2</v>
      </c>
      <c r="E58" s="89">
        <f t="shared" si="21"/>
        <v>0</v>
      </c>
      <c r="F58" s="90">
        <f t="shared" si="23"/>
        <v>0</v>
      </c>
    </row>
    <row r="59" spans="1:6" ht="15.75" customHeight="1" x14ac:dyDescent="0.15">
      <c r="A59" s="9"/>
      <c r="B59" s="91">
        <f t="shared" si="24"/>
        <v>-5</v>
      </c>
      <c r="C59" s="87"/>
      <c r="D59" s="88">
        <f t="shared" si="22"/>
        <v>0</v>
      </c>
      <c r="E59" s="89">
        <f t="shared" si="21"/>
        <v>0</v>
      </c>
      <c r="F59" s="90">
        <f t="shared" si="23"/>
        <v>0</v>
      </c>
    </row>
    <row r="60" spans="1:6" ht="15.75" customHeight="1" x14ac:dyDescent="0.15">
      <c r="A60" s="9"/>
      <c r="B60" s="91">
        <f t="shared" si="24"/>
        <v>0</v>
      </c>
      <c r="C60" s="87"/>
      <c r="D60" s="88">
        <f t="shared" si="22"/>
        <v>0</v>
      </c>
      <c r="E60" s="89">
        <f t="shared" si="21"/>
        <v>0</v>
      </c>
      <c r="F60" s="90">
        <f t="shared" si="23"/>
        <v>0</v>
      </c>
    </row>
    <row r="61" spans="1:6" ht="15.75" customHeight="1" x14ac:dyDescent="0.15">
      <c r="A61" s="9"/>
      <c r="B61" s="91">
        <f t="shared" si="24"/>
        <v>0</v>
      </c>
      <c r="C61" s="87"/>
      <c r="D61" s="88">
        <f t="shared" si="22"/>
        <v>0</v>
      </c>
      <c r="E61" s="89">
        <f t="shared" si="21"/>
        <v>0</v>
      </c>
      <c r="F61" s="90">
        <f t="shared" si="23"/>
        <v>0</v>
      </c>
    </row>
    <row r="62" spans="1:6" ht="15.75" customHeight="1" x14ac:dyDescent="0.15">
      <c r="A62" s="9"/>
      <c r="B62" s="91">
        <f t="shared" si="24"/>
        <v>0</v>
      </c>
      <c r="C62" s="87"/>
      <c r="D62" s="88">
        <f t="shared" si="22"/>
        <v>0</v>
      </c>
      <c r="E62" s="89">
        <f t="shared" si="21"/>
        <v>0</v>
      </c>
      <c r="F62" s="90">
        <f t="shared" si="23"/>
        <v>0</v>
      </c>
    </row>
    <row r="63" spans="1:6" ht="15.75" customHeight="1" x14ac:dyDescent="0.15">
      <c r="A63" s="9"/>
      <c r="B63" s="91">
        <f t="shared" si="24"/>
        <v>0</v>
      </c>
      <c r="C63" s="87"/>
      <c r="D63" s="88">
        <f t="shared" si="22"/>
        <v>0</v>
      </c>
      <c r="E63" s="89">
        <f t="shared" si="21"/>
        <v>0</v>
      </c>
      <c r="F63" s="90">
        <f t="shared" si="23"/>
        <v>0</v>
      </c>
    </row>
    <row r="64" spans="1:6" ht="15.75" customHeight="1" x14ac:dyDescent="0.15">
      <c r="A64" s="9"/>
      <c r="B64" s="91">
        <f t="shared" si="24"/>
        <v>0</v>
      </c>
      <c r="C64" s="87"/>
      <c r="D64" s="88">
        <f t="shared" si="22"/>
        <v>0</v>
      </c>
      <c r="E64" s="89">
        <f t="shared" si="21"/>
        <v>0</v>
      </c>
      <c r="F64" s="90">
        <f t="shared" si="23"/>
        <v>0</v>
      </c>
    </row>
    <row r="65" spans="1:6" ht="15.75" customHeight="1" x14ac:dyDescent="0.15">
      <c r="A65" s="9"/>
      <c r="B65" s="92" t="s">
        <v>108</v>
      </c>
      <c r="C65" s="79"/>
      <c r="D65" s="79"/>
      <c r="E65" s="89">
        <f>SUM(E54:E64)</f>
        <v>0</v>
      </c>
      <c r="F65" s="93"/>
    </row>
    <row r="66" spans="1:6" ht="15.75" customHeight="1" x14ac:dyDescent="0.15">
      <c r="A66" s="9"/>
      <c r="B66" s="92" t="s">
        <v>109</v>
      </c>
      <c r="C66" s="79"/>
      <c r="D66" s="79"/>
      <c r="E66" s="79"/>
      <c r="F66" s="90">
        <f>SUM(F55:F64)</f>
        <v>0</v>
      </c>
    </row>
    <row r="67" spans="1:6" ht="15.75" customHeight="1" x14ac:dyDescent="0.15">
      <c r="A67" s="9"/>
      <c r="B67" s="92"/>
      <c r="C67" s="79"/>
      <c r="D67" s="79"/>
      <c r="E67" s="79"/>
      <c r="F67" s="93"/>
    </row>
    <row r="68" spans="1:6" ht="15.75" customHeight="1" x14ac:dyDescent="0.15">
      <c r="A68" s="9"/>
      <c r="B68" s="94"/>
      <c r="C68" s="95" t="s">
        <v>110</v>
      </c>
      <c r="D68" s="95" t="s">
        <v>111</v>
      </c>
      <c r="E68" s="96" t="s">
        <v>112</v>
      </c>
      <c r="F68" s="97" t="s">
        <v>113</v>
      </c>
    </row>
    <row r="69" spans="1:6" ht="15.75" customHeight="1" x14ac:dyDescent="0.15">
      <c r="A69" s="9"/>
      <c r="B69" s="92" t="s">
        <v>114</v>
      </c>
      <c r="C69" s="98">
        <f>C14</f>
        <v>206148</v>
      </c>
      <c r="D69" s="98">
        <f>C69+C54-F66</f>
        <v>206148</v>
      </c>
      <c r="E69" s="79" t="s">
        <v>115</v>
      </c>
      <c r="F69" s="93" t="s">
        <v>116</v>
      </c>
    </row>
    <row r="70" spans="1:6" ht="15.75" customHeight="1" x14ac:dyDescent="0.15">
      <c r="A70" s="9"/>
      <c r="B70" s="92" t="s">
        <v>117</v>
      </c>
      <c r="C70" s="99">
        <f t="shared" ref="C70:D70" si="25">C69/$C$7</f>
        <v>0.17250431160363203</v>
      </c>
      <c r="D70" s="99">
        <f t="shared" si="25"/>
        <v>0.17250431160363203</v>
      </c>
      <c r="E70" s="79" t="s">
        <v>118</v>
      </c>
      <c r="F70" s="93" t="s">
        <v>119</v>
      </c>
    </row>
    <row r="71" spans="1:6" ht="15.75" customHeight="1" x14ac:dyDescent="0.15">
      <c r="A71" s="9"/>
      <c r="B71" s="92" t="s">
        <v>120</v>
      </c>
      <c r="C71" s="98">
        <f>C31</f>
        <v>610266.31000000006</v>
      </c>
      <c r="D71" s="98">
        <f>C71+E65-F66</f>
        <v>610266.31000000006</v>
      </c>
      <c r="E71" s="79" t="s">
        <v>121</v>
      </c>
      <c r="F71" s="93" t="s">
        <v>122</v>
      </c>
    </row>
    <row r="72" spans="1:6" ht="15.75" customHeight="1" x14ac:dyDescent="0.15">
      <c r="A72" s="9"/>
      <c r="B72" s="92" t="s">
        <v>123</v>
      </c>
      <c r="C72" s="98">
        <f>C16</f>
        <v>154611</v>
      </c>
      <c r="D72" s="98">
        <f>C72+C55</f>
        <v>154611</v>
      </c>
      <c r="E72" s="79" t="s">
        <v>124</v>
      </c>
      <c r="F72" s="93" t="s">
        <v>125</v>
      </c>
    </row>
    <row r="73" spans="1:6" ht="15.75" customHeight="1" x14ac:dyDescent="0.15">
      <c r="A73" s="9"/>
      <c r="B73" s="92" t="s">
        <v>126</v>
      </c>
      <c r="C73" s="98">
        <f>F3</f>
        <v>-1095327</v>
      </c>
      <c r="D73" s="98">
        <f>C73+C54-F66</f>
        <v>-1095327</v>
      </c>
      <c r="E73" s="79" t="s">
        <v>127</v>
      </c>
      <c r="F73" s="93" t="s">
        <v>125</v>
      </c>
    </row>
    <row r="74" spans="1:6" ht="15.75" customHeight="1" x14ac:dyDescent="0.15">
      <c r="A74" s="9"/>
      <c r="B74" s="100" t="s">
        <v>128</v>
      </c>
      <c r="C74" s="101">
        <f>C33</f>
        <v>9144924</v>
      </c>
      <c r="D74" s="101">
        <f>C74+E65</f>
        <v>9144924</v>
      </c>
      <c r="E74" s="8" t="s">
        <v>129</v>
      </c>
      <c r="F74" s="102" t="s">
        <v>125</v>
      </c>
    </row>
    <row r="75" spans="1:6" ht="15.75" customHeight="1" x14ac:dyDescent="0.15">
      <c r="A75" s="9"/>
      <c r="B75" s="79"/>
      <c r="C75" s="103"/>
      <c r="D75" s="103"/>
    </row>
    <row r="76" spans="1:6" ht="15.75" customHeight="1" x14ac:dyDescent="0.15">
      <c r="A76" s="9"/>
      <c r="B76" s="79"/>
      <c r="C76" s="103"/>
      <c r="D76" s="103"/>
    </row>
    <row r="77" spans="1:6" ht="15.75" customHeight="1" x14ac:dyDescent="0.15">
      <c r="A77" s="9"/>
      <c r="B77" s="79"/>
      <c r="C77" s="103"/>
      <c r="D77" s="103"/>
    </row>
    <row r="78" spans="1:6" ht="15.75" customHeight="1" x14ac:dyDescent="0.15">
      <c r="A78" s="9"/>
      <c r="B78" s="79"/>
      <c r="C78" s="104"/>
      <c r="D78" s="104"/>
    </row>
    <row r="79" spans="1:6" ht="15.75" customHeight="1" x14ac:dyDescent="0.15">
      <c r="A79" s="9"/>
      <c r="B79" s="79"/>
      <c r="C79" s="103"/>
      <c r="D79" s="103"/>
    </row>
    <row r="80" spans="1:6" ht="15.75" customHeight="1" x14ac:dyDescent="0.15">
      <c r="A80" s="9"/>
      <c r="B80" s="79"/>
      <c r="C80" s="104"/>
      <c r="D80" s="104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B47" sqref="B47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6" t="s">
        <v>130</v>
      </c>
      <c r="C2" s="356"/>
      <c r="D2" s="356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5">
        <f>C39-H39</f>
        <v>10746578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6" t="s">
        <v>133</v>
      </c>
      <c r="C5" s="6"/>
      <c r="D5" s="107">
        <f>E39-H39-E43</f>
        <v>7234040.1462629596</v>
      </c>
      <c r="E5" s="15">
        <f>1-D5/D3</f>
        <v>0.32685175259855193</v>
      </c>
      <c r="F5" s="6"/>
      <c r="G5" s="108" t="s">
        <v>134</v>
      </c>
      <c r="H5" s="30" t="str">
        <f>IF(Data!F3&lt;=0,"NNI",D6/((Data!F3*Dashboard!H13)/(Dashboard!H5/Data!C4)))</f>
        <v>NNI</v>
      </c>
      <c r="I5" s="6"/>
    </row>
    <row r="6" spans="1:9" ht="15" customHeight="1" x14ac:dyDescent="0.15">
      <c r="B6" s="79" t="s">
        <v>135</v>
      </c>
      <c r="D6" s="109">
        <f>(D5*Dashboard!H13*Data!C4)/Dashboard!H5</f>
        <v>0.99424197074053267</v>
      </c>
      <c r="E6" s="110"/>
      <c r="G6" s="108" t="s">
        <v>136</v>
      </c>
      <c r="H6" s="30">
        <f>D6/(Data!C25*Dashboard!H13*Data!C4/Common_Shares)</f>
        <v>0.67314824740144819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6" t="s">
        <v>137</v>
      </c>
      <c r="C8" s="356"/>
      <c r="D8" s="356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1" t="s">
        <v>142</v>
      </c>
      <c r="H9" s="26" t="s">
        <v>139</v>
      </c>
    </row>
    <row r="10" spans="1:9" ht="15" customHeight="1" x14ac:dyDescent="0.15">
      <c r="B10" s="5" t="s">
        <v>143</v>
      </c>
      <c r="C10" s="112">
        <v>4228657</v>
      </c>
      <c r="D10" s="113">
        <v>1</v>
      </c>
      <c r="E10" s="34">
        <f>C10*D10</f>
        <v>4228657</v>
      </c>
      <c r="F10" s="6"/>
      <c r="G10" s="5" t="s">
        <v>144</v>
      </c>
      <c r="H10" s="112">
        <v>579508</v>
      </c>
      <c r="I10" s="6"/>
    </row>
    <row r="11" spans="1:9" ht="14" x14ac:dyDescent="0.15">
      <c r="B11" s="5" t="s">
        <v>145</v>
      </c>
      <c r="C11" s="112">
        <v>0</v>
      </c>
      <c r="D11" s="113">
        <v>1</v>
      </c>
      <c r="E11" s="34">
        <f t="shared" ref="E11:E17" si="0">C11*D11</f>
        <v>0</v>
      </c>
      <c r="F11" s="6"/>
      <c r="G11" s="5" t="s">
        <v>146</v>
      </c>
      <c r="H11" s="112">
        <v>0</v>
      </c>
      <c r="I11" s="6"/>
    </row>
    <row r="12" spans="1:9" ht="14" x14ac:dyDescent="0.15">
      <c r="B12" s="5" t="s">
        <v>147</v>
      </c>
      <c r="C12" s="112">
        <v>1311168</v>
      </c>
      <c r="D12" s="113">
        <v>0.7</v>
      </c>
      <c r="E12" s="34">
        <f t="shared" si="0"/>
        <v>917817.6</v>
      </c>
      <c r="F12" s="6"/>
      <c r="G12" s="5" t="s">
        <v>148</v>
      </c>
      <c r="H12" s="112">
        <v>93311</v>
      </c>
      <c r="I12" s="6"/>
    </row>
    <row r="13" spans="1:9" ht="14" x14ac:dyDescent="0.15">
      <c r="B13" s="5" t="s">
        <v>149</v>
      </c>
      <c r="C13" s="112">
        <v>481804</v>
      </c>
      <c r="D13" s="113">
        <v>0.8</v>
      </c>
      <c r="E13" s="34">
        <f t="shared" si="0"/>
        <v>385443.2</v>
      </c>
      <c r="F13" s="6"/>
      <c r="G13" s="5" t="s">
        <v>150</v>
      </c>
      <c r="H13" s="112">
        <v>1219218</v>
      </c>
      <c r="I13" s="6"/>
    </row>
    <row r="14" spans="1:9" ht="14" x14ac:dyDescent="0.15">
      <c r="B14" s="5" t="s">
        <v>151</v>
      </c>
      <c r="C14" s="112">
        <v>457964</v>
      </c>
      <c r="D14" s="113">
        <v>0.6</v>
      </c>
      <c r="E14" s="34">
        <f t="shared" si="0"/>
        <v>274778.39999999997</v>
      </c>
      <c r="F14" s="6"/>
      <c r="G14" s="5" t="s">
        <v>152</v>
      </c>
      <c r="H14" s="112">
        <v>0</v>
      </c>
      <c r="I14" s="6"/>
    </row>
    <row r="15" spans="1:9" ht="14" x14ac:dyDescent="0.15">
      <c r="B15" s="5" t="s">
        <v>153</v>
      </c>
      <c r="C15" s="112">
        <v>0</v>
      </c>
      <c r="D15" s="113">
        <v>0.95</v>
      </c>
      <c r="E15" s="34">
        <f t="shared" si="0"/>
        <v>0</v>
      </c>
      <c r="F15" s="6"/>
      <c r="G15" s="5" t="s">
        <v>154</v>
      </c>
      <c r="H15" s="112">
        <v>80443</v>
      </c>
      <c r="I15" s="6"/>
    </row>
    <row r="16" spans="1:9" ht="14" x14ac:dyDescent="0.15">
      <c r="B16" s="5" t="s">
        <v>155</v>
      </c>
      <c r="C16" s="112">
        <v>0</v>
      </c>
      <c r="D16" s="113">
        <v>0.5</v>
      </c>
      <c r="E16" s="34">
        <f t="shared" si="0"/>
        <v>0</v>
      </c>
      <c r="F16" s="6"/>
      <c r="G16" s="5" t="s">
        <v>156</v>
      </c>
      <c r="H16" s="112">
        <v>0</v>
      </c>
      <c r="I16" s="6"/>
    </row>
    <row r="17" spans="2:9" ht="14" x14ac:dyDescent="0.15">
      <c r="B17" s="5" t="s">
        <v>157</v>
      </c>
      <c r="C17" s="112">
        <v>0</v>
      </c>
      <c r="D17" s="113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4" t="s">
        <v>158</v>
      </c>
      <c r="C19" s="115">
        <f>SUM(C10:C12)+C14</f>
        <v>5997789</v>
      </c>
      <c r="D19" s="116">
        <f t="shared" ref="D19:D21" si="1">E19/C19</f>
        <v>0.90387524469433655</v>
      </c>
      <c r="E19" s="117">
        <f>SUM(E10:E12)+E14</f>
        <v>5421253</v>
      </c>
      <c r="F19" s="6"/>
      <c r="G19" s="114" t="s">
        <v>159</v>
      </c>
      <c r="H19" s="118">
        <f t="shared" ref="H19:H20" si="2">E19/$H$21</f>
        <v>2.7484451046398441</v>
      </c>
      <c r="I19" s="14" t="str">
        <f>IF(H19&lt;1,"Liquidity Problem!","")</f>
        <v/>
      </c>
    </row>
    <row r="20" spans="2:9" ht="15" customHeight="1" x14ac:dyDescent="0.15">
      <c r="B20" s="114" t="s">
        <v>160</v>
      </c>
      <c r="C20" s="115">
        <f>C19+C13</f>
        <v>6479593</v>
      </c>
      <c r="D20" s="116">
        <f t="shared" si="1"/>
        <v>0.89615137864368954</v>
      </c>
      <c r="E20" s="34">
        <f>E19+E13</f>
        <v>5806696.2000000002</v>
      </c>
      <c r="F20" s="6"/>
      <c r="G20" s="114" t="s">
        <v>161</v>
      </c>
      <c r="H20" s="118">
        <f t="shared" si="2"/>
        <v>2.9438555524010384</v>
      </c>
      <c r="I20" s="14"/>
    </row>
    <row r="21" spans="2:9" ht="15" customHeight="1" x14ac:dyDescent="0.15">
      <c r="B21" s="5" t="s">
        <v>162</v>
      </c>
      <c r="C21" s="115">
        <f>SUM(C10:C17)</f>
        <v>6479593</v>
      </c>
      <c r="D21" s="15">
        <f t="shared" si="1"/>
        <v>0.89615137864368954</v>
      </c>
      <c r="E21" s="34">
        <f>SUM(E10:E17)</f>
        <v>5806696.2000000002</v>
      </c>
      <c r="F21" s="6"/>
      <c r="G21" s="5" t="s">
        <v>73</v>
      </c>
      <c r="H21" s="115">
        <f>SUM(H10:H16)</f>
        <v>1972480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2">
        <v>48156</v>
      </c>
      <c r="D23" s="113">
        <v>0.6</v>
      </c>
      <c r="E23" s="34">
        <f t="shared" ref="E23:E31" si="3">C23*D23</f>
        <v>28893.599999999999</v>
      </c>
      <c r="F23" s="6"/>
      <c r="G23" s="5" t="s">
        <v>164</v>
      </c>
      <c r="H23" s="112">
        <v>486531</v>
      </c>
      <c r="I23" s="6"/>
    </row>
    <row r="24" spans="2:9" ht="15" customHeight="1" x14ac:dyDescent="0.15">
      <c r="B24" s="5" t="s">
        <v>165</v>
      </c>
      <c r="C24" s="112">
        <v>2340353</v>
      </c>
      <c r="D24" s="113">
        <v>0.6</v>
      </c>
      <c r="E24" s="34">
        <f t="shared" si="3"/>
        <v>1404211.8</v>
      </c>
      <c r="F24" s="6"/>
      <c r="G24" s="5" t="s">
        <v>166</v>
      </c>
      <c r="H24" s="112">
        <v>1467653</v>
      </c>
      <c r="I24" s="6"/>
    </row>
    <row r="25" spans="2:9" ht="15" customHeight="1" x14ac:dyDescent="0.15">
      <c r="B25" s="5" t="s">
        <v>167</v>
      </c>
      <c r="C25" s="112">
        <v>270919</v>
      </c>
      <c r="D25" s="113">
        <v>0.85</v>
      </c>
      <c r="E25" s="34">
        <f t="shared" si="3"/>
        <v>230281.15</v>
      </c>
      <c r="F25" s="6"/>
      <c r="G25" s="5" t="s">
        <v>168</v>
      </c>
      <c r="H25" s="112">
        <v>0</v>
      </c>
      <c r="I25" s="6"/>
    </row>
    <row r="26" spans="2:9" ht="15" customHeight="1" x14ac:dyDescent="0.15">
      <c r="B26" s="5" t="s">
        <v>169</v>
      </c>
      <c r="C26" s="112">
        <v>981845</v>
      </c>
      <c r="D26" s="113">
        <v>0.6</v>
      </c>
      <c r="E26" s="34">
        <f t="shared" si="3"/>
        <v>589107</v>
      </c>
      <c r="F26" s="6"/>
      <c r="G26" s="5" t="s">
        <v>170</v>
      </c>
      <c r="H26" s="112">
        <v>0</v>
      </c>
      <c r="I26" s="6"/>
    </row>
    <row r="27" spans="2:9" ht="14" x14ac:dyDescent="0.15">
      <c r="B27" s="5" t="s">
        <v>171</v>
      </c>
      <c r="C27" s="112">
        <v>0</v>
      </c>
      <c r="D27" s="113">
        <v>0.3</v>
      </c>
      <c r="E27" s="34">
        <f t="shared" si="3"/>
        <v>0</v>
      </c>
      <c r="F27" s="6"/>
      <c r="G27" s="5" t="s">
        <v>172</v>
      </c>
      <c r="H27" s="112">
        <v>106556</v>
      </c>
      <c r="I27" s="6"/>
    </row>
    <row r="28" spans="2:9" ht="14" x14ac:dyDescent="0.15">
      <c r="B28" s="5" t="s">
        <v>173</v>
      </c>
      <c r="C28" s="112">
        <v>4002702</v>
      </c>
      <c r="D28" s="113">
        <v>0.8</v>
      </c>
      <c r="E28" s="34">
        <f t="shared" si="3"/>
        <v>3202161.6</v>
      </c>
      <c r="F28" s="6"/>
      <c r="G28" s="5" t="s">
        <v>174</v>
      </c>
      <c r="H28" s="112">
        <v>0</v>
      </c>
      <c r="I28" s="6"/>
    </row>
    <row r="29" spans="2:9" ht="14" x14ac:dyDescent="0.15">
      <c r="B29" s="5" t="s">
        <v>175</v>
      </c>
      <c r="C29" s="112">
        <v>0</v>
      </c>
      <c r="D29" s="113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2">
        <v>4573</v>
      </c>
      <c r="D30" s="113">
        <v>0.95</v>
      </c>
      <c r="E30" s="34">
        <f t="shared" si="3"/>
        <v>4344.3499999999995</v>
      </c>
      <c r="F30" s="6"/>
    </row>
    <row r="31" spans="2:9" ht="14" x14ac:dyDescent="0.15">
      <c r="B31" s="5" t="s">
        <v>177</v>
      </c>
      <c r="C31" s="112">
        <v>182450</v>
      </c>
      <c r="D31" s="113">
        <v>0.4</v>
      </c>
      <c r="E31" s="34">
        <f t="shared" si="3"/>
        <v>72980</v>
      </c>
      <c r="F31" s="6"/>
    </row>
    <row r="32" spans="2:9" ht="15" customHeight="1" x14ac:dyDescent="0.15">
      <c r="B32" s="5" t="s">
        <v>178</v>
      </c>
      <c r="C32" s="112">
        <v>0</v>
      </c>
      <c r="D32" s="113">
        <v>1</v>
      </c>
      <c r="E32" s="34">
        <v>0</v>
      </c>
      <c r="F32" s="6"/>
    </row>
    <row r="33" spans="2:9" ht="15" customHeight="1" x14ac:dyDescent="0.15">
      <c r="B33" s="5" t="s">
        <v>179</v>
      </c>
      <c r="C33" s="112">
        <v>469207</v>
      </c>
      <c r="D33" s="113">
        <v>0.1</v>
      </c>
      <c r="E33" s="34">
        <f>C33*D33</f>
        <v>46920.700000000004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5">
        <f>SUM(C23:C33)</f>
        <v>8300205</v>
      </c>
      <c r="D35" s="15">
        <f>E35/C35</f>
        <v>0.672140049552993</v>
      </c>
      <c r="E35" s="34">
        <f>SUM(E23:E33)</f>
        <v>5578900.2000000002</v>
      </c>
      <c r="F35" s="6"/>
      <c r="G35" s="5" t="s">
        <v>181</v>
      </c>
      <c r="H35" s="115">
        <f>SUM(H23:H28)</f>
        <v>2060740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4" t="s">
        <v>182</v>
      </c>
      <c r="C37" s="115">
        <f>C19+(C28+C29)+C32</f>
        <v>10000491</v>
      </c>
      <c r="D37" s="116">
        <f>E37/C37</f>
        <v>0.86229912111315332</v>
      </c>
      <c r="E37" s="117">
        <f>E19+(E28+E29)+E32</f>
        <v>8623414.5999999996</v>
      </c>
      <c r="F37" s="6"/>
      <c r="G37" s="114" t="s">
        <v>183</v>
      </c>
      <c r="H37" s="118">
        <f>E37/$H$39</f>
        <v>2.138096756437784</v>
      </c>
      <c r="I37" s="14" t="str">
        <f>IF(H37&lt;1,"Liquidity Problem!","")</f>
        <v/>
      </c>
    </row>
    <row r="38" spans="2:9" ht="15" customHeight="1" x14ac:dyDescent="0.15">
      <c r="B38" s="114" t="s">
        <v>184</v>
      </c>
      <c r="C38" s="119">
        <f>C37+C31</f>
        <v>10182941</v>
      </c>
      <c r="D38" s="116">
        <f>E38/C38</f>
        <v>0.85401600578850445</v>
      </c>
      <c r="E38" s="34">
        <f>E37+E31</f>
        <v>8696394.5999999996</v>
      </c>
      <c r="F38" s="6"/>
      <c r="G38" s="114" t="s">
        <v>185</v>
      </c>
      <c r="H38" s="118">
        <f>E38/$H$39</f>
        <v>2.1561914797605883</v>
      </c>
      <c r="I38" s="6"/>
    </row>
    <row r="39" spans="2:9" ht="15" customHeight="1" x14ac:dyDescent="0.15">
      <c r="B39" s="5" t="s">
        <v>186</v>
      </c>
      <c r="C39" s="119">
        <f>C21+C35</f>
        <v>14779798</v>
      </c>
      <c r="D39" s="15">
        <f>E39/C39</f>
        <v>0.77034857986557059</v>
      </c>
      <c r="E39" s="34">
        <f>E21+E35</f>
        <v>11385596.4</v>
      </c>
      <c r="F39" s="6"/>
      <c r="G39" s="5" t="s">
        <v>187</v>
      </c>
      <c r="H39" s="119">
        <f>H21+H35</f>
        <v>4033220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8"/>
    </row>
    <row r="42" spans="2:9" ht="14" x14ac:dyDescent="0.15">
      <c r="B42" s="120" t="s">
        <v>189</v>
      </c>
      <c r="C42" s="5"/>
      <c r="D42" s="357"/>
      <c r="E42" s="357"/>
    </row>
    <row r="43" spans="2:9" ht="14" x14ac:dyDescent="0.15">
      <c r="B43" s="5" t="s">
        <v>190</v>
      </c>
      <c r="C43" s="121">
        <v>100450</v>
      </c>
      <c r="D43" s="74" t="str">
        <f>IF(E43=C43,"BV of the MI","P/B Approach")</f>
        <v>P/B Approach</v>
      </c>
      <c r="E43" s="34">
        <f>MAX(C43,C43*Dashboard!H11)</f>
        <v>118336.25373704094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7"/>
      <c r="E45" s="357"/>
      <c r="F45" s="79"/>
    </row>
    <row r="46" spans="2:9" ht="14" x14ac:dyDescent="0.15">
      <c r="B46" s="106" t="s">
        <v>192</v>
      </c>
      <c r="C46" s="6"/>
      <c r="D46" s="358">
        <v>0</v>
      </c>
      <c r="E46" s="295"/>
      <c r="F46" s="5"/>
    </row>
    <row r="47" spans="2:9" ht="14" x14ac:dyDescent="0.15">
      <c r="B47" s="106" t="s">
        <v>193</v>
      </c>
      <c r="C47" s="6"/>
      <c r="D47" s="358">
        <v>0</v>
      </c>
      <c r="E47" s="295"/>
      <c r="F47" s="6" t="s">
        <v>194</v>
      </c>
    </row>
    <row r="48" spans="2:9" ht="12.75" customHeight="1" x14ac:dyDescent="0.15">
      <c r="B48" s="79" t="s">
        <v>195</v>
      </c>
      <c r="C48" s="6"/>
      <c r="D48" s="289">
        <f>Data!C24+D46+D47</f>
        <v>2627003</v>
      </c>
      <c r="E48" s="355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7"/>
      <c r="E50" s="357"/>
      <c r="F50" s="20" t="s">
        <v>198</v>
      </c>
    </row>
    <row r="51" spans="2:7" ht="15" customHeight="1" x14ac:dyDescent="0.15">
      <c r="B51" s="79" t="s">
        <v>199</v>
      </c>
      <c r="C51" s="6"/>
      <c r="D51" s="359">
        <f>E11+E12+E25+E28+E29</f>
        <v>4350260.3499999996</v>
      </c>
      <c r="E51" s="360"/>
      <c r="F51" s="15">
        <f>1-(E12+E25+E28+E29)/(C12+C25+C28+C29)</f>
        <v>0.22105197707558877</v>
      </c>
      <c r="G51" s="6"/>
    </row>
    <row r="52" spans="2:7" ht="14" x14ac:dyDescent="0.15">
      <c r="B52" s="79" t="s">
        <v>143</v>
      </c>
      <c r="C52" s="6"/>
      <c r="D52" s="289">
        <f>C10+C32</f>
        <v>4228657</v>
      </c>
      <c r="E52" s="355"/>
      <c r="F52" s="6"/>
    </row>
    <row r="53" spans="2:7" ht="14" x14ac:dyDescent="0.15">
      <c r="B53" s="79" t="s">
        <v>200</v>
      </c>
      <c r="C53" s="6"/>
      <c r="D53" s="289">
        <f>((Dashboard!H6*1000)+D48+E43-(C12+C25+C28+C29)-D52)</f>
        <v>5592020.491297042</v>
      </c>
      <c r="E53" s="355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abSelected="1" topLeftCell="A33" zoomScale="125" workbookViewId="0">
      <selection activeCell="D55" sqref="D55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7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2" t="s">
        <v>202</v>
      </c>
      <c r="C3" s="123">
        <v>4</v>
      </c>
      <c r="D3" s="124" t="str">
        <f>IF(E7="","next 1 years","next 3 years")</f>
        <v>next 3 years</v>
      </c>
      <c r="E3" s="124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5" t="s">
        <v>67</v>
      </c>
      <c r="C4" s="126">
        <f>Data!J4</f>
        <v>-4.8402477852546104</v>
      </c>
      <c r="D4" s="127">
        <f>IF(E7="",D16/C16-1,(G16/C16)^(1/4)-1)</f>
        <v>0.42201220149997631</v>
      </c>
      <c r="E4" s="126">
        <f>IF(Dashboard!D9&gt;5%,5%,IF(Dashboard!D9&lt;3.5%,3.5%,Dashboard!D9))</f>
        <v>3.5400000000000001E-2</v>
      </c>
      <c r="F4" s="128" t="s">
        <v>204</v>
      </c>
    </row>
    <row r="5" spans="1:13" ht="15.75" customHeight="1" x14ac:dyDescent="0.15">
      <c r="B5" s="129"/>
      <c r="C5" s="6"/>
      <c r="D5" s="6"/>
      <c r="E5" s="6"/>
    </row>
    <row r="6" spans="1:13" ht="15.75" customHeight="1" x14ac:dyDescent="0.15">
      <c r="B6" s="38" t="str">
        <f>"(Numbers in "&amp;Data!C4&amp;Dashboard!H12&amp;")"</f>
        <v>(Numbers in 1000HKD)</v>
      </c>
      <c r="C6" s="37" t="str">
        <f>RIGHT(Data!C6,4)</f>
        <v>2021</v>
      </c>
      <c r="D6" s="37">
        <v>1</v>
      </c>
      <c r="E6" s="37" t="str">
        <f>"2 "&amp;IF(F7="","(Normalized)","(Base)")</f>
        <v>2 (Normalized)</v>
      </c>
      <c r="F6" s="37" t="str">
        <f>IF(F15="","","3 (Normalized)")</f>
        <v/>
      </c>
      <c r="G6" s="37" t="s">
        <v>205</v>
      </c>
      <c r="I6" s="130" t="s">
        <v>206</v>
      </c>
    </row>
    <row r="7" spans="1:13" ht="15.75" customHeight="1" x14ac:dyDescent="0.15">
      <c r="B7" s="5" t="s">
        <v>207</v>
      </c>
      <c r="C7" s="58">
        <f>Data!C8</f>
        <v>0.69302858664823042</v>
      </c>
      <c r="D7" s="131">
        <f>D8/C8-1</f>
        <v>0.32952333454111238</v>
      </c>
      <c r="E7" s="132">
        <v>0.22</v>
      </c>
      <c r="F7" s="235"/>
      <c r="G7" s="223"/>
      <c r="H7" s="6"/>
      <c r="I7" s="133"/>
    </row>
    <row r="8" spans="1:13" ht="15.75" customHeight="1" x14ac:dyDescent="0.15">
      <c r="B8" s="5" t="s">
        <v>208</v>
      </c>
      <c r="C8" s="134">
        <f>Data!C7</f>
        <v>1195031</v>
      </c>
      <c r="D8" s="241">
        <f>1271359+(244202*1.3)</f>
        <v>1588821.6</v>
      </c>
      <c r="E8" s="233">
        <f>IF(E7="","",D8*(1+E7))</f>
        <v>1938362.352</v>
      </c>
      <c r="F8" s="236"/>
      <c r="G8" s="223"/>
      <c r="H8" s="6"/>
      <c r="I8" s="133"/>
      <c r="M8" s="104"/>
    </row>
    <row r="9" spans="1:13" ht="15.75" customHeight="1" x14ac:dyDescent="0.15">
      <c r="B9" s="8" t="s">
        <v>209</v>
      </c>
      <c r="C9" s="69">
        <f>Data!C9</f>
        <v>647828</v>
      </c>
      <c r="D9" s="242">
        <f>D8*(1-D10)</f>
        <v>524311.12799999991</v>
      </c>
      <c r="E9" s="234">
        <f>IF(E7="","",E8*(1-E10))</f>
        <v>639659.57615999994</v>
      </c>
      <c r="F9" s="236"/>
      <c r="G9" s="223"/>
      <c r="H9" s="6"/>
      <c r="I9" s="237"/>
      <c r="M9" s="1"/>
    </row>
    <row r="10" spans="1:13" ht="15.75" customHeight="1" x14ac:dyDescent="0.15">
      <c r="B10" s="136" t="s">
        <v>210</v>
      </c>
      <c r="C10" s="58">
        <f>Data!C10</f>
        <v>0.45789858171043263</v>
      </c>
      <c r="D10" s="137">
        <v>0.67</v>
      </c>
      <c r="E10" s="137">
        <v>0.67</v>
      </c>
      <c r="F10" s="238"/>
      <c r="G10" s="223"/>
      <c r="H10" s="6"/>
      <c r="I10" s="133"/>
    </row>
    <row r="11" spans="1:13" ht="15.75" customHeight="1" x14ac:dyDescent="0.15">
      <c r="B11" s="5" t="s">
        <v>211</v>
      </c>
      <c r="C11" s="34">
        <f t="shared" ref="C11" si="0">C8-C9</f>
        <v>547203</v>
      </c>
      <c r="D11" s="67">
        <f>D8-D9</f>
        <v>1064510.4720000001</v>
      </c>
      <c r="E11" s="67">
        <f>IF(E7="","",E8-E9)</f>
        <v>1298702.77584</v>
      </c>
      <c r="F11" s="239"/>
      <c r="G11" s="223"/>
      <c r="H11" s="6"/>
      <c r="I11" s="133"/>
    </row>
    <row r="12" spans="1:13" ht="15.75" customHeight="1" x14ac:dyDescent="0.15">
      <c r="B12" s="136" t="s">
        <v>64</v>
      </c>
      <c r="C12" s="61">
        <f>Data!C12</f>
        <v>0.28539427010680063</v>
      </c>
      <c r="D12" s="138">
        <f>D13/D8</f>
        <v>0.24999534246009747</v>
      </c>
      <c r="E12" s="139">
        <v>0.25</v>
      </c>
      <c r="F12" s="238"/>
      <c r="G12" s="223"/>
      <c r="H12" s="6"/>
      <c r="I12" s="133"/>
    </row>
    <row r="13" spans="1:13" ht="15.75" customHeight="1" x14ac:dyDescent="0.15">
      <c r="B13" s="8" t="s">
        <v>212</v>
      </c>
      <c r="C13" s="140">
        <f>Data!C11</f>
        <v>341055</v>
      </c>
      <c r="D13" s="141">
        <f>198599*2</f>
        <v>397198</v>
      </c>
      <c r="E13" s="135">
        <f>IF(E7="","",E8*E12)</f>
        <v>484590.58799999999</v>
      </c>
      <c r="F13" s="239"/>
      <c r="G13" s="223"/>
      <c r="H13" s="6"/>
      <c r="I13" s="133"/>
    </row>
    <row r="14" spans="1:13" ht="15.75" customHeight="1" x14ac:dyDescent="0.15">
      <c r="B14" s="136" t="s">
        <v>213</v>
      </c>
      <c r="C14" s="19">
        <f>Data!C13</f>
        <v>0.17250431160363203</v>
      </c>
      <c r="D14" s="131">
        <f>D16/D8</f>
        <v>0.42000465753990257</v>
      </c>
      <c r="E14" s="131">
        <f>IF(E7="","",E16/E8)</f>
        <v>0.42000000000000004</v>
      </c>
      <c r="F14" s="240"/>
      <c r="G14" s="223"/>
      <c r="H14" s="6"/>
      <c r="I14" s="133"/>
      <c r="M14" s="104"/>
    </row>
    <row r="15" spans="1:13" ht="15.75" customHeight="1" x14ac:dyDescent="0.15">
      <c r="B15" s="142" t="s">
        <v>214</v>
      </c>
      <c r="C15" s="15" t="str">
        <f>Data!C15</f>
        <v>Turn</v>
      </c>
      <c r="D15" s="138">
        <f>IF(ABS(C16+D16)=ABS(C16)+ABS(D16),IF(D16&lt;0,-1,1)*(D16-C16)/C16,"Turn")</f>
        <v>2.2370552806721387</v>
      </c>
      <c r="E15" s="138">
        <f>IF(E7="","",IF(ABS(D16+E16)=ABS(D16)+ABS(E16),IF(E16&lt;0,-1,1)*(E16-D16)/D16,"Turn"))</f>
        <v>0.2199864711055482</v>
      </c>
      <c r="F15" s="243"/>
      <c r="G15" s="143">
        <f>G19*G20</f>
        <v>3.5400000000000001E-2</v>
      </c>
      <c r="H15" s="6"/>
      <c r="I15" s="144" t="s">
        <v>215</v>
      </c>
      <c r="K15" s="145"/>
      <c r="M15" s="145"/>
    </row>
    <row r="16" spans="1:13" ht="15.75" customHeight="1" x14ac:dyDescent="0.15">
      <c r="B16" s="5" t="s">
        <v>66</v>
      </c>
      <c r="C16" s="34">
        <f>IF(Data!D50="No",Data!C69,Data!D69)</f>
        <v>206148</v>
      </c>
      <c r="D16" s="67">
        <f>D11-D13</f>
        <v>667312.47200000007</v>
      </c>
      <c r="E16" s="67">
        <f>IF(E7="","",E11-E13)</f>
        <v>814112.18784000003</v>
      </c>
      <c r="F16" s="67" t="str">
        <f>IF(F15="","",E16*(1+F15))</f>
        <v/>
      </c>
      <c r="G16" s="34">
        <f>IF(F15="",IF(E15="",C28,E16*(1+G15)),F16*(1+G15))</f>
        <v>842931.75928953616</v>
      </c>
      <c r="H16" s="6"/>
      <c r="I16" s="146"/>
      <c r="K16" s="103"/>
      <c r="M16" s="103"/>
    </row>
    <row r="17" spans="2:13" ht="15.75" customHeight="1" x14ac:dyDescent="0.15">
      <c r="B17" s="21" t="s">
        <v>216</v>
      </c>
      <c r="C17" s="224"/>
      <c r="D17" s="147">
        <v>0.25</v>
      </c>
      <c r="E17" s="39">
        <f>IF(E7="","",D17)</f>
        <v>0.25</v>
      </c>
      <c r="F17" s="39" t="str">
        <f>IF(F15="","",D17)</f>
        <v/>
      </c>
      <c r="G17" s="72">
        <f>D17</f>
        <v>0.25</v>
      </c>
      <c r="H17" s="6"/>
      <c r="I17" s="145"/>
      <c r="K17" s="104"/>
      <c r="M17" s="104"/>
    </row>
    <row r="18" spans="2:13" ht="15.75" customHeight="1" x14ac:dyDescent="0.15">
      <c r="B18" s="5" t="s">
        <v>123</v>
      </c>
      <c r="C18" s="148">
        <f>IF(Data!D50="No",Data!C72,Data!D72)</f>
        <v>154611</v>
      </c>
      <c r="D18" s="149">
        <f>IF(D16&lt;=0,D16,D16*(1-D17))</f>
        <v>500484.35400000005</v>
      </c>
      <c r="E18" s="149">
        <f>IF(E7="","",IF(E16&lt;=0,E16,E16*(1-E17)))</f>
        <v>610584.14088000008</v>
      </c>
      <c r="F18" s="149" t="str">
        <f>IF(F15="","",IF(F16&lt;=0,F16,F16*(1-F17)))</f>
        <v/>
      </c>
      <c r="G18" s="148">
        <f>G16*(1-G17)</f>
        <v>632198.81946715212</v>
      </c>
      <c r="H18" s="6"/>
      <c r="I18" s="150"/>
      <c r="K18" s="103"/>
      <c r="M18" s="103"/>
    </row>
    <row r="19" spans="2:13" ht="15.75" hidden="1" customHeight="1" x14ac:dyDescent="0.15">
      <c r="B19" s="18" t="s">
        <v>217</v>
      </c>
      <c r="C19" s="151"/>
      <c r="D19" s="151"/>
      <c r="E19" s="151"/>
      <c r="F19" s="36"/>
      <c r="G19" s="15">
        <f>G23</f>
        <v>8.0399999999999999E-2</v>
      </c>
      <c r="H19" s="6"/>
      <c r="I19" s="133" t="s">
        <v>218</v>
      </c>
      <c r="K19" s="104"/>
      <c r="M19" s="104"/>
    </row>
    <row r="20" spans="2:13" ht="15.75" customHeight="1" x14ac:dyDescent="0.15">
      <c r="B20" s="18" t="s">
        <v>84</v>
      </c>
      <c r="C20" s="15">
        <f t="shared" ref="C20" si="1">C21/C18</f>
        <v>3.9471079677383889</v>
      </c>
      <c r="D20" s="36">
        <f>IF(E7="",G20,D21/D18)</f>
        <v>0.99903222948703796</v>
      </c>
      <c r="E20" s="113"/>
      <c r="F20" s="36" t="str">
        <f>IF(F15="","",G15/G19)</f>
        <v/>
      </c>
      <c r="G20" s="15">
        <f>E4/G19</f>
        <v>0.44029850746268656</v>
      </c>
      <c r="H20" s="6"/>
      <c r="I20" s="144" t="s">
        <v>219</v>
      </c>
    </row>
    <row r="21" spans="2:13" ht="15" customHeight="1" thickBot="1" x14ac:dyDescent="0.2">
      <c r="B21" s="152" t="s">
        <v>120</v>
      </c>
      <c r="C21" s="153">
        <f>IF(Data!D50="No",Data!C71,Data!D71)</f>
        <v>610266.31000000006</v>
      </c>
      <c r="D21" s="154">
        <v>500000</v>
      </c>
      <c r="E21" s="155">
        <f>IF(E7="","",IF(F15="",E18*G20,E20*E18))</f>
        <v>268839.28590985079</v>
      </c>
      <c r="F21" s="244"/>
      <c r="G21" s="244"/>
      <c r="H21" s="156"/>
      <c r="I21" s="103"/>
      <c r="M21" s="103"/>
    </row>
    <row r="22" spans="2:13" ht="15.75" customHeight="1" thickTop="1" x14ac:dyDescent="0.15">
      <c r="B22" s="8" t="s">
        <v>220</v>
      </c>
      <c r="C22" s="246"/>
      <c r="D22" s="157">
        <f>IF(D18="","",IF(E7="",D18*(1-D20),D18-D21))</f>
        <v>484.35400000005029</v>
      </c>
      <c r="E22" s="157">
        <f>IF(E7="","",E18-E21)</f>
        <v>341744.85497014929</v>
      </c>
      <c r="F22" s="157" t="str">
        <f>IF(F15="","",F18*(1-F20))</f>
        <v/>
      </c>
      <c r="G22" s="158">
        <f>G18*(1-G20)</f>
        <v>353842.62283609255</v>
      </c>
      <c r="H22" s="156"/>
      <c r="I22" s="103"/>
      <c r="M22" s="103"/>
    </row>
    <row r="23" spans="2:13" ht="15.75" customHeight="1" x14ac:dyDescent="0.15">
      <c r="B23" s="18" t="s">
        <v>221</v>
      </c>
      <c r="C23" s="228"/>
      <c r="D23" s="226">
        <f>Dashboard!D11</f>
        <v>6.54E-2</v>
      </c>
      <c r="E23" s="131">
        <f>IF(E7="","",D23)</f>
        <v>6.54E-2</v>
      </c>
      <c r="F23" s="131" t="str">
        <f>IF(F15="","",D23)</f>
        <v/>
      </c>
      <c r="G23" s="19">
        <f>Dashboard!D13</f>
        <v>8.0399999999999999E-2</v>
      </c>
      <c r="H23" s="110"/>
      <c r="I23" s="104"/>
      <c r="J23" s="6"/>
      <c r="M23" s="104"/>
    </row>
    <row r="24" spans="2:13" ht="15.75" customHeight="1" thickBot="1" x14ac:dyDescent="0.2">
      <c r="B24" s="159" t="s">
        <v>222</v>
      </c>
      <c r="C24" s="227"/>
      <c r="D24" s="229">
        <f>IF(D16="","",1+D23)</f>
        <v>1.0653999999999999</v>
      </c>
      <c r="E24" s="160">
        <f>IF(E7="","",(1+D23)*(1+E23))</f>
        <v>1.1350771599999998</v>
      </c>
      <c r="F24" s="160" t="str">
        <f>IF(F15="","",(1+D23)*(1+E23)*(1+F23))</f>
        <v/>
      </c>
      <c r="G24" s="161">
        <f>IF(F15="",IF(E7="",D24,E24),F24)*(1+G23)</f>
        <v>1.2263373636639998</v>
      </c>
      <c r="H24" s="110"/>
      <c r="I24" s="104"/>
      <c r="M24" s="104"/>
    </row>
    <row r="25" spans="2:13" ht="15.75" customHeight="1" thickTop="1" x14ac:dyDescent="0.15">
      <c r="B25" s="8" t="s">
        <v>223</v>
      </c>
      <c r="C25" s="225"/>
      <c r="D25" s="230">
        <f>IF(D16="","",D22/D24)</f>
        <v>454.62173831429544</v>
      </c>
      <c r="E25" s="245">
        <f>IF(E7="","",E22/E24)</f>
        <v>301076.32063546177</v>
      </c>
      <c r="F25" s="245" t="str">
        <f>IF(F15="","",F22/F24)</f>
        <v/>
      </c>
      <c r="G25" s="231"/>
      <c r="H25" s="150"/>
      <c r="I25" s="103"/>
      <c r="M25" s="103"/>
    </row>
    <row r="26" spans="2:13" ht="15.75" customHeight="1" x14ac:dyDescent="0.15">
      <c r="F26" s="6"/>
      <c r="G26" s="232"/>
    </row>
    <row r="27" spans="2:13" ht="15.75" customHeight="1" x14ac:dyDescent="0.15">
      <c r="B27" s="29" t="s">
        <v>224</v>
      </c>
      <c r="C27" s="133" t="s">
        <v>225</v>
      </c>
      <c r="G27" s="6"/>
    </row>
    <row r="28" spans="2:13" ht="15.75" customHeight="1" x14ac:dyDescent="0.15">
      <c r="B28" s="3" t="s">
        <v>226</v>
      </c>
      <c r="C28" s="162">
        <f>IF(OR(E15="",F15=""),D16,E16)*(1+G15)</f>
        <v>690935.33350880013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3">
        <f>(C28*(1-G17))/F28</f>
        <v>6445292.2901940309</v>
      </c>
      <c r="G29" s="6"/>
    </row>
    <row r="30" spans="2:13" ht="15.75" customHeight="1" thickTop="1" x14ac:dyDescent="0.15">
      <c r="B30" s="106" t="s">
        <v>229</v>
      </c>
      <c r="C30" s="162">
        <f>C29/(IF(OR(E15="",F15=""),D24,E24)*(1+G23))</f>
        <v>5599449.7186780134</v>
      </c>
      <c r="G30" s="6"/>
    </row>
    <row r="31" spans="2:13" ht="15.75" customHeight="1" x14ac:dyDescent="0.15">
      <c r="B31" s="106" t="s">
        <v>230</v>
      </c>
      <c r="C31" s="162">
        <f>IF(OR(E15="",F15=""),D18*0.5/D24,D25+E25)</f>
        <v>234880.96207997002</v>
      </c>
    </row>
    <row r="32" spans="2:13" ht="15.75" customHeight="1" x14ac:dyDescent="0.15">
      <c r="B32" s="106" t="s">
        <v>231</v>
      </c>
      <c r="C32" s="162">
        <f>'Asset Model'!D51</f>
        <v>4350260.3499999996</v>
      </c>
    </row>
    <row r="33" spans="2:13" ht="15.75" customHeight="1" x14ac:dyDescent="0.15">
      <c r="B33" s="106" t="s">
        <v>232</v>
      </c>
      <c r="C33" s="162">
        <f>Data!C27</f>
        <v>4228657</v>
      </c>
    </row>
    <row r="34" spans="2:13" ht="15.75" customHeight="1" x14ac:dyDescent="0.15">
      <c r="B34" s="79" t="s">
        <v>233</v>
      </c>
      <c r="C34" s="162">
        <f>'Asset Model'!D48</f>
        <v>2627003</v>
      </c>
    </row>
    <row r="35" spans="2:13" ht="15.75" customHeight="1" thickBot="1" x14ac:dyDescent="0.2">
      <c r="B35" s="164" t="s">
        <v>234</v>
      </c>
      <c r="C35" s="162">
        <f>'Asset Model'!E43</f>
        <v>118336.25373704094</v>
      </c>
    </row>
    <row r="36" spans="2:13" ht="15.75" customHeight="1" thickTop="1" x14ac:dyDescent="0.15">
      <c r="B36" s="5" t="s">
        <v>235</v>
      </c>
      <c r="C36" s="165">
        <f>C30+C31+(C32+C33-C34-C35)</f>
        <v>11667908.777020942</v>
      </c>
      <c r="D36" s="166" t="str">
        <f>Dashboard!H12</f>
        <v>HKD</v>
      </c>
      <c r="E36" s="6"/>
    </row>
    <row r="37" spans="2:13" ht="15.75" customHeight="1" x14ac:dyDescent="0.15">
      <c r="B37" s="5" t="s">
        <v>236</v>
      </c>
      <c r="C37" s="167">
        <f>C36*Data!C4/Common_Shares*Exchange_Rate</f>
        <v>1.6036301129568504</v>
      </c>
      <c r="D37" s="75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8"/>
      <c r="D39" s="26"/>
      <c r="E39" s="169"/>
      <c r="F39" s="170"/>
    </row>
    <row r="40" spans="2:13" ht="15.75" customHeight="1" x14ac:dyDescent="0.15">
      <c r="B40" s="3" t="s">
        <v>226</v>
      </c>
      <c r="C40" s="162">
        <f>G16</f>
        <v>842931.75928953616</v>
      </c>
      <c r="D40" s="26"/>
      <c r="E40" s="169"/>
      <c r="F40" s="170"/>
    </row>
    <row r="41" spans="2:13" ht="15.75" customHeight="1" thickBot="1" x14ac:dyDescent="0.2">
      <c r="B41" s="79" t="s">
        <v>228</v>
      </c>
      <c r="C41" s="163">
        <f>G22/(G23-G15)</f>
        <v>7863169.3963576127</v>
      </c>
      <c r="D41" s="171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6" t="s">
        <v>229</v>
      </c>
      <c r="C42" s="162">
        <f>C41/G24</f>
        <v>6411913.7435920257</v>
      </c>
      <c r="D42" s="172"/>
      <c r="F42" s="6"/>
      <c r="G42" s="6"/>
      <c r="I42" s="361"/>
      <c r="J42" s="361"/>
      <c r="K42" s="361"/>
      <c r="L42" s="173"/>
      <c r="M42" s="174"/>
    </row>
    <row r="43" spans="2:13" ht="15.75" customHeight="1" thickBot="1" x14ac:dyDescent="0.2">
      <c r="B43" s="106" t="s">
        <v>230</v>
      </c>
      <c r="C43" s="162">
        <f>SUM(D25:F25)</f>
        <v>301530.94237377605</v>
      </c>
      <c r="D43" s="172"/>
      <c r="F43" s="6"/>
      <c r="G43" s="6"/>
      <c r="I43" s="31"/>
      <c r="J43" s="31"/>
      <c r="K43" s="31"/>
      <c r="L43" s="173"/>
      <c r="M43" s="174"/>
    </row>
    <row r="44" spans="2:13" ht="15.75" customHeight="1" thickTop="1" x14ac:dyDescent="0.15">
      <c r="B44" s="5" t="s">
        <v>235</v>
      </c>
      <c r="C44" s="165">
        <f>C43+C42+(C32+C33-C34-C35)</f>
        <v>12547022.78222876</v>
      </c>
      <c r="D44" s="166" t="str">
        <f>Dashboard!H12</f>
        <v>HKD</v>
      </c>
      <c r="E44" s="169" t="s">
        <v>134</v>
      </c>
      <c r="F44" s="30" t="str">
        <f>IF(Data!F3&lt;=0,"NNI",C45/((Data!F3*Exchange_Rate)/(Common_Shares/Data!C4)))</f>
        <v>NNI</v>
      </c>
      <c r="G44" s="6"/>
      <c r="H44" s="175"/>
      <c r="I44" s="6"/>
    </row>
    <row r="45" spans="2:13" ht="15.75" customHeight="1" x14ac:dyDescent="0.15">
      <c r="B45" s="5" t="s">
        <v>236</v>
      </c>
      <c r="C45" s="167">
        <f>C44*Data!C4/Common_Shares*Exchange_Rate</f>
        <v>1.724454994125771</v>
      </c>
      <c r="D45" s="75" t="str">
        <f>Dashboard!I4</f>
        <v>HKD</v>
      </c>
      <c r="E45" s="169" t="s">
        <v>136</v>
      </c>
      <c r="F45" s="30">
        <f>C45/(Data!C25*Exchange_Rate*Data!C4/Common_Shares)</f>
        <v>1.1675365667311735</v>
      </c>
      <c r="G45" s="6"/>
    </row>
    <row r="46" spans="2:13" ht="15.75" customHeight="1" x14ac:dyDescent="0.15">
      <c r="C46" s="6"/>
      <c r="D46" s="6"/>
      <c r="F46" s="6"/>
      <c r="I46" s="79"/>
      <c r="J46" s="176"/>
    </row>
    <row r="47" spans="2:13" ht="15.75" customHeight="1" x14ac:dyDescent="0.15">
      <c r="C47" s="177" t="s">
        <v>238</v>
      </c>
      <c r="D47" s="32" t="s">
        <v>239</v>
      </c>
      <c r="E47" s="177" t="s">
        <v>240</v>
      </c>
      <c r="F47" s="178" t="s">
        <v>241</v>
      </c>
      <c r="G47" s="177" t="s">
        <v>242</v>
      </c>
      <c r="I47" s="179" t="s">
        <v>206</v>
      </c>
    </row>
    <row r="48" spans="2:13" ht="15.75" hidden="1" customHeight="1" x14ac:dyDescent="0.15">
      <c r="C48" s="6"/>
      <c r="D48" s="6"/>
      <c r="E48" s="180">
        <f>G18/F41</f>
        <v>7863169.3963576118</v>
      </c>
      <c r="F48" s="181"/>
      <c r="I48" s="182"/>
    </row>
    <row r="49" spans="1:12" ht="15.75" customHeight="1" x14ac:dyDescent="0.15">
      <c r="B49" s="3" t="s">
        <v>243</v>
      </c>
      <c r="C49" s="183">
        <f>1/D49</f>
        <v>12.437810945273629</v>
      </c>
      <c r="D49" s="15">
        <f>F41</f>
        <v>8.0400000000000013E-2</v>
      </c>
      <c r="E49" s="184">
        <f t="dataTable" ref="E49:E54" dt2D="0" dtr="0" r1="F41" ca="1"/>
        <v>7863169.3963576118</v>
      </c>
      <c r="F49" s="185">
        <f>(E49/G24+C43+(C32+C33-C34-C35))*Data!C$4/Common_Shares*Exchange_Rate</f>
        <v>1.724454994125771</v>
      </c>
      <c r="G49" s="186" t="str">
        <f>IF(Data!F$3&lt;=0,"NNI",F49/((Data!F$3*Exchange_Rate)/(Common_Shares/Data!C$4)))</f>
        <v>NNI</v>
      </c>
      <c r="I49" s="133" t="s">
        <v>244</v>
      </c>
    </row>
    <row r="50" spans="1:12" ht="15.75" customHeight="1" x14ac:dyDescent="0.15">
      <c r="C50" s="187">
        <f>1/D50</f>
        <v>13.102725366876308</v>
      </c>
      <c r="D50" s="15">
        <f>D49-((D$49-D$54)/5)</f>
        <v>7.6320000000000013E-2</v>
      </c>
      <c r="E50" s="188">
        <v>8283527.5087415092</v>
      </c>
      <c r="F50" s="185">
        <f>(E50/G24+C43+(C32+C33-C34-C35))*Data!C$4/Common_Shares*Exchange_Rate</f>
        <v>1.7715658127192184</v>
      </c>
      <c r="G50" s="187" t="str">
        <f>IF(Data!F$3&lt;=0,"NNI",F50/((Data!F$3*Exchange_Rate)/(Common_Shares/Data!C$4)))</f>
        <v>NNI</v>
      </c>
      <c r="I50" s="133"/>
    </row>
    <row r="51" spans="1:12" ht="15.75" customHeight="1" x14ac:dyDescent="0.15">
      <c r="C51" s="187">
        <f>1/D51</f>
        <v>13.842746400885934</v>
      </c>
      <c r="D51" s="15">
        <f>D50-((D$49-D$54)/5)</f>
        <v>7.2240000000000013E-2</v>
      </c>
      <c r="E51" s="188">
        <v>9058327.8809484188</v>
      </c>
      <c r="F51" s="185">
        <f>(E51/G24+C43+(C32+C33-C34-C35))*Data!C$4/Common_Shares*Exchange_Rate</f>
        <v>1.8584000588199339</v>
      </c>
      <c r="G51" s="187" t="str">
        <f>IF(Data!F$3&lt;=0,"NNI",F51/((Data!F$3*Exchange_Rate)/(Common_Shares/Data!C$4)))</f>
        <v>NNI</v>
      </c>
      <c r="I51" s="133"/>
    </row>
    <row r="52" spans="1:12" ht="15.75" customHeight="1" x14ac:dyDescent="0.15">
      <c r="C52" s="187">
        <f t="shared" ref="C52:C53" si="2">1/D52</f>
        <v>14.671361502347414</v>
      </c>
      <c r="D52" s="15">
        <f>D51-((D$49-D$54)/5)</f>
        <v>6.8160000000000012E-2</v>
      </c>
      <c r="E52" s="188">
        <v>9890964.808425203</v>
      </c>
      <c r="F52" s="185">
        <f>(E52/G24+C43+(C32+C33-C34-C35))*Data!C$4/Common_Shares*Exchange_Rate</f>
        <v>1.9517162244628619</v>
      </c>
      <c r="G52" s="187" t="str">
        <f>IF(Data!F$3&lt;=0,"NNI",F52/((Data!F$3*Exchange_Rate)/(Common_Shares/Data!C$4)))</f>
        <v>NNI</v>
      </c>
      <c r="I52" s="133" t="s">
        <v>245</v>
      </c>
    </row>
    <row r="53" spans="1:12" ht="15.75" customHeight="1" x14ac:dyDescent="0.15">
      <c r="C53" s="187">
        <f t="shared" si="2"/>
        <v>15.605493133583018</v>
      </c>
      <c r="D53" s="15">
        <f>D52-((D$49-D$54)/5)</f>
        <v>6.4080000000000012E-2</v>
      </c>
      <c r="E53" s="188">
        <v>10400853.448495643</v>
      </c>
      <c r="F53" s="185">
        <f>(E53/G24+C43+(C32+C33-C34-C35))*Data!C$4/Common_Shares*Exchange_Rate</f>
        <v>2.0088610029684815</v>
      </c>
      <c r="G53" s="187" t="str">
        <f>IF(Data!F$3&lt;=0,"NNI",F53/((Data!F$3*Exchange_Rate)/(Common_Shares/Data!C$4)))</f>
        <v>NNI</v>
      </c>
      <c r="I53" s="133"/>
    </row>
    <row r="54" spans="1:12" ht="15.75" customHeight="1" x14ac:dyDescent="0.15">
      <c r="B54" s="3" t="s">
        <v>246</v>
      </c>
      <c r="C54" s="189">
        <f>1/D54</f>
        <v>16.666666666666668</v>
      </c>
      <c r="D54" s="147">
        <v>0.06</v>
      </c>
      <c r="E54" s="190">
        <v>10536646.991119202</v>
      </c>
      <c r="F54" s="191">
        <f>(E54/G24+C43+(C32+C33-C34-C35))*Data!C$4/Common_Shares*Exchange_Rate</f>
        <v>2.0240798003800982</v>
      </c>
      <c r="G54" s="189" t="str">
        <f>IF(Data!F$3&lt;=0,"NNI",F54/((Data!F$3*Exchange_Rate)/(Common_Shares/Data!C$4)))</f>
        <v>NNI</v>
      </c>
      <c r="I54" s="133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8"/>
      <c r="E56" s="178" t="str">
        <f>IF(D57="&gt;","Hight future interest rate scenario","Optimistic scenario")</f>
        <v>Optimistic scenario</v>
      </c>
      <c r="F56" s="178"/>
      <c r="G56" s="178"/>
      <c r="H56" s="13"/>
      <c r="I56" s="193"/>
      <c r="J56" s="13"/>
      <c r="K56" s="13"/>
      <c r="L56" s="13"/>
    </row>
    <row r="57" spans="1:12" ht="15.75" customHeight="1" x14ac:dyDescent="0.15">
      <c r="A57" s="6"/>
      <c r="B57" s="120" t="s">
        <v>247</v>
      </c>
      <c r="C57" s="194">
        <f>C37</f>
        <v>1.6036301129568504</v>
      </c>
      <c r="D57" s="26" t="str">
        <f>IF(C57&lt;E57,"&lt;",IF(C57=E57,"=","&gt;"))</f>
        <v>&lt;</v>
      </c>
      <c r="E57" s="195">
        <f>F54</f>
        <v>2.0240798003800982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3" t="s">
        <v>248</v>
      </c>
      <c r="K58" s="274">
        <f>IRR(C60:G60)</f>
        <v>0.10884743290013255</v>
      </c>
    </row>
    <row r="59" spans="1:12" ht="15.75" hidden="1" customHeight="1" x14ac:dyDescent="0.15">
      <c r="B59" s="3" t="s">
        <v>249</v>
      </c>
      <c r="C59" s="43" t="s">
        <v>250</v>
      </c>
      <c r="D59" s="43">
        <v>1</v>
      </c>
      <c r="E59" s="43">
        <v>2</v>
      </c>
      <c r="F59" s="259">
        <v>3</v>
      </c>
      <c r="G59" s="259">
        <v>4</v>
      </c>
      <c r="H59" s="6"/>
      <c r="I59" s="43" t="s">
        <v>251</v>
      </c>
      <c r="J59" s="275">
        <f>-Dashboard!H4+(C32+C33-C34-C35)/(Dashboard!H5/Data!C4)</f>
        <v>-0.93823666089363489</v>
      </c>
      <c r="K59" s="274">
        <f t="dataTable" ref="K59:K60" dt2D="0" dtr="0" r1="C60" ca="1"/>
        <v>0.15530138668442106</v>
      </c>
    </row>
    <row r="60" spans="1:12" ht="15.75" hidden="1" customHeight="1" x14ac:dyDescent="0.15">
      <c r="B60" s="6"/>
      <c r="C60" s="185">
        <f>J59</f>
        <v>-0.93823666089363489</v>
      </c>
      <c r="D60" s="185">
        <f>D22/(Dashboard!H5/Data!C4)</f>
        <v>6.65693119970978E-5</v>
      </c>
      <c r="E60" s="185">
        <f>IF(E7="",I60,E22)/(Dashboard!H5/Data!C4)</f>
        <v>4.6969199952737961E-2</v>
      </c>
      <c r="F60" s="262">
        <f>IF(E7="","",IF(F15="",I60,F22)/(Dashboard!H5/Data!C4))</f>
        <v>1.2270050576216096</v>
      </c>
      <c r="G60" s="263" t="str">
        <f>IF(AND(E7="",F15=""),"",IF(F15="","",I60/(Dashboard!H5/Data!C4)))</f>
        <v/>
      </c>
      <c r="H60" s="6"/>
      <c r="I60" s="272">
        <f>(C63*Dashboard!H5/Data!C4-(C32+C33-C34-C35)-C43)*G24</f>
        <v>8927609.2819650676</v>
      </c>
      <c r="J60" s="275">
        <f>-Dashboard!C22+(C32+C33-C34-C35)/(Dashboard!H5/Data!C4)</f>
        <v>-0.54823666089363499</v>
      </c>
      <c r="K60" s="274">
        <v>0.38534434266973272</v>
      </c>
    </row>
    <row r="61" spans="1:12" ht="15.75" customHeight="1" x14ac:dyDescent="0.15">
      <c r="B61" s="6"/>
      <c r="C61" s="269"/>
      <c r="D61" s="269"/>
      <c r="E61" s="269"/>
      <c r="F61" s="269"/>
      <c r="G61" s="270"/>
      <c r="H61" s="6"/>
      <c r="I61" s="188"/>
      <c r="J61" s="6"/>
    </row>
    <row r="62" spans="1:12" ht="15.75" customHeight="1" x14ac:dyDescent="0.15">
      <c r="C62" s="316" t="s">
        <v>252</v>
      </c>
      <c r="D62" s="362"/>
      <c r="E62" s="43" t="s">
        <v>253</v>
      </c>
      <c r="F62" s="43" t="s">
        <v>254</v>
      </c>
      <c r="G62" s="43" t="s">
        <v>255</v>
      </c>
      <c r="H62" s="6"/>
    </row>
    <row r="63" spans="1:12" ht="15.75" customHeight="1" x14ac:dyDescent="0.15">
      <c r="B63" s="6" t="s">
        <v>256</v>
      </c>
      <c r="C63" s="196">
        <f>MIN(C57,E57)+(ABS(C57-E57)*'Qualitative Analysis'!E56)</f>
        <v>1.8437500258550168</v>
      </c>
      <c r="D63" s="260" t="str">
        <f>D45</f>
        <v>HKD</v>
      </c>
      <c r="E63" s="261" t="str">
        <f>IF(Data!F3&lt;=0,"NNI",C63/((Data!F3*Exchange_Rate)/(Common_Shares/Data!C4)))</f>
        <v>NNI</v>
      </c>
      <c r="F63" s="261">
        <f>C63/(Data!C25*Exchange_Rate*Data!C4/Common_Shares)</f>
        <v>1.2483048745430338</v>
      </c>
      <c r="G63" s="271">
        <f>IRR(C60:G60)</f>
        <v>0.10884743290013255</v>
      </c>
      <c r="H63" s="6"/>
      <c r="I63" s="133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0" workbookViewId="0">
      <selection activeCell="E103" sqref="E103:E11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8"/>
      <c r="D2" s="8"/>
      <c r="E2" s="8"/>
    </row>
    <row r="3" spans="1:6" ht="15" customHeight="1" x14ac:dyDescent="0.15">
      <c r="B3" s="5" t="s">
        <v>259</v>
      </c>
      <c r="C3" s="5"/>
      <c r="D3" s="199">
        <f t="shared" ref="D3:D6" si="0">IF(LEFT(E3,1)="H",1,IF(LEFT(E3,1)="C",-1,0))</f>
        <v>-1</v>
      </c>
      <c r="E3" s="45" t="s">
        <v>260</v>
      </c>
      <c r="F3" s="6"/>
    </row>
    <row r="4" spans="1:6" ht="15" customHeight="1" x14ac:dyDescent="0.15">
      <c r="B4" s="79" t="s">
        <v>261</v>
      </c>
      <c r="C4" s="79"/>
      <c r="D4" s="199">
        <f t="shared" si="0"/>
        <v>-1</v>
      </c>
      <c r="E4" s="44" t="s">
        <v>262</v>
      </c>
      <c r="F4" s="6"/>
    </row>
    <row r="5" spans="1:6" ht="15" customHeight="1" x14ac:dyDescent="0.15">
      <c r="B5" s="79" t="s">
        <v>263</v>
      </c>
      <c r="C5" s="79"/>
      <c r="D5" s="199">
        <f t="shared" si="0"/>
        <v>-1</v>
      </c>
      <c r="E5" s="44" t="s">
        <v>264</v>
      </c>
      <c r="F5" s="6"/>
    </row>
    <row r="6" spans="1:6" ht="15" customHeight="1" x14ac:dyDescent="0.15">
      <c r="B6" s="79" t="s">
        <v>265</v>
      </c>
      <c r="C6" s="79"/>
      <c r="D6" s="199">
        <f t="shared" si="0"/>
        <v>-1</v>
      </c>
      <c r="E6" s="44" t="s">
        <v>266</v>
      </c>
      <c r="F6" s="6"/>
    </row>
    <row r="7" spans="1:6" ht="15" customHeight="1" x14ac:dyDescent="0.15">
      <c r="B7" s="200" t="s">
        <v>267</v>
      </c>
      <c r="D7" s="199">
        <f>IF(LEFT(E7,1)="H",2,IF(LEFT(E7,1)="C",-1,0))</f>
        <v>-1</v>
      </c>
      <c r="E7" s="74" t="str">
        <f>IF(SUM(D3:D6)&gt;=3, "Hot", IF(SUM(D3:FC6)&lt;=-3,"Cold", "Mixed"))</f>
        <v>Cold</v>
      </c>
      <c r="F7" s="6"/>
    </row>
    <row r="8" spans="1:6" ht="15" customHeight="1" x14ac:dyDescent="0.15">
      <c r="B8" s="79" t="s">
        <v>268</v>
      </c>
      <c r="C8" s="79"/>
      <c r="D8" s="199">
        <f t="shared" ref="D8:D11" si="1">IF(LEFT(E8,1)="H",1,IF(LEFT(E8,1)="C",-1,0))</f>
        <v>-1</v>
      </c>
      <c r="E8" s="44" t="s">
        <v>269</v>
      </c>
      <c r="F8" s="6"/>
    </row>
    <row r="9" spans="1:6" ht="15" customHeight="1" x14ac:dyDescent="0.15">
      <c r="B9" s="79" t="s">
        <v>270</v>
      </c>
      <c r="C9" s="79"/>
      <c r="D9" s="199">
        <f t="shared" si="1"/>
        <v>-1</v>
      </c>
      <c r="E9" s="44" t="s">
        <v>271</v>
      </c>
      <c r="F9" s="6"/>
    </row>
    <row r="10" spans="1:6" ht="15" customHeight="1" x14ac:dyDescent="0.15">
      <c r="B10" s="79" t="s">
        <v>272</v>
      </c>
      <c r="C10" s="79"/>
      <c r="D10" s="199">
        <f t="shared" si="1"/>
        <v>0</v>
      </c>
      <c r="E10" s="44" t="s">
        <v>273</v>
      </c>
      <c r="F10" s="6"/>
    </row>
    <row r="11" spans="1:6" ht="15" customHeight="1" x14ac:dyDescent="0.15">
      <c r="B11" s="79" t="s">
        <v>274</v>
      </c>
      <c r="C11" s="79"/>
      <c r="D11" s="199">
        <f t="shared" si="1"/>
        <v>-1</v>
      </c>
      <c r="E11" s="44" t="s">
        <v>275</v>
      </c>
      <c r="F11" s="6"/>
    </row>
    <row r="12" spans="1:6" ht="15" customHeight="1" x14ac:dyDescent="0.15">
      <c r="B12" s="200" t="s">
        <v>276</v>
      </c>
      <c r="D12" s="199">
        <f>IF(LEFT(E12,1)="H",2,IF(LEFT(E12,1)="C",-1,0))</f>
        <v>-1</v>
      </c>
      <c r="E12" s="74" t="str">
        <f>IF(SUM(D8:D11)&gt;=3, "Hot", IF(SUM(D8:D11)&lt;=-3,"Cold", "Mixed"))</f>
        <v>Cold</v>
      </c>
      <c r="F12" s="6"/>
    </row>
    <row r="13" spans="1:6" ht="15" customHeight="1" x14ac:dyDescent="0.15">
      <c r="B13" s="79" t="s">
        <v>277</v>
      </c>
      <c r="C13" s="79"/>
      <c r="D13" s="199">
        <f t="shared" ref="D13:D16" si="2">IF(LEFT(E13,1)="H",1,IF(LEFT(E13,1)="C",-1,0))</f>
        <v>-1</v>
      </c>
      <c r="E13" s="44" t="s">
        <v>278</v>
      </c>
      <c r="F13" s="6"/>
    </row>
    <row r="14" spans="1:6" ht="15" customHeight="1" x14ac:dyDescent="0.15">
      <c r="B14" s="79" t="s">
        <v>279</v>
      </c>
      <c r="C14" s="79"/>
      <c r="D14" s="199">
        <f t="shared" si="2"/>
        <v>-1</v>
      </c>
      <c r="E14" s="44" t="s">
        <v>280</v>
      </c>
      <c r="F14" s="6"/>
    </row>
    <row r="15" spans="1:6" ht="15" customHeight="1" x14ac:dyDescent="0.15">
      <c r="B15" s="79" t="s">
        <v>281</v>
      </c>
      <c r="C15" s="79"/>
      <c r="D15" s="199">
        <f t="shared" si="2"/>
        <v>-1</v>
      </c>
      <c r="E15" s="44" t="s">
        <v>282</v>
      </c>
      <c r="F15" s="6"/>
    </row>
    <row r="16" spans="1:6" ht="15" customHeight="1" x14ac:dyDescent="0.15">
      <c r="B16" s="79" t="s">
        <v>283</v>
      </c>
      <c r="C16" s="79"/>
      <c r="D16" s="199">
        <f t="shared" si="2"/>
        <v>-1</v>
      </c>
      <c r="E16" s="44" t="s">
        <v>284</v>
      </c>
      <c r="F16" s="6"/>
    </row>
    <row r="17" spans="1:6" ht="15" customHeight="1" x14ac:dyDescent="0.15">
      <c r="B17" s="200" t="s">
        <v>285</v>
      </c>
      <c r="D17" s="199">
        <f>IF(LEFT(E17,1)="H",2,IF(LEFT(E17,1)="C",-1,0))</f>
        <v>-1</v>
      </c>
      <c r="E17" s="74" t="str">
        <f>IF(SUM(D13:D16)&gt;=3, "Hot", IF(SUM(D13:D16)&lt;=-3,"Cold", "Mixed"))</f>
        <v>Cold</v>
      </c>
      <c r="F17" s="6"/>
    </row>
    <row r="18" spans="1:6" ht="15" customHeight="1" x14ac:dyDescent="0.15">
      <c r="B18" s="79" t="s">
        <v>286</v>
      </c>
      <c r="C18" s="79"/>
      <c r="D18" s="199">
        <f t="shared" ref="D18:D21" si="3">IF(LEFT(E18,1)="H",1,IF(LEFT(E18,1)="C",-1,0))</f>
        <v>-1</v>
      </c>
      <c r="E18" s="44" t="s">
        <v>287</v>
      </c>
      <c r="F18" s="6"/>
    </row>
    <row r="19" spans="1:6" ht="15" customHeight="1" x14ac:dyDescent="0.15">
      <c r="B19" s="79" t="s">
        <v>288</v>
      </c>
      <c r="C19" s="79"/>
      <c r="D19" s="199">
        <f t="shared" si="3"/>
        <v>-1</v>
      </c>
      <c r="E19" s="44" t="s">
        <v>289</v>
      </c>
      <c r="F19" s="6"/>
    </row>
    <row r="20" spans="1:6" ht="15" customHeight="1" x14ac:dyDescent="0.15">
      <c r="B20" s="79" t="s">
        <v>290</v>
      </c>
      <c r="C20" s="79"/>
      <c r="D20" s="199">
        <f t="shared" si="3"/>
        <v>-1</v>
      </c>
      <c r="E20" s="44" t="s">
        <v>291</v>
      </c>
      <c r="F20" s="6"/>
    </row>
    <row r="21" spans="1:6" ht="15" customHeight="1" x14ac:dyDescent="0.15">
      <c r="B21" s="79" t="s">
        <v>292</v>
      </c>
      <c r="C21" s="79"/>
      <c r="D21" s="199">
        <f t="shared" si="3"/>
        <v>-1</v>
      </c>
      <c r="E21" s="44" t="s">
        <v>293</v>
      </c>
      <c r="F21" s="6"/>
    </row>
    <row r="22" spans="1:6" ht="15" customHeight="1" x14ac:dyDescent="0.15">
      <c r="B22" s="200" t="s">
        <v>294</v>
      </c>
      <c r="D22" s="199">
        <f>IF(LEFT(E22,1)="H",2,IF(LEFT(E22,1)="C",-1,0))</f>
        <v>-1</v>
      </c>
      <c r="E22" s="74" t="str">
        <f>IF(SUM(D18:D21)&gt;=3, "Hot", IF(SUM(D18:D21)&lt;=-3,"Cold", "Mixed"))</f>
        <v>Cold</v>
      </c>
      <c r="F22" s="201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2"/>
      <c r="D24" s="13"/>
      <c r="E24" s="13"/>
    </row>
    <row r="25" spans="1:6" ht="14" x14ac:dyDescent="0.15">
      <c r="B25" s="203" t="s">
        <v>296</v>
      </c>
      <c r="C25" s="204"/>
      <c r="D25" s="6"/>
      <c r="E25" s="6"/>
    </row>
    <row r="26" spans="1:6" ht="14" x14ac:dyDescent="0.15">
      <c r="B26" s="6" t="s">
        <v>297</v>
      </c>
      <c r="C26" s="204"/>
      <c r="D26" s="201">
        <f>IF(E26="Strongly disagree",0,IF(E26="disagree",1,IF(E26="unclear",2,IF(E26="agree",3,4))))</f>
        <v>1</v>
      </c>
      <c r="E26" s="44" t="s">
        <v>310</v>
      </c>
      <c r="F26" s="6"/>
    </row>
    <row r="27" spans="1:6" ht="14" x14ac:dyDescent="0.15">
      <c r="B27" s="6" t="s">
        <v>299</v>
      </c>
      <c r="C27" s="204"/>
      <c r="D27" s="201">
        <f t="shared" ref="D27:D28" si="4">IF(E27="Strongly disagree",0,IF(E27="disagree",1,IF(E27="unclear",2,IF(E27="agree",3,4))))</f>
        <v>3</v>
      </c>
      <c r="E27" s="44" t="s">
        <v>300</v>
      </c>
      <c r="F27" s="6"/>
    </row>
    <row r="28" spans="1:6" ht="14" x14ac:dyDescent="0.15">
      <c r="B28" s="6" t="s">
        <v>301</v>
      </c>
      <c r="C28" s="204"/>
      <c r="D28" s="201">
        <f t="shared" si="4"/>
        <v>0</v>
      </c>
      <c r="E28" s="44" t="s">
        <v>341</v>
      </c>
      <c r="F28" s="6"/>
    </row>
    <row r="29" spans="1:6" ht="14" x14ac:dyDescent="0.15">
      <c r="B29" s="205" t="s">
        <v>302</v>
      </c>
      <c r="C29" s="204"/>
      <c r="D29" s="201">
        <f>AVERAGE(D26:D28)</f>
        <v>1.3333333333333333</v>
      </c>
      <c r="E29" s="206">
        <f>D29/4</f>
        <v>0.33333333333333331</v>
      </c>
      <c r="F29" s="6"/>
    </row>
    <row r="30" spans="1:6" ht="14" x14ac:dyDescent="0.15">
      <c r="B30" s="204"/>
      <c r="C30" s="204"/>
      <c r="E30" s="6"/>
    </row>
    <row r="31" spans="1:6" ht="14" x14ac:dyDescent="0.15">
      <c r="B31" s="207" t="s">
        <v>303</v>
      </c>
      <c r="C31" s="200"/>
    </row>
    <row r="32" spans="1:6" ht="14" x14ac:dyDescent="0.15">
      <c r="B32" s="200" t="s">
        <v>304</v>
      </c>
      <c r="C32" s="200"/>
      <c r="E32" s="6"/>
    </row>
    <row r="33" spans="2:6" ht="14" x14ac:dyDescent="0.15">
      <c r="B33" s="79" t="s">
        <v>305</v>
      </c>
      <c r="D33" s="208">
        <f>IF(E33="Strongly disagree",0,IF(E33="disagree",1,IF(E33="unclear",2,IF(E33="agree",3,4))))</f>
        <v>1</v>
      </c>
      <c r="E33" s="209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15">
      <c r="B34" s="79" t="s">
        <v>306</v>
      </c>
      <c r="D34" s="208">
        <f>IF(E34="Strongly disagree",0,IF(E34="disagree",1,IF(E34="unclear",2,IF(E34="agree",3,4))))</f>
        <v>3</v>
      </c>
      <c r="E34" s="44" t="s">
        <v>300</v>
      </c>
      <c r="F34" s="6"/>
    </row>
    <row r="35" spans="2:6" ht="14" x14ac:dyDescent="0.15">
      <c r="B35" s="79" t="s">
        <v>307</v>
      </c>
      <c r="D35" s="208">
        <f>IF(E35="Strongly disagree",0,IF(E35="disagree",1,IF(E35="unclear",2,IF(E35="agree",3,4))))</f>
        <v>4</v>
      </c>
      <c r="E35" s="44" t="s">
        <v>298</v>
      </c>
      <c r="F35" s="6"/>
    </row>
    <row r="36" spans="2:6" ht="14" x14ac:dyDescent="0.15">
      <c r="B36" s="79" t="s">
        <v>309</v>
      </c>
      <c r="D36" s="208">
        <f>IF(E36="Strongly disagree",0,IF(E36="disagree",1,IF(E36="unclear",2,IF(E36="agree",3,4))))</f>
        <v>3</v>
      </c>
      <c r="E36" s="44" t="s">
        <v>300</v>
      </c>
      <c r="F36" s="6"/>
    </row>
    <row r="37" spans="2:6" ht="14" x14ac:dyDescent="0.15">
      <c r="B37" s="79" t="s">
        <v>311</v>
      </c>
      <c r="D37" s="208">
        <f>IF(E37="Strongly disagree",0,IF(E37="disagree",1,IF(E37="unclear",2,IF(E37="agree",3,4))))</f>
        <v>2</v>
      </c>
      <c r="E37" s="44" t="s">
        <v>308</v>
      </c>
      <c r="F37" s="6"/>
    </row>
    <row r="38" spans="2:6" ht="14" x14ac:dyDescent="0.15">
      <c r="B38" s="200" t="s">
        <v>312</v>
      </c>
      <c r="D38" s="53"/>
      <c r="E38" s="26"/>
    </row>
    <row r="39" spans="2:6" ht="14" x14ac:dyDescent="0.15">
      <c r="B39" s="79" t="s">
        <v>313</v>
      </c>
      <c r="D39" s="208">
        <f>IF(E39="Strongly disagree",0,IF(E39="disagree",1,IF(E39="unclear",2,IF(E39="agree",3,4))))</f>
        <v>3</v>
      </c>
      <c r="E39" s="74" t="str">
        <f>IF(OR('Asset Model'!H19&lt;1,'Asset Model'!H37&lt;1),"Strongly disagree",
IF(OR('Asset Model'!H19&lt;2,'Asset Model'!H37&lt;2),"unclear", IF(OR('Asset Model'!H19&lt;5,'Asset Model'!H37&lt;5),"agree","Strongly agree"))
)</f>
        <v>agree</v>
      </c>
      <c r="F39" s="6"/>
    </row>
    <row r="40" spans="2:6" ht="14" x14ac:dyDescent="0.15">
      <c r="B40" s="79" t="s">
        <v>314</v>
      </c>
      <c r="D40" s="208">
        <f t="shared" ref="D40:D43" si="5">IF(E40="Strongly disagree",0,IF(E40="disagree",1,IF(E40="unclear",2,IF(E40="agree",3,4))))</f>
        <v>3</v>
      </c>
      <c r="E40" s="44" t="s">
        <v>300</v>
      </c>
      <c r="F40" s="6"/>
    </row>
    <row r="41" spans="2:6" ht="15" customHeight="1" x14ac:dyDescent="0.15">
      <c r="B41" s="79" t="s">
        <v>315</v>
      </c>
      <c r="D41" s="208">
        <f t="shared" si="5"/>
        <v>3</v>
      </c>
      <c r="E41" s="44" t="s">
        <v>300</v>
      </c>
      <c r="F41" s="6"/>
    </row>
    <row r="42" spans="2:6" ht="15" customHeight="1" x14ac:dyDescent="0.15">
      <c r="B42" s="79" t="s">
        <v>316</v>
      </c>
      <c r="D42" s="208">
        <f t="shared" si="5"/>
        <v>4</v>
      </c>
      <c r="E42" s="44" t="s">
        <v>298</v>
      </c>
      <c r="F42" s="6"/>
    </row>
    <row r="43" spans="2:6" ht="15" customHeight="1" x14ac:dyDescent="0.15">
      <c r="B43" s="79" t="s">
        <v>317</v>
      </c>
      <c r="D43" s="208">
        <f t="shared" si="5"/>
        <v>1</v>
      </c>
      <c r="E43" s="44" t="s">
        <v>310</v>
      </c>
      <c r="F43" s="6"/>
    </row>
    <row r="44" spans="2:6" ht="15" customHeight="1" x14ac:dyDescent="0.15">
      <c r="B44" s="200" t="s">
        <v>318</v>
      </c>
      <c r="D44" s="53"/>
      <c r="E44" s="26"/>
    </row>
    <row r="45" spans="2:6" ht="14" x14ac:dyDescent="0.15">
      <c r="B45" s="79" t="s">
        <v>319</v>
      </c>
      <c r="D45" s="208">
        <f t="shared" ref="D45:D49" si="6">IF(E45="Strongly disagree",0,IF(E45="disagree",1,IF(E45="unclear",2,IF(E45="agree",3,4))))</f>
        <v>1</v>
      </c>
      <c r="E45" s="44" t="s">
        <v>310</v>
      </c>
      <c r="F45" s="6"/>
    </row>
    <row r="46" spans="2:6" ht="15" customHeight="1" x14ac:dyDescent="0.15">
      <c r="B46" s="79" t="s">
        <v>320</v>
      </c>
      <c r="D46" s="208">
        <f t="shared" si="6"/>
        <v>3</v>
      </c>
      <c r="E46" s="44" t="s">
        <v>300</v>
      </c>
      <c r="F46" s="6"/>
    </row>
    <row r="47" spans="2:6" ht="15" customHeight="1" x14ac:dyDescent="0.15">
      <c r="B47" s="79" t="s">
        <v>321</v>
      </c>
      <c r="D47" s="208">
        <f t="shared" si="6"/>
        <v>2</v>
      </c>
      <c r="E47" s="44" t="s">
        <v>308</v>
      </c>
      <c r="F47" s="6"/>
    </row>
    <row r="48" spans="2:6" ht="15" customHeight="1" x14ac:dyDescent="0.15">
      <c r="B48" s="79" t="s">
        <v>322</v>
      </c>
      <c r="D48" s="208">
        <f t="shared" si="6"/>
        <v>1</v>
      </c>
      <c r="E48" s="44" t="s">
        <v>310</v>
      </c>
      <c r="F48" s="6"/>
    </row>
    <row r="49" spans="2:6" ht="14" x14ac:dyDescent="0.15">
      <c r="B49" s="79" t="s">
        <v>323</v>
      </c>
      <c r="D49" s="208">
        <f t="shared" si="6"/>
        <v>2</v>
      </c>
      <c r="E49" s="44" t="s">
        <v>308</v>
      </c>
      <c r="F49" s="6"/>
    </row>
    <row r="50" spans="2:6" ht="14" x14ac:dyDescent="0.15">
      <c r="B50" s="200" t="s">
        <v>324</v>
      </c>
      <c r="D50" s="53"/>
      <c r="E50" s="26"/>
    </row>
    <row r="51" spans="2:6" ht="14" x14ac:dyDescent="0.15">
      <c r="B51" s="79" t="s">
        <v>325</v>
      </c>
      <c r="D51" s="43"/>
      <c r="E51" s="74" t="str">
        <f>E67</f>
        <v>Medium</v>
      </c>
      <c r="F51" s="6"/>
    </row>
    <row r="52" spans="2:6" ht="14" x14ac:dyDescent="0.15">
      <c r="B52" s="79" t="s">
        <v>326</v>
      </c>
      <c r="D52" s="43"/>
      <c r="E52" s="74" t="str">
        <f>E77</f>
        <v>Medium</v>
      </c>
      <c r="F52" s="6"/>
    </row>
    <row r="53" spans="2:6" ht="14" x14ac:dyDescent="0.15">
      <c r="B53" s="79" t="s">
        <v>327</v>
      </c>
      <c r="D53" s="43"/>
      <c r="E53" s="74" t="str">
        <f>E85</f>
        <v>Medium</v>
      </c>
      <c r="F53" s="6"/>
    </row>
    <row r="54" spans="2:6" ht="14" x14ac:dyDescent="0.15">
      <c r="B54" s="79" t="s">
        <v>328</v>
      </c>
      <c r="D54" s="43"/>
      <c r="E54" s="74" t="str">
        <f>E95</f>
        <v>Medium</v>
      </c>
      <c r="F54" s="6"/>
    </row>
    <row r="55" spans="2:6" ht="14" x14ac:dyDescent="0.15">
      <c r="B55" s="79" t="s">
        <v>329</v>
      </c>
      <c r="D55" s="43"/>
      <c r="E55" s="74" t="str">
        <f>E102</f>
        <v>High</v>
      </c>
      <c r="F55" s="6"/>
    </row>
    <row r="56" spans="2:6" ht="14" x14ac:dyDescent="0.15">
      <c r="B56" s="205" t="s">
        <v>330</v>
      </c>
      <c r="D56" s="201">
        <f>E56*4</f>
        <v>2.2844104308390021</v>
      </c>
      <c r="E56" s="61">
        <f>AVERAGE(AVERAGE(D33:D37)/4,AVERAGE(D39:D43)/4,AVERAGE(D45:D49)/4,E114)</f>
        <v>0.57110260770975052</v>
      </c>
      <c r="F56" s="6"/>
    </row>
    <row r="57" spans="2:6" ht="14" x14ac:dyDescent="0.15">
      <c r="E57" s="6"/>
    </row>
    <row r="58" spans="2:6" ht="14" x14ac:dyDescent="0.15">
      <c r="B58" s="207" t="s">
        <v>331</v>
      </c>
      <c r="C58" s="79"/>
      <c r="D58" s="53"/>
      <c r="E58" s="26"/>
    </row>
    <row r="59" spans="2:6" ht="14" x14ac:dyDescent="0.15">
      <c r="B59" s="3" t="s">
        <v>332</v>
      </c>
      <c r="D59" s="208">
        <f>IF(E59="Strongly disagree",0,IF(E59="disagree",1,IF(E59="unclear",2,IF(E59="agree",3,4))))</f>
        <v>3</v>
      </c>
      <c r="E59" s="44" t="s">
        <v>300</v>
      </c>
      <c r="F59" s="6"/>
    </row>
    <row r="60" spans="2:6" ht="14" x14ac:dyDescent="0.15">
      <c r="B60" s="3" t="s">
        <v>333</v>
      </c>
      <c r="D60" s="208">
        <f>IF(E60="Strongly disagree",0,IF(E60="disagree",1,IF(E60="unclear",2,IF(E60="agree",3,4))))</f>
        <v>2</v>
      </c>
      <c r="E60" s="209" t="str">
        <f>IF(D56&gt;=3.5,"Strongly agree",IF(D56&gt;=2.5,"agree",IF(D56&gt;=1.5,"unclear",IF(D56&gt;=0.5,"disagree","Strongly disagree"))))</f>
        <v>unclear</v>
      </c>
      <c r="F60" s="6"/>
    </row>
    <row r="61" spans="2:6" ht="14" x14ac:dyDescent="0.15">
      <c r="B61" s="3" t="s">
        <v>334</v>
      </c>
      <c r="C61" s="79"/>
      <c r="D61" s="208">
        <f>IF(E61="Strongly disagree",0,IF(E61="disagree",1,IF(E61="unclear",2,IF(E61="agree",3,4))))</f>
        <v>1</v>
      </c>
      <c r="E61" s="210" t="str">
        <f>E33</f>
        <v>disagree</v>
      </c>
      <c r="F61" s="6"/>
    </row>
    <row r="62" spans="2:6" ht="14" x14ac:dyDescent="0.15">
      <c r="B62" s="3" t="s">
        <v>335</v>
      </c>
      <c r="D62" s="208">
        <f t="shared" ref="D62" si="7">IF(E62="Strongly disagree",0,IF(E62="disagree",1,IF(E62="unclear",2,IF(E62="agree",3,4))))</f>
        <v>0</v>
      </c>
      <c r="E62" s="74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5" t="s">
        <v>336</v>
      </c>
      <c r="D63" s="208"/>
      <c r="E63" s="206">
        <f>SUM(D59:D62)/12</f>
        <v>0.5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79" t="s">
        <v>339</v>
      </c>
      <c r="D67" s="211">
        <f>SUM(D68:D75)/(8*4)</f>
        <v>0.59375</v>
      </c>
      <c r="E67" s="74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79" t="s">
        <v>340</v>
      </c>
      <c r="D68" s="208">
        <f t="shared" ref="D68:D75" si="8">IF(E68="Strongly disagree",0,IF(E68="disagree",1,IF(E68="unclear",2,IF(E68="agree",3,4))))</f>
        <v>0</v>
      </c>
      <c r="E68" s="44" t="s">
        <v>341</v>
      </c>
      <c r="F68" s="6"/>
    </row>
    <row r="69" spans="1:6" ht="15" customHeight="1" x14ac:dyDescent="0.15">
      <c r="B69" s="79" t="s">
        <v>342</v>
      </c>
      <c r="D69" s="208">
        <f t="shared" si="8"/>
        <v>4</v>
      </c>
      <c r="E69" s="44" t="s">
        <v>298</v>
      </c>
      <c r="F69" s="6"/>
    </row>
    <row r="70" spans="1:6" ht="15" customHeight="1" x14ac:dyDescent="0.15">
      <c r="B70" s="79" t="s">
        <v>343</v>
      </c>
      <c r="D70" s="208">
        <f t="shared" si="8"/>
        <v>4</v>
      </c>
      <c r="E70" s="44" t="s">
        <v>298</v>
      </c>
      <c r="F70" s="6"/>
    </row>
    <row r="71" spans="1:6" ht="15" customHeight="1" x14ac:dyDescent="0.15">
      <c r="B71" s="79" t="s">
        <v>344</v>
      </c>
      <c r="D71" s="208">
        <f t="shared" si="8"/>
        <v>1</v>
      </c>
      <c r="E71" s="44" t="s">
        <v>310</v>
      </c>
      <c r="F71" s="6"/>
    </row>
    <row r="72" spans="1:6" ht="15" customHeight="1" x14ac:dyDescent="0.15">
      <c r="B72" s="79" t="s">
        <v>345</v>
      </c>
      <c r="D72" s="208">
        <f t="shared" si="8"/>
        <v>1</v>
      </c>
      <c r="E72" s="44" t="s">
        <v>310</v>
      </c>
      <c r="F72" s="6"/>
    </row>
    <row r="73" spans="1:6" ht="15" customHeight="1" x14ac:dyDescent="0.15">
      <c r="B73" s="79" t="s">
        <v>346</v>
      </c>
      <c r="D73" s="208">
        <f t="shared" si="8"/>
        <v>1</v>
      </c>
      <c r="E73" s="44" t="s">
        <v>310</v>
      </c>
      <c r="F73" s="6"/>
    </row>
    <row r="74" spans="1:6" ht="15" customHeight="1" x14ac:dyDescent="0.15">
      <c r="B74" s="79" t="s">
        <v>347</v>
      </c>
      <c r="D74" s="208">
        <f t="shared" si="8"/>
        <v>4</v>
      </c>
      <c r="E74" s="44" t="s">
        <v>298</v>
      </c>
      <c r="F74" s="6"/>
    </row>
    <row r="75" spans="1:6" ht="15" customHeight="1" x14ac:dyDescent="0.15">
      <c r="B75" s="79" t="s">
        <v>348</v>
      </c>
      <c r="D75" s="208">
        <f t="shared" si="8"/>
        <v>4</v>
      </c>
      <c r="E75" s="44" t="s">
        <v>298</v>
      </c>
      <c r="F75" s="6"/>
    </row>
    <row r="76" spans="1:6" ht="15" customHeight="1" x14ac:dyDescent="0.15">
      <c r="E76" s="6"/>
    </row>
    <row r="77" spans="1:6" ht="15" customHeight="1" x14ac:dyDescent="0.15">
      <c r="B77" s="79" t="s">
        <v>349</v>
      </c>
      <c r="D77" s="211">
        <f>SUM(D78:D83)/(6*4)</f>
        <v>0.54166666666666663</v>
      </c>
      <c r="E77" s="74" t="str">
        <f>IF(D77&gt;80%,"Very High",IF(D77&lt;=20%,"Very Low",IF(D77&lt;=40%,"Low",IF(D77&lt;=60%,"Medium","High"))))</f>
        <v>Medium</v>
      </c>
      <c r="F77" s="6"/>
    </row>
    <row r="78" spans="1:6" ht="15" customHeight="1" x14ac:dyDescent="0.15">
      <c r="B78" s="79" t="s">
        <v>350</v>
      </c>
      <c r="D78" s="208">
        <f t="shared" ref="D78:D83" si="9">IF(E78="Strongly disagree",0,IF(E78="disagree",1,IF(E78="unclear",2,IF(E78="agree",3,4))))</f>
        <v>1</v>
      </c>
      <c r="E78" s="44" t="s">
        <v>310</v>
      </c>
      <c r="F78" s="6"/>
    </row>
    <row r="79" spans="1:6" ht="15" customHeight="1" x14ac:dyDescent="0.15">
      <c r="B79" s="79" t="s">
        <v>351</v>
      </c>
      <c r="D79" s="208">
        <f t="shared" si="9"/>
        <v>1</v>
      </c>
      <c r="E79" s="44" t="s">
        <v>310</v>
      </c>
      <c r="F79" s="6"/>
    </row>
    <row r="80" spans="1:6" ht="15" customHeight="1" x14ac:dyDescent="0.15">
      <c r="B80" s="79" t="s">
        <v>352</v>
      </c>
      <c r="D80" s="208">
        <f t="shared" si="9"/>
        <v>3</v>
      </c>
      <c r="E80" s="44" t="s">
        <v>300</v>
      </c>
      <c r="F80" s="6"/>
    </row>
    <row r="81" spans="2:6" ht="15" customHeight="1" x14ac:dyDescent="0.15">
      <c r="B81" s="79" t="s">
        <v>353</v>
      </c>
      <c r="D81" s="208">
        <f t="shared" si="9"/>
        <v>3</v>
      </c>
      <c r="E81" s="44" t="s">
        <v>300</v>
      </c>
      <c r="F81" s="6"/>
    </row>
    <row r="82" spans="2:6" ht="15" customHeight="1" x14ac:dyDescent="0.15">
      <c r="B82" s="79" t="s">
        <v>354</v>
      </c>
      <c r="D82" s="208">
        <f t="shared" si="9"/>
        <v>3</v>
      </c>
      <c r="E82" s="44" t="s">
        <v>300</v>
      </c>
      <c r="F82" s="6"/>
    </row>
    <row r="83" spans="2:6" ht="15" customHeight="1" x14ac:dyDescent="0.15">
      <c r="B83" s="79" t="s">
        <v>355</v>
      </c>
      <c r="D83" s="208">
        <f t="shared" si="9"/>
        <v>2</v>
      </c>
      <c r="E83" s="44" t="s">
        <v>308</v>
      </c>
      <c r="F83" s="6"/>
    </row>
    <row r="84" spans="2:6" ht="15" customHeight="1" x14ac:dyDescent="0.15">
      <c r="E84" s="6"/>
    </row>
    <row r="85" spans="2:6" ht="15" customHeight="1" x14ac:dyDescent="0.15">
      <c r="B85" s="79" t="s">
        <v>356</v>
      </c>
      <c r="D85" s="211">
        <f>SUM(D86:D93)/(8*4)</f>
        <v>0.40625</v>
      </c>
      <c r="E85" s="74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79" t="s">
        <v>357</v>
      </c>
      <c r="D86" s="208">
        <f t="shared" ref="D86:D93" si="10">IF(E86="Strongly disagree",0,IF(E86="disagree",1,IF(E86="unclear",2,IF(E86="agree",3,4))))</f>
        <v>0</v>
      </c>
      <c r="E86" s="44" t="s">
        <v>341</v>
      </c>
      <c r="F86" s="6"/>
    </row>
    <row r="87" spans="2:6" ht="15" customHeight="1" x14ac:dyDescent="0.15">
      <c r="B87" s="79" t="s">
        <v>358</v>
      </c>
      <c r="D87" s="208">
        <f t="shared" si="10"/>
        <v>3</v>
      </c>
      <c r="E87" s="44" t="s">
        <v>300</v>
      </c>
      <c r="F87" s="6"/>
    </row>
    <row r="88" spans="2:6" ht="15" customHeight="1" x14ac:dyDescent="0.15">
      <c r="B88" s="79" t="s">
        <v>359</v>
      </c>
      <c r="D88" s="208">
        <f t="shared" si="10"/>
        <v>3</v>
      </c>
      <c r="E88" s="44" t="s">
        <v>300</v>
      </c>
      <c r="F88" s="6"/>
    </row>
    <row r="89" spans="2:6" ht="15" customHeight="1" x14ac:dyDescent="0.15">
      <c r="B89" s="79" t="s">
        <v>360</v>
      </c>
      <c r="D89" s="208">
        <f t="shared" si="10"/>
        <v>1</v>
      </c>
      <c r="E89" s="44" t="s">
        <v>310</v>
      </c>
      <c r="F89" s="6"/>
    </row>
    <row r="90" spans="2:6" ht="15" customHeight="1" x14ac:dyDescent="0.15">
      <c r="B90" s="79" t="s">
        <v>361</v>
      </c>
      <c r="D90" s="208">
        <f t="shared" si="10"/>
        <v>3</v>
      </c>
      <c r="E90" s="44" t="s">
        <v>300</v>
      </c>
      <c r="F90" s="6"/>
    </row>
    <row r="91" spans="2:6" ht="15" customHeight="1" x14ac:dyDescent="0.15">
      <c r="B91" s="79" t="s">
        <v>362</v>
      </c>
      <c r="D91" s="208">
        <f t="shared" si="10"/>
        <v>1</v>
      </c>
      <c r="E91" s="44" t="s">
        <v>310</v>
      </c>
      <c r="F91" s="6"/>
    </row>
    <row r="92" spans="2:6" ht="15" customHeight="1" x14ac:dyDescent="0.15">
      <c r="B92" s="79" t="s">
        <v>363</v>
      </c>
      <c r="D92" s="208">
        <f t="shared" si="10"/>
        <v>1</v>
      </c>
      <c r="E92" s="44" t="s">
        <v>310</v>
      </c>
      <c r="F92" s="6"/>
    </row>
    <row r="93" spans="2:6" ht="15" customHeight="1" x14ac:dyDescent="0.15">
      <c r="B93" s="79" t="s">
        <v>364</v>
      </c>
      <c r="D93" s="208">
        <f t="shared" si="10"/>
        <v>1</v>
      </c>
      <c r="E93" s="44" t="s">
        <v>310</v>
      </c>
      <c r="F93" s="6"/>
    </row>
    <row r="94" spans="2:6" ht="15" customHeight="1" x14ac:dyDescent="0.15">
      <c r="E94" s="6"/>
    </row>
    <row r="95" spans="2:6" ht="15" customHeight="1" x14ac:dyDescent="0.15">
      <c r="B95" s="79" t="s">
        <v>365</v>
      </c>
      <c r="D95" s="211">
        <f>SUM(D96:D100)/(3*4)</f>
        <v>0.42517006802721086</v>
      </c>
      <c r="E95" s="74" t="str">
        <f>IF(D95&gt;80%,"Very High",IF(D95&lt;=20%,"Very Low",IF(D95&lt;=40%,"Low",IF(D95&lt;=60%,"Medium","High"))))</f>
        <v>Medium</v>
      </c>
      <c r="F95" s="6"/>
    </row>
    <row r="96" spans="2:6" ht="15" customHeight="1" x14ac:dyDescent="0.15">
      <c r="B96" s="79" t="s">
        <v>366</v>
      </c>
      <c r="D96" s="208">
        <f t="shared" ref="D96:D99" si="11">IF(E96="Strongly disagree",0,IF(E96="disagree",1,IF(E96="unclear",2,IF(E96="agree",3,4))))</f>
        <v>0</v>
      </c>
      <c r="E96" s="44" t="s">
        <v>341</v>
      </c>
      <c r="F96" s="6"/>
    </row>
    <row r="97" spans="2:6" ht="15" customHeight="1" x14ac:dyDescent="0.15">
      <c r="B97" s="79" t="s">
        <v>367</v>
      </c>
      <c r="D97" s="208">
        <f t="shared" si="11"/>
        <v>0</v>
      </c>
      <c r="E97" s="44" t="s">
        <v>341</v>
      </c>
      <c r="F97" s="6"/>
    </row>
    <row r="98" spans="2:6" ht="15" customHeight="1" x14ac:dyDescent="0.15">
      <c r="B98" s="79" t="s">
        <v>368</v>
      </c>
      <c r="D98" s="208">
        <f t="shared" si="11"/>
        <v>0</v>
      </c>
      <c r="E98" s="44" t="s">
        <v>341</v>
      </c>
      <c r="F98" s="6"/>
    </row>
    <row r="99" spans="2:6" ht="15" customHeight="1" x14ac:dyDescent="0.15">
      <c r="B99" s="79" t="s">
        <v>369</v>
      </c>
      <c r="D99" s="208">
        <f t="shared" si="11"/>
        <v>2</v>
      </c>
      <c r="E99" s="44" t="s">
        <v>308</v>
      </c>
      <c r="F99" s="6"/>
    </row>
    <row r="100" spans="2:6" ht="15" customHeight="1" x14ac:dyDescent="0.15">
      <c r="B100" s="79" t="s">
        <v>370</v>
      </c>
      <c r="D100" s="212">
        <f t="array" ref="D100">(1-INDEX(B118:E127,MATCH(E100,B118:B127,0),4))*4</f>
        <v>3.1020408163265305</v>
      </c>
      <c r="E100" s="44" t="s">
        <v>398</v>
      </c>
      <c r="F100" s="6"/>
    </row>
    <row r="101" spans="2:6" ht="15" customHeight="1" x14ac:dyDescent="0.15">
      <c r="E101" s="6"/>
    </row>
    <row r="102" spans="2:6" ht="15" customHeight="1" x14ac:dyDescent="0.15">
      <c r="B102" s="79" t="s">
        <v>371</v>
      </c>
      <c r="D102" s="213">
        <f>SUM(D103:D111)/(9*4)</f>
        <v>0.61111111111111116</v>
      </c>
      <c r="E102" s="74" t="str">
        <f>IF(D102&gt;80%,"Very High",IF(D102&lt;=20%,"Very Low",IF(D102&lt;=40%,"Low",IF(D102&lt;=60%,"Medium","High"))))</f>
        <v>High</v>
      </c>
      <c r="F102" s="6"/>
    </row>
    <row r="103" spans="2:6" ht="15" customHeight="1" x14ac:dyDescent="0.15">
      <c r="B103" s="79" t="s">
        <v>372</v>
      </c>
      <c r="D103" s="208">
        <f t="shared" ref="D103:D110" si="12">IF(E103="Strongly disagree",0,IF(E103="disagree",1,IF(E103="unclear",2,IF(E103="agree",3,4))))</f>
        <v>1</v>
      </c>
      <c r="E103" s="44" t="s">
        <v>310</v>
      </c>
      <c r="F103" s="6"/>
    </row>
    <row r="104" spans="2:6" ht="15" customHeight="1" x14ac:dyDescent="0.15">
      <c r="B104" s="79" t="s">
        <v>373</v>
      </c>
      <c r="D104" s="208">
        <f t="shared" si="12"/>
        <v>1</v>
      </c>
      <c r="E104" s="44" t="s">
        <v>310</v>
      </c>
      <c r="F104" s="6"/>
    </row>
    <row r="105" spans="2:6" ht="15" customHeight="1" x14ac:dyDescent="0.15">
      <c r="B105" s="79" t="s">
        <v>374</v>
      </c>
      <c r="D105" s="208">
        <f t="shared" si="12"/>
        <v>4</v>
      </c>
      <c r="E105" s="44" t="s">
        <v>298</v>
      </c>
      <c r="F105" s="6"/>
    </row>
    <row r="106" spans="2:6" ht="15" customHeight="1" x14ac:dyDescent="0.15">
      <c r="B106" s="79" t="s">
        <v>375</v>
      </c>
      <c r="D106" s="208">
        <f t="shared" si="12"/>
        <v>3</v>
      </c>
      <c r="E106" s="44" t="s">
        <v>300</v>
      </c>
      <c r="F106" s="6"/>
    </row>
    <row r="107" spans="2:6" ht="15" customHeight="1" x14ac:dyDescent="0.15">
      <c r="B107" s="79" t="s">
        <v>376</v>
      </c>
      <c r="D107" s="208">
        <f t="shared" si="12"/>
        <v>3</v>
      </c>
      <c r="E107" s="44" t="s">
        <v>300</v>
      </c>
      <c r="F107" s="6"/>
    </row>
    <row r="108" spans="2:6" ht="15" customHeight="1" x14ac:dyDescent="0.15">
      <c r="B108" s="79" t="s">
        <v>377</v>
      </c>
      <c r="D108" s="208">
        <f t="shared" si="12"/>
        <v>2</v>
      </c>
      <c r="E108" s="44" t="s">
        <v>308</v>
      </c>
      <c r="F108" s="6"/>
    </row>
    <row r="109" spans="2:6" ht="15" customHeight="1" x14ac:dyDescent="0.15">
      <c r="B109" s="79" t="s">
        <v>378</v>
      </c>
      <c r="D109" s="208">
        <f t="shared" si="12"/>
        <v>2</v>
      </c>
      <c r="E109" s="44" t="s">
        <v>308</v>
      </c>
      <c r="F109" s="6"/>
    </row>
    <row r="110" spans="2:6" ht="15" customHeight="1" x14ac:dyDescent="0.15">
      <c r="B110" s="79" t="s">
        <v>379</v>
      </c>
      <c r="D110" s="208">
        <f t="shared" si="12"/>
        <v>4</v>
      </c>
      <c r="E110" s="44" t="s">
        <v>298</v>
      </c>
      <c r="F110" s="6"/>
    </row>
    <row r="111" spans="2:6" ht="15" customHeight="1" x14ac:dyDescent="0.15">
      <c r="B111" s="79" t="s">
        <v>380</v>
      </c>
      <c r="D111" s="208">
        <f>IF(E111="Strongly disagree",0,IF(E111="disagree",1,IF(E111="non-perishable",2,IF(E111="agree",3,4))))</f>
        <v>2</v>
      </c>
      <c r="E111" s="44" t="s">
        <v>399</v>
      </c>
      <c r="F111" s="6"/>
    </row>
    <row r="112" spans="2:6" ht="15" customHeight="1" x14ac:dyDescent="0.15">
      <c r="E112" s="6"/>
    </row>
    <row r="113" spans="2:8" ht="15" customHeight="1" x14ac:dyDescent="0.15">
      <c r="B113" s="79" t="s">
        <v>381</v>
      </c>
      <c r="D113" s="6"/>
      <c r="E113" s="214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79" t="s">
        <v>382</v>
      </c>
      <c r="D114" s="6"/>
      <c r="E114" s="36">
        <f>1-AVERAGE(D67,D77,D85,D95,D102)</f>
        <v>0.48441043083900226</v>
      </c>
      <c r="F114" s="5"/>
    </row>
    <row r="115" spans="2:8" ht="15" customHeight="1" x14ac:dyDescent="0.15">
      <c r="E115" s="6"/>
    </row>
    <row r="116" spans="2:8" ht="15" customHeight="1" x14ac:dyDescent="0.15">
      <c r="B116" s="80" t="s">
        <v>383</v>
      </c>
      <c r="C116" s="7"/>
      <c r="D116" s="7"/>
      <c r="E116" s="82"/>
      <c r="F116" s="79"/>
      <c r="G116" s="79"/>
      <c r="H116" s="79"/>
    </row>
    <row r="117" spans="2:8" ht="15" customHeight="1" x14ac:dyDescent="0.15">
      <c r="B117" s="215" t="s">
        <v>384</v>
      </c>
      <c r="C117" s="216"/>
      <c r="D117" s="216"/>
      <c r="E117" s="217"/>
      <c r="F117" s="79"/>
      <c r="G117" s="79"/>
      <c r="H117" s="79"/>
    </row>
    <row r="118" spans="2:8" ht="15" customHeight="1" x14ac:dyDescent="0.15">
      <c r="B118" s="218" t="s">
        <v>385</v>
      </c>
      <c r="C118" s="216"/>
      <c r="D118" s="216">
        <v>1</v>
      </c>
      <c r="E118" s="219">
        <f t="shared" ref="E118:E126" si="13">D118/MAX($D$118:$D$127)</f>
        <v>3.4013605442176874E-2</v>
      </c>
      <c r="F118" s="79"/>
      <c r="G118" s="79"/>
      <c r="H118" s="79"/>
    </row>
    <row r="119" spans="2:8" ht="15" customHeight="1" x14ac:dyDescent="0.15">
      <c r="B119" s="218" t="str">
        <f t="shared" ref="B119:B127" si="14">C119&amp;", "&amp;D119&amp;"y"</f>
        <v>Information Technology Like, 6.6y</v>
      </c>
      <c r="C119" s="216" t="s">
        <v>386</v>
      </c>
      <c r="D119" s="216">
        <v>6.6</v>
      </c>
      <c r="E119" s="219">
        <f t="shared" si="13"/>
        <v>0.22448979591836735</v>
      </c>
      <c r="F119" s="79"/>
      <c r="G119" s="79"/>
      <c r="H119" s="79"/>
    </row>
    <row r="120" spans="2:8" ht="15" customHeight="1" x14ac:dyDescent="0.15">
      <c r="B120" s="218" t="str">
        <f t="shared" si="14"/>
        <v>Healthcare, 11.4y</v>
      </c>
      <c r="C120" s="216" t="s">
        <v>387</v>
      </c>
      <c r="D120" s="216">
        <v>11.4</v>
      </c>
      <c r="E120" s="219">
        <f t="shared" si="13"/>
        <v>0.38775510204081637</v>
      </c>
      <c r="F120" s="79"/>
      <c r="G120" s="79"/>
      <c r="H120" s="79"/>
    </row>
    <row r="121" spans="2:8" ht="15" customHeight="1" x14ac:dyDescent="0.15">
      <c r="B121" s="218" t="str">
        <f t="shared" si="14"/>
        <v>Consumer Discretionary, 12.4y</v>
      </c>
      <c r="C121" s="216" t="s">
        <v>388</v>
      </c>
      <c r="D121" s="216">
        <v>12.4</v>
      </c>
      <c r="E121" s="219">
        <f t="shared" si="13"/>
        <v>0.42176870748299322</v>
      </c>
      <c r="F121" s="79"/>
      <c r="G121" s="79"/>
      <c r="H121" s="79"/>
    </row>
    <row r="122" spans="2:8" ht="15" customHeight="1" x14ac:dyDescent="0.15">
      <c r="B122" s="218" t="str">
        <f t="shared" si="14"/>
        <v>Consumer Staples, 15.1y</v>
      </c>
      <c r="C122" s="216" t="s">
        <v>389</v>
      </c>
      <c r="D122" s="216">
        <v>15.1</v>
      </c>
      <c r="E122" s="219">
        <f t="shared" si="13"/>
        <v>0.51360544217687076</v>
      </c>
      <c r="F122" s="79"/>
      <c r="G122" s="79"/>
      <c r="H122" s="79"/>
    </row>
    <row r="123" spans="2:8" ht="15" customHeight="1" x14ac:dyDescent="0.15">
      <c r="B123" s="218" t="str">
        <f t="shared" si="14"/>
        <v>Industrials, 15.4y</v>
      </c>
      <c r="C123" s="216" t="s">
        <v>390</v>
      </c>
      <c r="D123" s="216">
        <v>15.4</v>
      </c>
      <c r="E123" s="219">
        <f t="shared" si="13"/>
        <v>0.52380952380952384</v>
      </c>
      <c r="F123" s="79"/>
      <c r="G123" s="79"/>
      <c r="H123" s="79"/>
    </row>
    <row r="124" spans="2:8" ht="15" customHeight="1" x14ac:dyDescent="0.15">
      <c r="B124" s="218" t="str">
        <f t="shared" si="14"/>
        <v>Telecommunication Services, 16.1y</v>
      </c>
      <c r="C124" s="216" t="s">
        <v>391</v>
      </c>
      <c r="D124" s="216">
        <v>16.100000000000001</v>
      </c>
      <c r="E124" s="219">
        <f t="shared" si="13"/>
        <v>0.54761904761904767</v>
      </c>
      <c r="F124" s="79"/>
      <c r="G124" s="79"/>
      <c r="H124" s="79"/>
    </row>
    <row r="125" spans="2:8" ht="15" customHeight="1" x14ac:dyDescent="0.15">
      <c r="B125" s="218" t="str">
        <f t="shared" si="14"/>
        <v>Energy, 17.6y</v>
      </c>
      <c r="C125" s="216" t="s">
        <v>392</v>
      </c>
      <c r="D125" s="216">
        <v>17.600000000000001</v>
      </c>
      <c r="E125" s="219">
        <f t="shared" si="13"/>
        <v>0.59863945578231303</v>
      </c>
      <c r="F125" s="79"/>
      <c r="G125" s="79"/>
      <c r="H125" s="79"/>
    </row>
    <row r="126" spans="2:8" ht="15" customHeight="1" x14ac:dyDescent="0.15">
      <c r="B126" s="218" t="str">
        <f t="shared" si="14"/>
        <v>Materials, 18.6y</v>
      </c>
      <c r="C126" s="216" t="s">
        <v>393</v>
      </c>
      <c r="D126" s="216">
        <v>18.600000000000001</v>
      </c>
      <c r="E126" s="219">
        <f t="shared" si="13"/>
        <v>0.63265306122448983</v>
      </c>
      <c r="F126" s="79"/>
      <c r="G126" s="79"/>
      <c r="H126" s="79"/>
    </row>
    <row r="127" spans="2:8" ht="15" customHeight="1" x14ac:dyDescent="0.15">
      <c r="B127" s="220" t="str">
        <f t="shared" si="14"/>
        <v>Utilities, 29.4y</v>
      </c>
      <c r="C127" s="221" t="s">
        <v>394</v>
      </c>
      <c r="D127" s="221">
        <v>29.4</v>
      </c>
      <c r="E127" s="222">
        <f>D127/MAX($D$119:$D$127)</f>
        <v>1</v>
      </c>
      <c r="F127" s="79"/>
      <c r="G127" s="79"/>
      <c r="H127" s="79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2022-12-07T16:42:23Z</dcterms:modified>
  <cp:category/>
  <cp:contentStatus/>
</cp:coreProperties>
</file>