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8_{7AF8D055-5E8B-944B-A2DB-713CC2DE56BC}" xr6:coauthVersionLast="47" xr6:coauthVersionMax="47" xr10:uidLastSave="{00000000-0000-0000-0000-000000000000}"/>
  <bookViews>
    <workbookView xWindow="0" yWindow="0" windowWidth="19420" windowHeight="1042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I13" i="1"/>
  <c r="E5" i="1"/>
  <c r="G60" i="4"/>
  <c r="F60" i="4"/>
  <c r="D52" i="3"/>
  <c r="E4" i="2"/>
  <c r="D8" i="4"/>
  <c r="E8" i="4"/>
  <c r="E9" i="4"/>
  <c r="E11" i="4"/>
  <c r="E13" i="4"/>
  <c r="E10" i="3"/>
  <c r="G31" i="2"/>
  <c r="G32" i="2" s="1"/>
  <c r="H31" i="2"/>
  <c r="I31" i="2"/>
  <c r="I32" i="2" s="1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H32" i="2"/>
  <c r="K32" i="2"/>
  <c r="L32" i="2"/>
  <c r="M32" i="2"/>
  <c r="D13" i="4"/>
  <c r="G28" i="2"/>
  <c r="G11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C24" i="2"/>
  <c r="D48" i="3" s="1"/>
  <c r="C34" i="4" s="1"/>
  <c r="C39" i="3"/>
  <c r="F51" i="3"/>
  <c r="D51" i="3"/>
  <c r="C32" i="4" s="1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<sst xmlns="http://schemas.openxmlformats.org/spreadsheetml/2006/main" count="471" uniqueCount="399">
  <si>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</si>
  <si>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</si>
  <si>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</si>
  <si>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</si>
  <si>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</si>
  <si>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</si>
  <si>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</si>
  <si>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</si>
  <si>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</si>
  <si>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</si>
  <si>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</si>
  <si>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</si>
  <si>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</si>
  <si>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</si>
  <si>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</si>
  <si>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</si>
  <si>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</si>
  <si>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</si>
  <si>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</si>
  <si>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</si>
  <si>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</si>
  <si>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</si>
  <si>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</si>
  <si>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</si>
  <si>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</si>
  <si>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</si>
  <si>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</si>
  <si>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</si>
  <si>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</si>
  <si>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</si>
  <si>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</si>
  <si>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</si>
  <si>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</si>
  <si>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</si>
  <si>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</si>
  <si>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</si>
  <si>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</si>
  <si>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</si>
  <si>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</si>
  <si>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</si>
  <si>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</si>
  <si>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</si>
  <si>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</si>
  <si>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</si>
  <si>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</si>
  <si>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</si>
  <si>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</si>
  <si>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</si>
  <si>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</si>
  <si>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</si>
  <si>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</si>
  <si>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</si>
  <si>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</si>
  <si>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</si>
  <si>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</si>
  <si>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</si>
  <si>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</si>
  <si>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</si>
  <si>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</si>
  <si>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</si>
  <si>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</si>
  <si>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</si>
  <si>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</si>
  <si>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</si>
  <si>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</si>
  <si>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</si>
  <si>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</si>
  <si>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</si>
  <si>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</si>
  <si>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</si>
  <si>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</si>
  <si>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</si>
  <si>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</si>
  <si>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</si>
  <si>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</si>
  <si>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</si>
  <si>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</si>
  <si>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</si>
  <si>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</si>
  <si>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</si>
  <si>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</si>
  <si>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</si>
  <si>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</si>
  <si>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</si>
  <si>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</si>
  <si>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</si>
  <si>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</si>
  <si>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</si>
  <si>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</si>
  <si>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</si>
  <si>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</si>
  <si>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</si>
  <si>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</si>
  <si>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</si>
  <si>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</si>
  <si>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</si>
  <si>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</si>
  <si>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</si>
  <si>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</si>
  <si>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</si>
  <si>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</si>
  <si>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</si>
  <si>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</si>
  <si>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</si>
  <si>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</si>
  <si>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</si>
  <si>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</si>
  <si>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</si>
  <si>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</si>
  <si>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</si>
  <si>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</si>
  <si>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</si>
  <si>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</si>
  <si>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</si>
  <si>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</si>
  <si>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</si>
  <si>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</si>
  <si>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</si>
  <si>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</si>
  <si>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</si>
  <si>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</si>
  <si>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</si>
  <si>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</si>
  <si>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</si>
  <si>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</si>
  <si>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</si>
  <si>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</si>
  <si>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</si>
  <si>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</si>
  <si>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</si>
  <si>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</si>
  <si>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</si>
  <si>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</si>
  <si>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</si>
  <si>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</si>
  <si>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</si>
  <si>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</si>
  <si>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</si>
  <si>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</si>
  <si>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</si>
  <si>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</si>
  <si>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</si>
  <si>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</si>
  <si>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</si>
  <si>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</si>
  <si>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</si>
  <si>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</si>
  <si>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</si>
  <si>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</si>
  <si>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</si>
  <si>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</si>
  <si>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</si>
  <si>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</si>
  <si>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</si>
  <si>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</si>
  <si>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</si>
  <si>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</si>
  <si>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</si>
  <si>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</si>
  <si>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</si>
  <si>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</si>
  <si>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</si>
  <si>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</si>
  <si>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</si>
  <si>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</si>
  <si>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</si>
  <si>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</si>
  <si>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</si>
  <si>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</si>
  <si>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</si>
  <si>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</si>
  <si>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</si>
  <si>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</si>
  <si>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</si>
  <si>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</si>
  <si>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</si>
  <si>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</si>
  <si>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</si>
  <si>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</si>
  <si>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</si>
  <si>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</si>
  <si>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</si>
  <si>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</si>
  <si>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</si>
  <si>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</si>
  <si>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</si>
  <si>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</si>
  <si>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</si>
  <si>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</si>
  <si>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</si>
  <si>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</si>
  <si>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</si>
  <si>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</si>
  <si>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</si>
  <si>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</si>
  <si>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</si>
  <si>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</si>
  <si>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</si>
  <si>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</si>
  <si>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</si>
  <si>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</si>
  <si>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</si>
  <si>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</si>
  <si>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</si>
  <si>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</si>
  <si>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</si>
  <si>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</si>
  <si>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</si>
  <si>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</si>
  <si>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</si>
  <si>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</si>
  <si>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</si>
  <si>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</si>
  <si>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</si>
  <si>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</si>
  <si>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</si>
  <si>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</si>
  <si>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</si>
  <si>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</si>
  <si>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</si>
  <si>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</si>
  <si>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</si>
  <si>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</si>
  <si>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</si>
  <si>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</si>
  <si>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</si>
  <si>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</si>
  <si>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</si>
  <si>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</si>
  <si>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</si>
  <si>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</si>
  <si>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</si>
  <si>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</si>
  <si>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</si>
  <si>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</si>
  <si>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</si>
  <si>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</si>
  <si>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</si>
  <si>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</si>
  <si>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</si>
  <si>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</si>
  <si>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</si>
  <si>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</si>
  <si>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</si>
  <si>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</si>
  <si>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</si>
  <si>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</si>
  <si>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</si>
  <si>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</si>
  <si>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</si>
  <si>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</si>
  <si>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</si>
  <si>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</si>
  <si>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</si>
  <si>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</si>
  <si>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</si>
  <si>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</si>
  <si>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</si>
  <si>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</si>
  <si>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</si>
  <si>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</si>
  <si>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</si>
  <si>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</si>
  <si>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</si>
  <si>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</si>
  <si>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</si>
  <si>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</si>
  <si>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</si>
  <si>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</si>
  <si>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</si>
  <si>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</si>
  <si>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</si>
  <si>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</si>
  <si>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</si>
  <si>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</si>
  <si>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</si>
  <si>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</si>
  <si>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</si>
  <si>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</si>
  <si>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</si>
  <si>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</si>
  <si>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</si>
  <si>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</si>
  <si>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</si>
  <si>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</si>
  <si>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</si>
  <si>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</si>
  <si>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</si>
  <si>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</si>
  <si>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</si>
  <si>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</si>
  <si>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</si>
  <si>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</si>
  <si>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</si>
  <si>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</si>
  <si>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</si>
  <si>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</si>
  <si>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</si>
  <si>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</si>
  <si>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</si>
  <si>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</si>
  <si>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</si>
  <si>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</si>
  <si>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</si>
  <si>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</si>
  <si>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</si>
  <si>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</si>
  <si>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</si>
  <si>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</si>
  <si>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</si>
  <si>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</si>
  <si>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</si>
  <si>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</si>
  <si>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</si>
  <si>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</si>
  <si>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</si>
  <si>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</si>
  <si>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</si>
  <si>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</si>
  <si>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</si>
  <si>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</si>
  <si>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</si>
  <si>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</si>
  <si>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</si>
  <si>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</si>
  <si>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</si>
  <si>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</si>
  <si>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</si>
  <si>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</si>
  <si>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</si>
  <si>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</si>
  <si>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</si>
  <si>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</si>
  <si>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</si>
  <si>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</si>
  <si>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</si>
  <si>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</si>
  <si>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</si>
  <si>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</si>
  <si>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</si>
  <si>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</si>
  <si>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</si>
  <si>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</si>
  <si>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</si>
  <si>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</si>
  <si>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</si>
  <si>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</si>
  <si>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</si>
  <si>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</si>
  <si>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</si>
  <si>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</si>
  <si>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</si>
  <si>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</si>
  <si>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</si>
  <si>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</si>
  <si>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</si>
  <si>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</si>
  <si>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</si>
  <si>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</si>
  <si>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</si>
  <si>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</si>
  <si>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</si>
  <si>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</si>
  <si>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</si>
  <si>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</si>
  <si>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</si>
  <si>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</si>
  <si>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</si>
  <si>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</si>
  <si>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</si>
  <si>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</si>
  <si>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</si>
  <si>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</si>
  <si>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</si>
  <si>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</si>
  <si>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</si>
  <si>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</si>
  <si>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</si>
  <si>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</si>
  <si>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</si>
  <si>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</si>
  <si>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</si>
  <si>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</si>
  <si>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</si>
  <si>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</si>
  <si>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</si>
  <si>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</si>
  <si>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</si>
  <si>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</si>
  <si>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</si>
  <si>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</si>
  <si>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</si>
  <si>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</si>
  <si>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</si>
  <si>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</si>
  <si>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ZHEJIANG DINGLI MACHINERY CO LT</t>
  </si>
  <si>
    <t>603338.SS</t>
  </si>
  <si>
    <t>SHH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</si>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</sst>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8" t="str">
        <f>C3&amp;" : "&amp;C4</f>
        <v>603338.SS : ZHEJIANG DINGLI MACHINERY CO LT</v>
      </c>
      <c r="D2" s="331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2" t="s">
        <v>396</v>
      </c>
      <c r="D3" s="333"/>
      <c r="E3" s="16"/>
      <c r="G3" s="7" t="s">
        <v>2</v>
      </c>
      <c r="H3" s="337" t="s">
        <v>397</v>
      </c>
      <c r="I3" s="338"/>
    </row>
    <row r="4" spans="1:11" ht="15.75" customHeight="1" x14ac:dyDescent="0.15">
      <c r="B4" s="5" t="s">
        <v>3</v>
      </c>
      <c r="C4" s="334" t="s">
        <v>395</v>
      </c>
      <c r="D4" s="335"/>
      <c r="E4" s="6"/>
      <c r="G4" s="5" t="s">
        <v>4</v>
      </c>
      <c r="H4" s="47">
        <v>53.88</v>
      </c>
      <c r="I4" s="48" t="s">
        <v>398</v>
      </c>
    </row>
    <row r="5" spans="1:11" ht="15.75" customHeight="1" x14ac:dyDescent="0.15">
      <c r="B5" s="5" t="s">
        <v>5</v>
      </c>
      <c r="C5" s="336">
        <v>44902</v>
      </c>
      <c r="D5" s="335"/>
      <c r="E5" s="268" t="str">
        <f ca="1">IF(C5+30&gt;=TODAY(),"Patience Premium","")</f>
        <v>Patience Premium</v>
      </c>
      <c r="G5" s="5" t="s">
        <v>6</v>
      </c>
      <c r="H5" s="339">
        <v>506348000</v>
      </c>
      <c r="I5" s="340"/>
    </row>
    <row r="6" spans="1:11" ht="15.75" customHeight="1" x14ac:dyDescent="0.15">
      <c r="B6" s="13" t="s">
        <v>7</v>
      </c>
      <c r="C6" s="345">
        <v>45015</v>
      </c>
      <c r="D6" s="325"/>
      <c r="E6" s="268"/>
      <c r="G6" s="8" t="s">
        <v>8</v>
      </c>
      <c r="H6" s="346">
        <f>H4*H5/1000000</f>
        <v>27282.03024</v>
      </c>
      <c r="I6" s="347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9</v>
      </c>
      <c r="C8" s="205"/>
      <c r="D8" s="13"/>
      <c r="E8" s="6"/>
      <c r="F8" s="6"/>
      <c r="G8" s="24" t="s">
        <v>10</v>
      </c>
      <c r="H8" s="6"/>
      <c r="I8" s="6"/>
    </row>
    <row r="9" spans="1:11" ht="15.75" customHeight="1" x14ac:dyDescent="0.15">
      <c r="B9" s="20" t="s">
        <v>11</v>
      </c>
      <c r="C9" s="266"/>
      <c r="D9" s="49">
        <v>3.5400000000000001E-2</v>
      </c>
      <c r="E9" s="5"/>
      <c r="G9" s="5" t="s">
        <v>12</v>
      </c>
      <c r="H9" s="267">
        <f>IF(Data!F3&lt;=0,"NNI",H4/((Data!F3*H13)/(H5/Data!C4)))</f>
        <v>30.845904335064709</v>
      </c>
      <c r="I9" s="72">
        <f>IF(H9="NNI","NNI",1/H9)</f>
        <v>3.2419214853857591E-2</v>
      </c>
    </row>
    <row r="10" spans="1:11" ht="15.75" customHeight="1" x14ac:dyDescent="0.15">
      <c r="B10" s="20" t="s">
        <v>13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1.0140682909034435</v>
      </c>
      <c r="I10" s="349"/>
    </row>
    <row r="11" spans="1:11" ht="15.75" customHeight="1" x14ac:dyDescent="0.15">
      <c r="B11" s="18" t="s">
        <v>14</v>
      </c>
      <c r="C11" s="31"/>
      <c r="D11" s="15">
        <f>IF(D9+D10&lt;6%,6%,D9+D10)</f>
        <v>6.54E-2</v>
      </c>
      <c r="E11" s="14"/>
      <c r="G11" s="5" t="s">
        <v>15</v>
      </c>
      <c r="H11" s="42">
        <f>H4/(Data!C25*H13*Data!C4/Common_Shares)</f>
        <v>3.4560989323374565</v>
      </c>
      <c r="I11" s="43">
        <f>IF('Asset Model'!D53/'FCF Model'!C16&lt;0,"Negative EV",'Asset Model'!D53/'FCF Model'!C16)</f>
        <v>48.294480902652246</v>
      </c>
    </row>
    <row r="12" spans="1:11" ht="15.75" customHeight="1" x14ac:dyDescent="0.15">
      <c r="B12" s="20" t="s">
        <v>16</v>
      </c>
      <c r="C12" s="248"/>
      <c r="D12" s="15">
        <v>4.4999999999999998E-2</v>
      </c>
      <c r="E12" s="5"/>
      <c r="G12" s="7" t="s">
        <v>17</v>
      </c>
      <c r="H12" s="337" t="s">
        <v>398</v>
      </c>
      <c r="I12" s="338"/>
    </row>
    <row r="13" spans="1:11" ht="15.75" customHeight="1" x14ac:dyDescent="0.15">
      <c r="B13" s="21" t="s">
        <v>18</v>
      </c>
      <c r="C13" s="249"/>
      <c r="D13" s="23">
        <f>IF(D9+D12&lt;8%,8%,D9+D12)</f>
        <v>8.0399999999999999E-2</v>
      </c>
      <c r="E13" s="14"/>
      <c r="G13" s="8" t="s">
        <v>19</v>
      </c>
      <c r="H13" s="254">
        <v>1</v>
      </c>
      <c r="I13" s="41" t="str">
        <f>IF(H12=Dashboard!I4,I4,H12&amp;"/"&amp;Dashboard!I4)</f>
        <v>CNY</v>
      </c>
    </row>
    <row r="14" spans="1:11" ht="15.75" customHeight="1" x14ac:dyDescent="0.15"/>
    <row r="15" spans="1:11" ht="15.75" customHeight="1" x14ac:dyDescent="0.15">
      <c r="A15" s="11"/>
      <c r="B15" s="22" t="s">
        <v>20</v>
      </c>
      <c r="C15" s="318" t="s">
        <v>21</v>
      </c>
      <c r="D15" s="319"/>
      <c r="E15" s="318" t="s">
        <v>22</v>
      </c>
      <c r="F15" s="319"/>
      <c r="G15" s="13"/>
      <c r="H15" s="13"/>
      <c r="I15" s="8"/>
    </row>
    <row r="16" spans="1:11" ht="15.75" customHeight="1" x14ac:dyDescent="0.15">
      <c r="A16" s="6"/>
      <c r="B16" s="20" t="s">
        <v>23</v>
      </c>
      <c r="C16" s="320">
        <f>'FCF Model'!C63</f>
        <v>25.004357260199534</v>
      </c>
      <c r="D16" s="311"/>
      <c r="E16" s="320">
        <f>'Asset Model'!D6</f>
        <v>7.8139451335021635</v>
      </c>
      <c r="F16" s="311"/>
      <c r="G16" s="36" t="s">
        <v>24</v>
      </c>
      <c r="H16" s="341">
        <f>C22/E16-1</f>
        <v>-0.32172546524849077</v>
      </c>
      <c r="I16" s="342"/>
      <c r="J16" s="6"/>
      <c r="K16" s="6"/>
    </row>
    <row r="17" spans="1:12" ht="15.75" customHeight="1" x14ac:dyDescent="0.15">
      <c r="B17" s="21" t="s">
        <v>25</v>
      </c>
      <c r="C17" s="33">
        <f>'FCF Model'!E63</f>
        <v>14.31481091328685</v>
      </c>
      <c r="D17" s="33">
        <f>'FCF Model'!F63</f>
        <v>1.603888872137341</v>
      </c>
      <c r="E17" s="33">
        <f>'Asset Model'!H5</f>
        <v>4.4734262076364546</v>
      </c>
      <c r="F17" s="33">
        <f>'Asset Model'!H6</f>
        <v>0.50122062793690214</v>
      </c>
      <c r="G17" s="10" t="s">
        <v>26</v>
      </c>
      <c r="H17" s="343">
        <f ca="1">AVERAGE((1-'Qualitative Analysis'!E29),(1-'Qualitative Analysis'!E63),H16)+IF(C5+30&gt;=TODAY(),20%,0)</f>
        <v>0.14831373380605867</v>
      </c>
      <c r="I17" s="344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27</v>
      </c>
      <c r="C19" s="284">
        <v>0.14560000000000001</v>
      </c>
      <c r="D19" s="284"/>
      <c r="E19" s="6"/>
      <c r="F19" s="6"/>
      <c r="G19" s="24" t="s">
        <v>27</v>
      </c>
      <c r="H19" s="330">
        <v>3</v>
      </c>
      <c r="I19" s="330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28</v>
      </c>
      <c r="C21" s="253"/>
      <c r="D21" s="6"/>
      <c r="E21" s="6"/>
      <c r="F21" s="6"/>
      <c r="G21" s="24" t="s">
        <v>29</v>
      </c>
      <c r="H21" s="6"/>
      <c r="I21" s="6"/>
      <c r="J21" s="6"/>
      <c r="K21" s="6"/>
    </row>
    <row r="22" spans="1:12" ht="15.75" customHeight="1" x14ac:dyDescent="0.15">
      <c r="B22" s="26" t="s">
        <v>30</v>
      </c>
      <c r="C22" s="321">
        <v>5.3</v>
      </c>
      <c r="D22" s="322"/>
      <c r="E22" s="278" t="s">
        <v>31</v>
      </c>
      <c r="F22" s="270">
        <f>IF(Data!F3&lt;=0,"NNI",C22/((Data!F3*H13)/(H5/Data!C4)))</f>
        <v>3.0342110797298245</v>
      </c>
      <c r="G22" s="44" t="s">
        <v>32</v>
      </c>
      <c r="H22" s="303">
        <f>'FCF Model'!G63</f>
        <v>-0.28739529366053429</v>
      </c>
      <c r="I22" s="303"/>
      <c r="J22" s="6"/>
      <c r="L22" s="6"/>
    </row>
    <row r="23" spans="1:12" ht="15.75" customHeight="1" x14ac:dyDescent="0.15">
      <c r="B23" s="36" t="s">
        <v>33</v>
      </c>
      <c r="C23" s="300">
        <f>'FCF Model'!K60</f>
        <v>1.8268071630292586</v>
      </c>
      <c r="D23" s="301"/>
      <c r="E23" s="279" t="s">
        <v>34</v>
      </c>
      <c r="F23" s="33">
        <f>C22/(Data!C25*H13*Data!C4/Common_Shares)</f>
        <v>0.33996518822176164</v>
      </c>
      <c r="G23" s="44" t="s">
        <v>35</v>
      </c>
      <c r="H23" s="304">
        <f ca="1">D10+D12*(1+H17)</f>
        <v>8.167411802127264E-2</v>
      </c>
      <c r="I23" s="304"/>
      <c r="J23" s="6"/>
      <c r="L23" s="6"/>
    </row>
    <row r="24" spans="1:12" ht="15.75" customHeight="1" x14ac:dyDescent="0.15">
      <c r="B24" s="10" t="s">
        <v>36</v>
      </c>
      <c r="C24" s="298">
        <f ca="1">C23-H23</f>
        <v>1.7451330450079861</v>
      </c>
      <c r="D24" s="299"/>
      <c r="E24" s="6"/>
      <c r="F24" s="6"/>
      <c r="G24" s="269" t="s">
        <v>37</v>
      </c>
      <c r="H24" s="289">
        <f ca="1">H22-H23</f>
        <v>-0.36906941168180696</v>
      </c>
      <c r="I24" s="289"/>
      <c r="J24" s="6"/>
      <c r="L24" s="6"/>
    </row>
    <row r="25" spans="1:12" ht="15.75" customHeight="1" x14ac:dyDescent="0.15">
      <c r="B25" s="10" t="s">
        <v>38</v>
      </c>
      <c r="C25" s="285">
        <f>C19/C22</f>
        <v>2.747169811320755E-2</v>
      </c>
      <c r="D25" s="286"/>
      <c r="E25" s="6"/>
      <c r="F25" s="6"/>
      <c r="G25" s="269" t="s">
        <v>39</v>
      </c>
      <c r="H25" s="287">
        <f>C19/H4</f>
        <v>2.7023014105419449E-3</v>
      </c>
      <c r="I25" s="288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40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41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15">
      <c r="A29" s="6"/>
      <c r="B29" s="27" t="s">
        <v>42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15">
      <c r="A30" s="6"/>
      <c r="B30" s="28" t="s">
        <v>43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44</v>
      </c>
      <c r="C32" s="25" t="s">
        <v>45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46</v>
      </c>
      <c r="C33" s="327"/>
      <c r="D33" s="328"/>
      <c r="E33" s="327"/>
      <c r="F33" s="328"/>
      <c r="G33" s="256"/>
      <c r="H33" s="302" t="s">
        <v>47</v>
      </c>
      <c r="I33" s="302"/>
      <c r="J33" s="6"/>
    </row>
    <row r="34" spans="2:10" ht="15.75" customHeight="1" x14ac:dyDescent="0.15">
      <c r="B34" s="26" t="s">
        <v>48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15">
      <c r="B35" s="26" t="s">
        <v>49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15">
      <c r="B36" s="26" t="s">
        <v>50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15">
      <c r="B37" s="26" t="s">
        <v>51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15">
      <c r="B38" s="2" t="s">
        <v>52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15">
      <c r="B39" s="1" t="s">
        <v>53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54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55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56</v>
      </c>
      <c r="C3" s="46">
        <v>2021</v>
      </c>
      <c r="D3" s="6"/>
      <c r="E3" s="57">
        <v>1</v>
      </c>
      <c r="F3" s="58">
        <f t="array" ref="F3">AVERAGE(C18:INDEX(C18:M18,1,E3))</f>
        <v>442231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-2.1005079880071387E-2</v>
      </c>
      <c r="K3" s="6"/>
      <c r="L3" s="6"/>
      <c r="M3" s="6"/>
    </row>
    <row r="4" spans="1:14" ht="15.75" customHeight="1" x14ac:dyDescent="0.15">
      <c r="A4" s="9"/>
      <c r="B4" s="5" t="s">
        <v>57</v>
      </c>
      <c r="C4" s="51">
        <v>2000</v>
      </c>
      <c r="D4" s="6"/>
      <c r="E4" s="60">
        <f>E3</f>
        <v>1</v>
      </c>
      <c r="F4" s="61">
        <f>AVERAGE(C16:INDEX(C16:M16,1,E4))</f>
        <v>415551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0.30417975408326581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58</v>
      </c>
      <c r="C7" s="51">
        <v>2469657</v>
      </c>
      <c r="D7" s="51">
        <v>1478379</v>
      </c>
      <c r="E7" s="51">
        <v>1194677</v>
      </c>
      <c r="F7" s="51">
        <v>853769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59</v>
      </c>
      <c r="C8" s="15">
        <f t="shared" ref="C8:L8" si="0">IF(D7="","",C7/D7-1)</f>
        <v>0.67051682958158909</v>
      </c>
      <c r="D8" s="15">
        <f t="shared" si="0"/>
        <v>0.23747171829707936</v>
      </c>
      <c r="E8" s="15">
        <f t="shared" si="0"/>
        <v>0.39929770230589301</v>
      </c>
      <c r="F8" s="15">
        <f t="shared" si="0"/>
        <v>-0.68244021826053647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60</v>
      </c>
      <c r="C9" s="51">
        <v>1745150</v>
      </c>
      <c r="D9" s="51">
        <v>962285</v>
      </c>
      <c r="E9" s="51">
        <v>718559</v>
      </c>
      <c r="F9" s="51">
        <v>499276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61</v>
      </c>
      <c r="C10" s="15">
        <f t="shared" ref="C10:M10" si="1">IF(C7="","",(C7-C9)/C7)</f>
        <v>0.29336341038451896</v>
      </c>
      <c r="D10" s="15">
        <f t="shared" si="1"/>
        <v>0.34909451500596261</v>
      </c>
      <c r="E10" s="15">
        <f t="shared" si="1"/>
        <v>0.39853282519040711</v>
      </c>
      <c r="F10" s="15">
        <f t="shared" si="1"/>
        <v>0.41520950046206878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62</v>
      </c>
      <c r="C11" s="51">
        <v>170439</v>
      </c>
      <c r="D11" s="51">
        <v>126222</v>
      </c>
      <c r="E11" s="51">
        <v>110009</v>
      </c>
      <c r="F11" s="51">
        <v>104717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63</v>
      </c>
      <c r="C12" s="15">
        <f t="shared" ref="C12:M12" si="2">IF(C7="","",C10-C13)</f>
        <v>6.9013227342906297E-2</v>
      </c>
      <c r="D12" s="15">
        <f t="shared" si="2"/>
        <v>8.5378647829819021E-2</v>
      </c>
      <c r="E12" s="15">
        <f t="shared" si="2"/>
        <v>9.2082629865645693E-2</v>
      </c>
      <c r="F12" s="15">
        <f t="shared" si="2"/>
        <v>0.12265261446597381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64</v>
      </c>
      <c r="C13" s="15">
        <f t="shared" ref="C13:M13" si="3">IF(C14="","",C14/C7)</f>
        <v>0.22435018304161267</v>
      </c>
      <c r="D13" s="15">
        <f t="shared" si="3"/>
        <v>0.26371586717614359</v>
      </c>
      <c r="E13" s="15">
        <f t="shared" si="3"/>
        <v>0.30645019532476142</v>
      </c>
      <c r="F13" s="15">
        <f t="shared" si="3"/>
        <v>0.29255688599609497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65</v>
      </c>
      <c r="C14" s="34">
        <f t="shared" ref="C14:M14" si="4">IF(C7="","",C7-C9-C11)</f>
        <v>554068</v>
      </c>
      <c r="D14" s="34">
        <f t="shared" si="4"/>
        <v>389872</v>
      </c>
      <c r="E14" s="34">
        <f t="shared" si="4"/>
        <v>366109</v>
      </c>
      <c r="F14" s="34">
        <f t="shared" si="4"/>
        <v>249776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66</v>
      </c>
      <c r="C15" s="15">
        <f>IF(D14="","",IF(ABS(C14+D14)=ABS(C14)+ABS(D14),IF(C14&lt;0,-1,1)*(C14-D14)/D14,"Turn"))</f>
        <v>0.42115360938974844</v>
      </c>
      <c r="D15" s="15">
        <f t="shared" ref="D15:M15" si="5">IF(E14="","",IF(ABS(D14+E14)=ABS(D14)+ABS(E14),IF(D14&lt;0,-1,1)*(D14-E14)/E14,"Turn"))</f>
        <v>6.4906899311407265E-2</v>
      </c>
      <c r="E15" s="15">
        <f t="shared" si="5"/>
        <v>0.46574931138299919</v>
      </c>
      <c r="F15" s="15">
        <f t="shared" si="5"/>
        <v>9.7149684396399885E-2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67</v>
      </c>
      <c r="C16" s="34">
        <f>IF(C14="","",C14*(1-'FCF Model'!$D$17))</f>
        <v>415551</v>
      </c>
      <c r="D16" s="34">
        <f>IF(D14="","",D14*(1-'FCF Model'!$D$17))</f>
        <v>292404</v>
      </c>
      <c r="E16" s="34">
        <f>IF(E14="","",E14*(1-'FCF Model'!$D$17))</f>
        <v>274581.75</v>
      </c>
      <c r="F16" s="34">
        <f>IF(F14="","",F14*(1-'FCF Model'!$D$17))</f>
        <v>187332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68</v>
      </c>
      <c r="C17" s="51">
        <v>2640</v>
      </c>
      <c r="D17" s="51">
        <v>546</v>
      </c>
      <c r="E17" s="51">
        <v>1379</v>
      </c>
      <c r="F17" s="51">
        <v>653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69</v>
      </c>
      <c r="C18" s="51">
        <v>442231</v>
      </c>
      <c r="D18" s="51">
        <v>332070</v>
      </c>
      <c r="E18" s="51">
        <v>347040</v>
      </c>
      <c r="F18" s="51">
        <v>240234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70</v>
      </c>
      <c r="C19" s="15">
        <f t="shared" ref="C19:M19" si="6">IF(C7="","",C18/C7)</f>
        <v>0.17906575690470378</v>
      </c>
      <c r="D19" s="15">
        <f t="shared" si="6"/>
        <v>0.22461763864340606</v>
      </c>
      <c r="E19" s="15">
        <f t="shared" si="6"/>
        <v>0.29048855883221991</v>
      </c>
      <c r="F19" s="15">
        <f t="shared" si="6"/>
        <v>0.28138056078400597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71</v>
      </c>
      <c r="C20" s="68">
        <f>'Asset Model'!C21</f>
        <v>2925507</v>
      </c>
      <c r="D20" s="51">
        <v>2073293</v>
      </c>
      <c r="E20" s="51">
        <v>1694412</v>
      </c>
      <c r="F20" s="51">
        <v>1303259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72</v>
      </c>
      <c r="C21" s="68">
        <f>'Asset Model'!H21</f>
        <v>972761</v>
      </c>
      <c r="D21" s="51">
        <v>945710</v>
      </c>
      <c r="E21" s="51">
        <v>724778</v>
      </c>
      <c r="F21" s="51">
        <v>440840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73</v>
      </c>
      <c r="C22" s="68">
        <f>'Asset Model'!H10+'Asset Model'!H12</f>
        <v>890177</v>
      </c>
      <c r="D22" s="51">
        <v>151323</v>
      </c>
      <c r="E22" s="51">
        <v>184285</v>
      </c>
      <c r="F22" s="51">
        <v>75077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74</v>
      </c>
      <c r="C23" s="68">
        <f>'Asset Model'!H23+'Asset Model'!H24</f>
        <v>2335</v>
      </c>
      <c r="D23" s="51">
        <v>60496</v>
      </c>
      <c r="E23" s="51">
        <v>54563</v>
      </c>
      <c r="F23" s="51">
        <v>37535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75</v>
      </c>
      <c r="C24" s="34">
        <f t="shared" ref="C24:M24" si="7">IF(C7="","",C22+C23)</f>
        <v>892512</v>
      </c>
      <c r="D24" s="34">
        <f t="shared" si="7"/>
        <v>211819</v>
      </c>
      <c r="E24" s="34">
        <f t="shared" si="7"/>
        <v>238848</v>
      </c>
      <c r="F24" s="34">
        <f t="shared" si="7"/>
        <v>112612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76</v>
      </c>
      <c r="C25" s="68">
        <f>'Asset Model'!D3</f>
        <v>3946940</v>
      </c>
      <c r="D25" s="51">
        <v>1872078</v>
      </c>
      <c r="E25" s="51">
        <v>1603746</v>
      </c>
      <c r="F25" s="51">
        <v>1300691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77</v>
      </c>
      <c r="C26" s="68">
        <f>'Asset Model'!C43</f>
        <v>138648</v>
      </c>
      <c r="D26" s="51">
        <v>0</v>
      </c>
      <c r="E26" s="51">
        <v>0</v>
      </c>
      <c r="F26" s="51">
        <v>0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78</v>
      </c>
      <c r="C27" s="68">
        <f>'Asset Model'!D52</f>
        <v>1659687</v>
      </c>
      <c r="D27" s="51">
        <v>595417</v>
      </c>
      <c r="E27" s="51">
        <v>437036</v>
      </c>
      <c r="F27" s="51">
        <v>522749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79</v>
      </c>
      <c r="C28" s="68">
        <f>'Asset Model'!C23+'Asset Model'!C24+'Asset Model'!C27</f>
        <v>1835208</v>
      </c>
      <c r="D28" s="51">
        <v>406497</v>
      </c>
      <c r="E28" s="51">
        <v>314367</v>
      </c>
      <c r="F28" s="51">
        <v>195661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80</v>
      </c>
      <c r="C29" s="15">
        <f t="shared" ref="C29:M29" si="8">IF(D7="","",(C28-D28)/C28)</f>
        <v>0.77850085657865487</v>
      </c>
      <c r="D29" s="15">
        <f t="shared" si="8"/>
        <v>0.226643739068185</v>
      </c>
      <c r="E29" s="15">
        <f t="shared" si="8"/>
        <v>0.3776032471601663</v>
      </c>
      <c r="F29" s="15">
        <f t="shared" si="8"/>
        <v>-5.6205631168193966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81</v>
      </c>
      <c r="C30" s="34">
        <f>IF(D7="","",(C7-D7)*$D$49)</f>
        <v>65126.964599999992</v>
      </c>
      <c r="D30" s="34">
        <f t="shared" ref="D30:M30" si="9">IF(E7="","",(D7-E7)*$D$49)</f>
        <v>18639.221399999999</v>
      </c>
      <c r="E30" s="34">
        <f t="shared" si="9"/>
        <v>22397.655599999998</v>
      </c>
      <c r="F30" s="34">
        <f t="shared" si="9"/>
        <v>-120543.7977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82</v>
      </c>
      <c r="C31" s="34">
        <f t="shared" ref="C31:M31" si="10">IF(D7="","",C28-D28+C30)</f>
        <v>1493837.9646000001</v>
      </c>
      <c r="D31" s="34">
        <f t="shared" si="10"/>
        <v>110769.22139999999</v>
      </c>
      <c r="E31" s="34">
        <f t="shared" si="10"/>
        <v>141103.6556</v>
      </c>
      <c r="F31" s="34">
        <f t="shared" si="10"/>
        <v>-1220268.7977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83</v>
      </c>
      <c r="C32" s="15">
        <f t="shared" ref="C32:M32" si="11">IF(C31="","",C31/C16)</f>
        <v>3.5948366496531112</v>
      </c>
      <c r="D32" s="15">
        <f t="shared" si="11"/>
        <v>0.37882252431567282</v>
      </c>
      <c r="E32" s="15">
        <f t="shared" si="11"/>
        <v>0.51388577572981453</v>
      </c>
      <c r="F32" s="15">
        <f t="shared" si="11"/>
        <v>-6.513936741720582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84</v>
      </c>
      <c r="C33" s="70">
        <f t="shared" ref="C33:M33" si="12">IF(C25="","",C25-C27+C24)</f>
        <v>3179765</v>
      </c>
      <c r="D33" s="70">
        <f t="shared" si="12"/>
        <v>1488480</v>
      </c>
      <c r="E33" s="70">
        <f t="shared" si="12"/>
        <v>1405558</v>
      </c>
      <c r="F33" s="70">
        <f t="shared" si="12"/>
        <v>890554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86</v>
      </c>
      <c r="C35" s="72">
        <f>IF(C16="","",(C16*$C$4)/(Dashboard!$H$6*1000000))</f>
        <v>3.0463348683686525E-2</v>
      </c>
      <c r="D35" s="72">
        <f>IF(D16="","",(D16*$C$4)/(Dashboard!$H$6*1000000))</f>
        <v>2.1435648111795363E-2</v>
      </c>
      <c r="E35" s="72">
        <f>IF(E16="","",(E16*$C$4)/(Dashboard!$H$6*1000000))</f>
        <v>2.0129128777037819E-2</v>
      </c>
      <c r="F35" s="72">
        <f>IF(F16="","",(F16*$C$4)/(Dashboard!$H$6*1000000))</f>
        <v>1.3732995554366046E-2</v>
      </c>
      <c r="G35" s="72">
        <f>IF(G16="","",(G16*$C$4)/(Dashboard!$H$6*1000000))</f>
        <v>1.2516975349558883E-2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87</v>
      </c>
      <c r="C36" s="73">
        <f>IF(C18="","",(C18*$C$4)/(Dashboard!$H$6*1000000))</f>
        <v>3.2419214853857591E-2</v>
      </c>
      <c r="D36" s="73">
        <f>IF(D18="","",(D18*$C$4)/(Dashboard!$H$6*1000000))</f>
        <v>2.4343496219216859E-2</v>
      </c>
      <c r="E36" s="73">
        <f>IF(E18="","",(E18*$C$4)/(Dashboard!$H$6*1000000))</f>
        <v>2.5440921877667416E-2</v>
      </c>
      <c r="F36" s="73">
        <f>IF(F18="","",(F18*$C$4)/(Dashboard!$H$6*1000000))</f>
        <v>1.7611152680842422E-2</v>
      </c>
      <c r="G36" s="73">
        <f>IF(G18="","",(G18*$C$4)/(Dashboard!$H$6*1000000))</f>
        <v>1.4321734730252245E-2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89</v>
      </c>
      <c r="C38" s="72">
        <f t="shared" ref="C38:M38" si="13">IF(C7="","",C16/C7)</f>
        <v>0.16826263728120949</v>
      </c>
      <c r="D38" s="72">
        <f t="shared" si="13"/>
        <v>0.19778690038210769</v>
      </c>
      <c r="E38" s="72">
        <f t="shared" si="13"/>
        <v>0.22983764649357108</v>
      </c>
      <c r="F38" s="72">
        <f t="shared" si="13"/>
        <v>0.21941766449707123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90</v>
      </c>
      <c r="C39" s="74">
        <f t="shared" ref="C39:L39" si="14">IF(D33="","",C7/D33)</f>
        <v>1.6591805062882941</v>
      </c>
      <c r="D39" s="74">
        <f t="shared" si="14"/>
        <v>1.0518093170114644</v>
      </c>
      <c r="E39" s="74">
        <f t="shared" si="14"/>
        <v>1.3414986626302279</v>
      </c>
      <c r="F39" s="74">
        <f t="shared" si="14"/>
        <v>0.45960492351752114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91</v>
      </c>
      <c r="C40" s="73">
        <f t="shared" ref="C40:L40" si="15">IF(D33="","",C16/D33)</f>
        <v>0.27917808771364078</v>
      </c>
      <c r="D40" s="73">
        <f t="shared" si="15"/>
        <v>0.20803410460471927</v>
      </c>
      <c r="E40" s="73">
        <f t="shared" si="15"/>
        <v>0.30832689539320468</v>
      </c>
      <c r="F40" s="73">
        <f t="shared" si="15"/>
        <v>0.10084543890956953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93</v>
      </c>
      <c r="C42" s="72">
        <f t="shared" ref="C42:M42" si="16">IF(C33="","",C23/C25)</f>
        <v>5.9159754138649186E-4</v>
      </c>
      <c r="D42" s="72">
        <f t="shared" si="16"/>
        <v>3.2314892862370048E-2</v>
      </c>
      <c r="E42" s="72">
        <f t="shared" si="16"/>
        <v>3.4022220476309838E-2</v>
      </c>
      <c r="F42" s="72">
        <f t="shared" si="16"/>
        <v>2.8857737925456546E-2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94</v>
      </c>
      <c r="C43" s="15">
        <f t="shared" ref="C43:M43" si="17">IF(C33="","",C24/C25)</f>
        <v>0.22612758238027433</v>
      </c>
      <c r="D43" s="15">
        <f t="shared" si="17"/>
        <v>0.11314646077780947</v>
      </c>
      <c r="E43" s="15">
        <f t="shared" si="17"/>
        <v>0.14893131455978689</v>
      </c>
      <c r="F43" s="15">
        <f t="shared" si="17"/>
        <v>8.6578595531144595E-2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95</v>
      </c>
      <c r="C44" s="77">
        <f t="shared" ref="C44:M44" si="18">IF(C33="","",IF(C24&lt;=0,"-",C14/C24))</f>
        <v>0.62079613495392783</v>
      </c>
      <c r="D44" s="77">
        <f t="shared" si="18"/>
        <v>1.8405903153163785</v>
      </c>
      <c r="E44" s="77">
        <f t="shared" si="18"/>
        <v>1.532811662647374</v>
      </c>
      <c r="F44" s="77">
        <f t="shared" si="18"/>
        <v>2.2180229460448264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96</v>
      </c>
      <c r="C45" s="77">
        <f t="shared" ref="C45:M45" si="19">IF(C31="","",IF(C17&lt;=0,"-",C17/C16))</f>
        <v>6.3530108217763883E-3</v>
      </c>
      <c r="D45" s="77">
        <f t="shared" si="19"/>
        <v>1.8672795173800632E-3</v>
      </c>
      <c r="E45" s="77">
        <f t="shared" si="19"/>
        <v>5.0221837394510017E-3</v>
      </c>
      <c r="F45" s="77">
        <f t="shared" si="19"/>
        <v>3.4857899344479322E-3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97</v>
      </c>
      <c r="C46" s="78">
        <f t="shared" ref="C46:M46" si="20">IF(C33="","",C20/C21)</f>
        <v>3.0074262845652733</v>
      </c>
      <c r="D46" s="78">
        <f t="shared" si="20"/>
        <v>2.1923137113914413</v>
      </c>
      <c r="E46" s="78">
        <f t="shared" si="20"/>
        <v>2.3378358614637862</v>
      </c>
      <c r="F46" s="78">
        <f t="shared" si="20"/>
        <v>2.9563084112149531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98</v>
      </c>
      <c r="C48" s="79"/>
      <c r="D48" s="79"/>
      <c r="E48" s="79"/>
      <c r="F48" s="79"/>
    </row>
    <row r="49" spans="1:6" ht="15.75" customHeight="1" x14ac:dyDescent="0.15">
      <c r="A49" s="9"/>
      <c r="B49" s="6" t="s">
        <v>99</v>
      </c>
      <c r="C49" s="6"/>
      <c r="D49" s="355">
        <v>6.5699999999999995E-2</v>
      </c>
      <c r="E49" s="356"/>
      <c r="F49" s="6"/>
    </row>
    <row r="50" spans="1:6" ht="15" customHeight="1" x14ac:dyDescent="0.15">
      <c r="A50" s="9"/>
      <c r="B50" s="80" t="s">
        <v>100</v>
      </c>
      <c r="C50" s="6"/>
      <c r="D50" s="350" t="s">
        <v>101</v>
      </c>
      <c r="E50" s="297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102</v>
      </c>
      <c r="C52" s="82"/>
      <c r="D52" s="351">
        <v>5</v>
      </c>
      <c r="E52" s="352"/>
      <c r="F52" s="83"/>
    </row>
    <row r="53" spans="1:6" ht="15.75" customHeight="1" x14ac:dyDescent="0.15">
      <c r="A53" s="9"/>
      <c r="B53" s="84" t="s">
        <v>103</v>
      </c>
      <c r="C53" s="85" t="s">
        <v>104</v>
      </c>
      <c r="D53" s="353" t="s">
        <v>105</v>
      </c>
      <c r="E53" s="354"/>
      <c r="F53" s="86" t="s">
        <v>106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107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108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109</v>
      </c>
      <c r="D68" s="96" t="s">
        <v>110</v>
      </c>
      <c r="E68" s="97" t="s">
        <v>111</v>
      </c>
      <c r="F68" s="98" t="s">
        <v>112</v>
      </c>
    </row>
    <row r="69" spans="1:6" ht="15.75" customHeight="1" x14ac:dyDescent="0.15">
      <c r="A69" s="9"/>
      <c r="B69" s="93" t="s">
        <v>113</v>
      </c>
      <c r="C69" s="99">
        <f>C14</f>
        <v>554068</v>
      </c>
      <c r="D69" s="99">
        <f>C69+C54-F66</f>
        <v>554068</v>
      </c>
      <c r="E69" s="80" t="s">
        <v>114</v>
      </c>
      <c r="F69" s="94" t="s">
        <v>115</v>
      </c>
    </row>
    <row r="70" spans="1:6" ht="15.75" customHeight="1" x14ac:dyDescent="0.15">
      <c r="A70" s="9"/>
      <c r="B70" s="93" t="s">
        <v>116</v>
      </c>
      <c r="C70" s="100">
        <f t="shared" ref="C70:D70" si="25">C69/$C$7</f>
        <v>0.22435018304161267</v>
      </c>
      <c r="D70" s="100">
        <f t="shared" si="25"/>
        <v>0.22435018304161267</v>
      </c>
      <c r="E70" s="80" t="s">
        <v>117</v>
      </c>
      <c r="F70" s="94" t="s">
        <v>118</v>
      </c>
    </row>
    <row r="71" spans="1:6" ht="15.75" customHeight="1" x14ac:dyDescent="0.15">
      <c r="A71" s="9"/>
      <c r="B71" s="93" t="s">
        <v>119</v>
      </c>
      <c r="C71" s="99">
        <f>C31</f>
        <v>1493837.9646000001</v>
      </c>
      <c r="D71" s="99">
        <f>C71+E65-F66</f>
        <v>1493837.9646000001</v>
      </c>
      <c r="E71" s="80" t="s">
        <v>120</v>
      </c>
      <c r="F71" s="94" t="s">
        <v>121</v>
      </c>
    </row>
    <row r="72" spans="1:6" ht="15.75" customHeight="1" x14ac:dyDescent="0.15">
      <c r="A72" s="9"/>
      <c r="B72" s="93" t="s">
        <v>122</v>
      </c>
      <c r="C72" s="99">
        <f>C16</f>
        <v>415551</v>
      </c>
      <c r="D72" s="99">
        <f>C72+C55</f>
        <v>415551</v>
      </c>
      <c r="E72" s="80" t="s">
        <v>123</v>
      </c>
      <c r="F72" s="94" t="s">
        <v>124</v>
      </c>
    </row>
    <row r="73" spans="1:6" ht="15.75" customHeight="1" x14ac:dyDescent="0.15">
      <c r="A73" s="9"/>
      <c r="B73" s="93" t="s">
        <v>125</v>
      </c>
      <c r="C73" s="99">
        <f>F3</f>
        <v>442231</v>
      </c>
      <c r="D73" s="99">
        <f>C73+C54-F66</f>
        <v>442231</v>
      </c>
      <c r="E73" s="80" t="s">
        <v>126</v>
      </c>
      <c r="F73" s="94" t="s">
        <v>124</v>
      </c>
    </row>
    <row r="74" spans="1:6" ht="15.75" customHeight="1" x14ac:dyDescent="0.15">
      <c r="A74" s="9"/>
      <c r="B74" s="101" t="s">
        <v>127</v>
      </c>
      <c r="C74" s="102">
        <f>C33</f>
        <v>3179765</v>
      </c>
      <c r="D74" s="102">
        <f>C74+E65</f>
        <v>3179765</v>
      </c>
      <c r="E74" s="8" t="s">
        <v>128</v>
      </c>
      <c r="F74" s="103" t="s">
        <v>124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8" t="s">
        <v>129</v>
      </c>
      <c r="C2" s="358"/>
      <c r="D2" s="358"/>
      <c r="E2" s="13"/>
      <c r="F2" s="13"/>
      <c r="G2" s="13"/>
      <c r="H2" s="13"/>
    </row>
    <row r="3" spans="1:9" ht="15" customHeight="1" x14ac:dyDescent="0.15">
      <c r="B3" s="5" t="s">
        <v>130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131</v>
      </c>
      <c r="H4" s="6"/>
    </row>
    <row r="5" spans="1:9" ht="15" customHeight="1" x14ac:dyDescent="0.15">
      <c r="B5" s="107" t="s">
        <v>132</v>
      </c>
      <c r="C5" s="6"/>
      <c r="D5" s="108">
        <f>E39-H39-E43</f>
        <v>1978287.7452292766</v>
      </c>
      <c r="E5" s="15">
        <f>1-D5/D3</f>
        <v>0.49877937206309786</v>
      </c>
      <c r="F5" s="6"/>
      <c r="G5" s="109" t="s">
        <v>133</v>
      </c>
      <c r="H5" s="30">
        <f>IF(Data!F3&lt;=0,"NNI",D6/((Data!F3*Dashboard!H13)/(Dashboard!H5/Data!C4)))</f>
        <v>4.4734262076364546</v>
      </c>
      <c r="I5" s="6"/>
    </row>
    <row r="6" spans="1:9" ht="15" customHeight="1" x14ac:dyDescent="0.15">
      <c r="B6" s="80" t="s">
        <v>134</v>
      </c>
      <c r="D6" s="110">
        <f>(D5*Dashboard!H13*Data!C4)/Dashboard!H5</f>
        <v>7.8139451335021635</v>
      </c>
      <c r="E6" s="111"/>
      <c r="G6" s="109" t="s">
        <v>135</v>
      </c>
      <c r="H6" s="30">
        <f>D6/(Data!C25*Dashboard!H13*Data!C4/Common_Shares)</f>
        <v>0.50122062793690214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8" t="s">
        <v>136</v>
      </c>
      <c r="C8" s="358"/>
      <c r="D8" s="358"/>
      <c r="E8" s="8"/>
      <c r="F8" s="13"/>
      <c r="G8" s="13"/>
      <c r="H8" s="13"/>
    </row>
    <row r="9" spans="1:9" ht="15" customHeight="1" x14ac:dyDescent="0.15">
      <c r="B9" s="5" t="s">
        <v>137</v>
      </c>
      <c r="C9" s="26" t="s">
        <v>138</v>
      </c>
      <c r="D9" s="26" t="s">
        <v>139</v>
      </c>
      <c r="E9" s="26" t="s">
        <v>140</v>
      </c>
      <c r="F9" s="6"/>
      <c r="G9" s="112" t="s">
        <v>141</v>
      </c>
      <c r="H9" s="26" t="s">
        <v>138</v>
      </c>
    </row>
    <row r="10" spans="1:9" ht="15" customHeight="1" x14ac:dyDescent="0.15">
      <c r="B10" s="5" t="s">
        <v>142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143</v>
      </c>
      <c r="H10" s="113">
        <v>0</v>
      </c>
      <c r="I10" s="6"/>
    </row>
    <row r="11" spans="1:9" ht="14" x14ac:dyDescent="0.15">
      <c r="B11" s="5" t="s">
        <v>144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145</v>
      </c>
      <c r="H11" s="113">
        <v>7353</v>
      </c>
      <c r="I11" s="6"/>
    </row>
    <row r="12" spans="1:9" ht="14" x14ac:dyDescent="0.15">
      <c r="B12" s="5" t="s">
        <v>146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147</v>
      </c>
      <c r="H12" s="113">
        <v>890177</v>
      </c>
      <c r="I12" s="6"/>
    </row>
    <row r="13" spans="1:9" ht="14" x14ac:dyDescent="0.15">
      <c r="B13" s="5" t="s">
        <v>148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149</v>
      </c>
      <c r="H13" s="113">
        <v>0</v>
      </c>
      <c r="I13" s="6"/>
    </row>
    <row r="14" spans="1:9" ht="14" x14ac:dyDescent="0.15">
      <c r="B14" s="5" t="s">
        <v>150</v>
      </c>
      <c r="C14" s="113">
        <v>0</v>
      </c>
      <c r="D14" s="114">
        <v>0.8</v>
      </c>
      <c r="E14" s="34">
        <f t="shared" si="0"/>
        <v>0</v>
      </c>
      <c r="F14" s="6"/>
      <c r="G14" s="5" t="s">
        <v>151</v>
      </c>
      <c r="H14" s="113">
        <v>28197</v>
      </c>
      <c r="I14" s="6"/>
    </row>
    <row r="15" spans="1:9" ht="14" x14ac:dyDescent="0.15">
      <c r="B15" s="5" t="s">
        <v>152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153</v>
      </c>
      <c r="H15" s="113">
        <v>47034</v>
      </c>
      <c r="I15" s="6"/>
    </row>
    <row r="16" spans="1:9" ht="14" x14ac:dyDescent="0.15">
      <c r="B16" s="5" t="s">
        <v>154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155</v>
      </c>
      <c r="H16" s="113">
        <v>0</v>
      </c>
      <c r="I16" s="6"/>
    </row>
    <row r="17" spans="2:9" ht="14" x14ac:dyDescent="0.15">
      <c r="B17" s="5" t="s">
        <v>156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157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158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159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160</v>
      </c>
      <c r="H20" s="119">
        <f t="shared" si="2"/>
        <v>2.321566859691127</v>
      </c>
      <c r="I20" s="14"/>
    </row>
    <row r="21" spans="2:9" ht="15" customHeight="1" x14ac:dyDescent="0.15">
      <c r="B21" s="5" t="s">
        <v>161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72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162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163</v>
      </c>
      <c r="H23" s="113">
        <v>0</v>
      </c>
      <c r="I23" s="6"/>
    </row>
    <row r="24" spans="2:9" ht="15" customHeight="1" x14ac:dyDescent="0.15">
      <c r="B24" s="5" t="s">
        <v>164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165</v>
      </c>
      <c r="H24" s="113">
        <v>2335</v>
      </c>
      <c r="I24" s="6"/>
    </row>
    <row r="25" spans="2:9" ht="15" customHeight="1" x14ac:dyDescent="0.15">
      <c r="B25" s="5" t="s">
        <v>166</v>
      </c>
      <c r="C25" s="113">
        <v>0</v>
      </c>
      <c r="D25" s="114">
        <v>0.85</v>
      </c>
      <c r="E25" s="34">
        <f t="shared" si="3"/>
        <v>0</v>
      </c>
      <c r="F25" s="6"/>
      <c r="G25" s="5" t="s">
        <v>167</v>
      </c>
      <c r="H25" s="113">
        <v>0</v>
      </c>
      <c r="I25" s="6"/>
    </row>
    <row r="26" spans="2:9" ht="15" customHeight="1" x14ac:dyDescent="0.15">
      <c r="B26" s="5" t="s">
        <v>168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169</v>
      </c>
      <c r="H26" s="113">
        <v>0</v>
      </c>
      <c r="I26" s="6"/>
    </row>
    <row r="27" spans="2:9" ht="14" x14ac:dyDescent="0.15">
      <c r="B27" s="5" t="s">
        <v>170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171</v>
      </c>
      <c r="H27" s="113">
        <v>61106</v>
      </c>
      <c r="I27" s="6"/>
    </row>
    <row r="28" spans="2:9" ht="14" x14ac:dyDescent="0.15">
      <c r="B28" s="5" t="s">
        <v>172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173</v>
      </c>
      <c r="H28" s="113">
        <v>18749</v>
      </c>
      <c r="I28" s="6"/>
    </row>
    <row r="29" spans="2:9" ht="14" x14ac:dyDescent="0.15">
      <c r="B29" s="5" t="s">
        <v>174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175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176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177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178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179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180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181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182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183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184</v>
      </c>
      <c r="H38" s="119">
        <f>E38/$H$39</f>
        <v>1.655323043439932</v>
      </c>
      <c r="I38" s="6"/>
    </row>
    <row r="39" spans="2:9" ht="15" customHeight="1" x14ac:dyDescent="0.15">
      <c r="B39" s="5" t="s">
        <v>185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186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187</v>
      </c>
      <c r="C41" s="24"/>
      <c r="D41" s="79"/>
    </row>
    <row r="42" spans="2:9" ht="14" x14ac:dyDescent="0.15">
      <c r="B42" s="121" t="s">
        <v>188</v>
      </c>
      <c r="C42" s="5"/>
      <c r="D42" s="359"/>
      <c r="E42" s="359"/>
    </row>
    <row r="43" spans="2:9" ht="14" x14ac:dyDescent="0.15">
      <c r="B43" s="5" t="s">
        <v>189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479181.20477072365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190</v>
      </c>
      <c r="C45" s="5"/>
      <c r="D45" s="359"/>
      <c r="E45" s="359"/>
      <c r="F45" s="80"/>
    </row>
    <row r="46" spans="2:9" ht="14" x14ac:dyDescent="0.15">
      <c r="B46" s="107" t="s">
        <v>191</v>
      </c>
      <c r="C46" s="6"/>
      <c r="D46" s="360">
        <v>0</v>
      </c>
      <c r="E46" s="297"/>
      <c r="F46" s="5"/>
    </row>
    <row r="47" spans="2:9" ht="14" x14ac:dyDescent="0.15">
      <c r="B47" s="107" t="s">
        <v>192</v>
      </c>
      <c r="C47" s="6"/>
      <c r="D47" s="360">
        <v>0</v>
      </c>
      <c r="E47" s="297"/>
      <c r="F47" s="6" t="s">
        <v>193</v>
      </c>
    </row>
    <row r="48" spans="2:9" ht="12.75" customHeight="1" x14ac:dyDescent="0.15">
      <c r="B48" s="80" t="s">
        <v>194</v>
      </c>
      <c r="C48" s="6"/>
      <c r="D48" s="291">
        <f>Data!C24+D46+D47</f>
        <v>892512</v>
      </c>
      <c r="E48" s="357"/>
      <c r="F48" s="5" t="s">
        <v>195</v>
      </c>
    </row>
    <row r="49" spans="2:7" ht="15" customHeight="1" x14ac:dyDescent="0.15">
      <c r="D49" s="6"/>
      <c r="E49" s="6"/>
    </row>
    <row r="50" spans="2:7" ht="14" x14ac:dyDescent="0.15">
      <c r="B50" s="5" t="s">
        <v>196</v>
      </c>
      <c r="C50" s="5"/>
      <c r="D50" s="359"/>
      <c r="E50" s="359"/>
      <c r="F50" s="20" t="s">
        <v>197</v>
      </c>
    </row>
    <row r="51" spans="2:7" ht="15" customHeight="1" x14ac:dyDescent="0.15">
      <c r="B51" s="80" t="s">
        <v>198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15">
      <c r="B52" s="80" t="s">
        <v>142</v>
      </c>
      <c r="C52" s="6"/>
      <c r="D52" s="291">
        <f>C10+C32</f>
        <v>1659687</v>
      </c>
      <c r="E52" s="357"/>
      <c r="F52" s="6"/>
    </row>
    <row r="53" spans="2:7" ht="14" x14ac:dyDescent="0.15">
      <c r="B53" s="80" t="s">
        <v>199</v>
      </c>
      <c r="C53" s="6"/>
      <c r="D53" s="291">
        <f>((Dashboard!H6*1000)+D48+E43-(C12+C25+C28+C29)-D52)</f>
        <v>26758426.444770724</v>
      </c>
      <c r="E53" s="35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201</v>
      </c>
      <c r="C3" s="124">
        <v>4</v>
      </c>
      <c r="D3" s="125" t="str">
        <f>IF(E7="","next 1 years","next 3 years")</f>
        <v>next 1 years</v>
      </c>
      <c r="E3" s="125" t="s">
        <v>202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66</v>
      </c>
      <c r="C4" s="127">
        <f>Data!J4</f>
        <v>0.30417975408326581</v>
      </c>
      <c r="D4" s="128">
        <f>IF(E7="",D16/C16-1,(G16/C16)^(1/4)-1)</f>
        <v>-0.22613736906661341</v>
      </c>
      <c r="E4" s="127">
        <f>IF(Dashboard!D9&gt;5%,5%,IF(Dashboard!D9&lt;3.5%,3.5%,Dashboard!D9))</f>
        <v>3.5400000000000001E-2</v>
      </c>
      <c r="F4" s="129" t="s">
        <v>203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2000CNY)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204</v>
      </c>
      <c r="I6" s="131" t="s">
        <v>205</v>
      </c>
    </row>
    <row r="7" spans="1:13" ht="15.75" customHeight="1" x14ac:dyDescent="0.15">
      <c r="B7" s="5" t="s">
        <v>206</v>
      </c>
      <c r="C7" s="59">
        <f>Data!C8</f>
        <v>0.67051682958158909</v>
      </c>
      <c r="D7" s="132">
        <f>D8/C8-1</f>
        <v>0.64649099044928104</v>
      </c>
      <c r="E7" s="133"/>
      <c r="F7" s="236"/>
      <c r="G7" s="224"/>
      <c r="H7" s="6"/>
      <c r="I7" s="134"/>
    </row>
    <row r="8" spans="1:13" ht="15.75" customHeight="1" x14ac:dyDescent="0.15">
      <c r="B8" s="5" t="s">
        <v>207</v>
      </c>
      <c r="C8" s="135">
        <f>Data!C7</f>
        <v>2469657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208</v>
      </c>
      <c r="C9" s="70">
        <f>Data!C9</f>
        <v>1745150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209</v>
      </c>
      <c r="C10" s="59">
        <f>Data!C10</f>
        <v>0.29336341038451896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210</v>
      </c>
      <c r="C11" s="34">
        <f t="shared" ref="C11" si="0">C8-C9</f>
        <v>724507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63</v>
      </c>
      <c r="C12" s="62">
        <f>Data!C12</f>
        <v>6.9013227342906297E-2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211</v>
      </c>
      <c r="C13" s="141">
        <f>Data!C11</f>
        <v>170439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212</v>
      </c>
      <c r="C14" s="19">
        <f>Data!C13</f>
        <v>0.22435018304161267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213</v>
      </c>
      <c r="C15" s="15">
        <f>Data!C15</f>
        <v>0.42115360938974844</v>
      </c>
      <c r="D15" s="139">
        <f>IF(ABS(C16+D16)=ABS(C16)+ABS(D16),IF(D16&lt;0,-1,1)*(D16-C16)/C16,"Turn")</f>
        <v>-0.22613736906661339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214</v>
      </c>
      <c r="K15" s="146"/>
      <c r="M15" s="146"/>
    </row>
    <row r="16" spans="1:13" ht="15.75" customHeight="1" x14ac:dyDescent="0.15">
      <c r="B16" s="5" t="s">
        <v>65</v>
      </c>
      <c r="C16" s="34">
        <f>IF(Data!D50="No",Data!C69,Data!D69)</f>
        <v>554068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215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122</v>
      </c>
      <c r="C18" s="149">
        <f>IF(Data!D50="No",Data!C72,Data!D72)</f>
        <v>415551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216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217</v>
      </c>
      <c r="K19" s="105"/>
      <c r="M19" s="105"/>
    </row>
    <row r="20" spans="2:13" ht="15.75" customHeight="1" x14ac:dyDescent="0.15">
      <c r="B20" s="18" t="s">
        <v>83</v>
      </c>
      <c r="C20" s="15">
        <f t="shared" ref="C20" si="1">C21/C18</f>
        <v>3.5948366496531112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218</v>
      </c>
    </row>
    <row r="21" spans="2:13" ht="15" customHeight="1" thickBot="1" x14ac:dyDescent="0.2">
      <c r="B21" s="153" t="s">
        <v>119</v>
      </c>
      <c r="C21" s="154">
        <f>IF(Data!D50="No",Data!C71,Data!D71)</f>
        <v>1493837.9646000001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219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220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221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222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223</v>
      </c>
      <c r="C27" s="134" t="s">
        <v>224</v>
      </c>
      <c r="G27" s="6"/>
    </row>
    <row r="28" spans="2:13" ht="15.75" customHeight="1" x14ac:dyDescent="0.15">
      <c r="B28" s="3" t="s">
        <v>225</v>
      </c>
      <c r="C28" s="163">
        <f>IF(OR(E15="",F15=""),D16,E16)*(1+G15)</f>
        <v>443951.06741093809</v>
      </c>
      <c r="E28" s="6" t="s">
        <v>226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227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228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229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230</v>
      </c>
      <c r="C32" s="163">
        <f>'Asset Model'!D51</f>
        <v>168341.3</v>
      </c>
    </row>
    <row r="33" spans="2:13" ht="15.75" customHeight="1" x14ac:dyDescent="0.15">
      <c r="B33" s="107" t="s">
        <v>231</v>
      </c>
      <c r="C33" s="163">
        <f>Data!C27</f>
        <v>1659687</v>
      </c>
    </row>
    <row r="34" spans="2:13" ht="15.75" customHeight="1" x14ac:dyDescent="0.15">
      <c r="B34" s="80" t="s">
        <v>232</v>
      </c>
      <c r="C34" s="163">
        <f>'Asset Model'!D48</f>
        <v>892512</v>
      </c>
    </row>
    <row r="35" spans="2:13" ht="15.75" customHeight="1" thickBot="1" x14ac:dyDescent="0.2">
      <c r="B35" s="165" t="s">
        <v>233</v>
      </c>
      <c r="C35" s="163">
        <f>'Asset Model'!E43</f>
        <v>479181.20477072365</v>
      </c>
    </row>
    <row r="36" spans="2:13" ht="15.75" customHeight="1" thickTop="1" x14ac:dyDescent="0.15">
      <c r="B36" s="5" t="s">
        <v>234</v>
      </c>
      <c r="C36" s="166">
        <f>C30+C31+(C32+C33-C34-C35)</f>
        <v>4205104.6366525078</v>
      </c>
      <c r="D36" s="167" t="str">
        <f>Dashboard!H12</f>
        <v>CNY</v>
      </c>
      <c r="E36" s="6"/>
    </row>
    <row r="37" spans="2:13" ht="15.75" customHeight="1" x14ac:dyDescent="0.15">
      <c r="B37" s="5" t="s">
        <v>235</v>
      </c>
      <c r="C37" s="168">
        <f>C36*Data!C4/Common_Shares*Exchange_Rate</f>
        <v>16.609543778794457</v>
      </c>
      <c r="D37" s="76" t="str">
        <f>Dashboard!I4</f>
        <v>CNY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236</v>
      </c>
      <c r="C39" s="169"/>
      <c r="D39" s="26"/>
      <c r="E39" s="170"/>
      <c r="F39" s="171"/>
    </row>
    <row r="40" spans="2:13" ht="15.75" customHeight="1" x14ac:dyDescent="0.15">
      <c r="B40" s="3" t="s">
        <v>225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227</v>
      </c>
      <c r="C41" s="164">
        <f>G22/(G23-G15)</f>
        <v>4141334.584057258</v>
      </c>
      <c r="D41" s="172"/>
      <c r="E41" s="6" t="s">
        <v>226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228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2">
      <c r="B43" s="107" t="s">
        <v>229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234</v>
      </c>
      <c r="C44" s="166">
        <f>C43+C42+(C32+C33-C34-C35)</f>
        <v>4223124.8821574952</v>
      </c>
      <c r="D44" s="167" t="str">
        <f>Dashboard!H12</f>
        <v>CNY</v>
      </c>
      <c r="E44" s="170" t="s">
        <v>133</v>
      </c>
      <c r="F44" s="30">
        <f>IF(Data!F3&lt;=0,"NNI",C45/((Data!F3*Exchange_Rate)/(Common_Shares/Data!C4)))</f>
        <v>9.5495903321058329</v>
      </c>
      <c r="G44" s="6"/>
      <c r="H44" s="176"/>
      <c r="I44" s="6"/>
    </row>
    <row r="45" spans="2:13" ht="15.75" customHeight="1" x14ac:dyDescent="0.15">
      <c r="B45" s="5" t="s">
        <v>235</v>
      </c>
      <c r="C45" s="168">
        <f>C44*Data!C4/Common_Shares*Exchange_Rate</f>
        <v>16.680721093625312</v>
      </c>
      <c r="D45" s="76" t="str">
        <f>Dashboard!I4</f>
        <v>CNY</v>
      </c>
      <c r="E45" s="170" t="s">
        <v>135</v>
      </c>
      <c r="F45" s="30">
        <f>C45/(Data!C25*Exchange_Rate*Data!C4/Common_Shares)</f>
        <v>1.0699744313715167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237</v>
      </c>
      <c r="D47" s="32" t="s">
        <v>238</v>
      </c>
      <c r="E47" s="178" t="s">
        <v>239</v>
      </c>
      <c r="F47" s="179" t="s">
        <v>240</v>
      </c>
      <c r="G47" s="178" t="s">
        <v>241</v>
      </c>
      <c r="I47" s="180" t="s">
        <v>205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242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16.680721093625312</v>
      </c>
      <c r="G49" s="187">
        <f>IF(Data!F$3&lt;=0,"NNI",F49/((Data!F$3*Exchange_Rate)/(Common_Shares/Data!C$4)))</f>
        <v>9.5495903321058329</v>
      </c>
      <c r="I49" s="134" t="s">
        <v>243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18.181550387096348</v>
      </c>
      <c r="G50" s="188">
        <f>IF(Data!F$3&lt;=0,"NNI",F50/((Data!F$3*Exchange_Rate)/(Common_Shares/Data!C$4)))</f>
        <v>10.408804081357324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21.376326007828975</v>
      </c>
      <c r="G51" s="188">
        <f>IF(Data!F$3&lt;=0,"NNI",F51/((Data!F$3*Exchange_Rate)/(Common_Shares/Data!C$4)))</f>
        <v>12.237789663560658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25.611282802373921</v>
      </c>
      <c r="G52" s="188">
        <f>IF(Data!F$3&lt;=0,"NNI",F52/((Data!F$3*Exchange_Rate)/(Common_Shares/Data!C$4)))</f>
        <v>14.662271329256011</v>
      </c>
      <c r="I52" s="134" t="s">
        <v>244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28.750920132134162</v>
      </c>
      <c r="G53" s="188">
        <f>IF(Data!F$3&lt;=0,"NNI",F53/((Data!F$3*Exchange_Rate)/(Common_Shares/Data!C$4)))</f>
        <v>16.459690644782782</v>
      </c>
      <c r="I53" s="134"/>
    </row>
    <row r="54" spans="1:12" ht="15.75" customHeight="1" x14ac:dyDescent="0.15">
      <c r="B54" s="3" t="s">
        <v>245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29.673614691388845</v>
      </c>
      <c r="G54" s="190">
        <f>IF(Data!F$3&lt;=0,"NNI",F54/((Data!F$3*Exchange_Rate)/(Common_Shares/Data!C$4)))</f>
        <v>16.987926504197308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20</v>
      </c>
      <c r="C56" s="32" t="s">
        <v>243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246</v>
      </c>
      <c r="C57" s="195">
        <f>C37</f>
        <v>16.609543778794457</v>
      </c>
      <c r="D57" s="26" t="str">
        <f>IF(C57&lt;E57,"&lt;",IF(C57=E57,"=","&gt;"))</f>
        <v>&lt;</v>
      </c>
      <c r="E57" s="196">
        <f>F54</f>
        <v>29.673614691388845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247</v>
      </c>
      <c r="K58" s="276">
        <f>IRR(C60:G60)</f>
        <v>-0.28739529366053429</v>
      </c>
    </row>
    <row r="59" spans="1:12" ht="15.75" hidden="1" customHeight="1" x14ac:dyDescent="0.15">
      <c r="B59" s="3" t="s">
        <v>248</v>
      </c>
      <c r="C59" s="44" t="s">
        <v>249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250</v>
      </c>
      <c r="J59" s="277">
        <f>-Dashboard!H4+(C32+C33-C34-C35)/(Dashboard!H5/Data!C4)</f>
        <v>-52.077543605467874</v>
      </c>
      <c r="K59" s="276">
        <f t="dataTable" ref="K59:K60" dt2D="0" dtr="0" r1="C60" ca="1"/>
        <v>-0.28739529366053429</v>
      </c>
    </row>
    <row r="60" spans="1:12" ht="15.75" hidden="1" customHeight="1" x14ac:dyDescent="0.15">
      <c r="B60" s="6"/>
      <c r="C60" s="186">
        <f>J59</f>
        <v>-52.077543605467874</v>
      </c>
      <c r="D60" s="186">
        <f>D22/(Dashboard!H5/Data!C4)</f>
        <v>0.7109279176950033</v>
      </c>
      <c r="E60" s="186">
        <f>IF(E7="",I60,E22)/(Dashboard!H5/Data!C4)</f>
        <v>25.938650796659843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6566991.9767935593</v>
      </c>
      <c r="J60" s="277">
        <f>-Dashboard!C22+(C32+C33-C34-C35)/(Dashboard!H5/Data!C4)</f>
        <v>-3.4975436054678744</v>
      </c>
      <c r="K60" s="276">
        <v>1.8268071630292586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8" t="s">
        <v>251</v>
      </c>
      <c r="D62" s="364"/>
      <c r="E62" s="44" t="s">
        <v>252</v>
      </c>
      <c r="F62" s="44" t="s">
        <v>253</v>
      </c>
      <c r="G62" s="44" t="s">
        <v>254</v>
      </c>
      <c r="H62" s="6"/>
    </row>
    <row r="63" spans="1:12" ht="15.75" customHeight="1" x14ac:dyDescent="0.15">
      <c r="B63" s="6" t="s">
        <v>255</v>
      </c>
      <c r="C63" s="197">
        <f>MIN(C57,E57)+(ABS(C57-E57)*'Qualitative Analysis'!E56)</f>
        <v>25.004357260199534</v>
      </c>
      <c r="D63" s="262" t="str">
        <f>D45</f>
        <v>CNY</v>
      </c>
      <c r="E63" s="263">
        <f>IF(Data!F3&lt;=0,"NNI",C63/((Data!F3*Exchange_Rate)/(Common_Shares/Data!C4)))</f>
        <v>14.31481091328685</v>
      </c>
      <c r="F63" s="263">
        <f>C63/(Data!C25*Exchange_Rate*Data!C4/Common_Shares)</f>
        <v>1.603888872137341</v>
      </c>
      <c r="G63" s="273">
        <f>IRR(C60:G60)</f>
        <v>-0.28739529366053429</v>
      </c>
      <c r="H63" s="6"/>
      <c r="I63" s="134" t="s">
        <v>256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257</v>
      </c>
      <c r="C2" s="199"/>
      <c r="D2" s="8"/>
      <c r="E2" s="8"/>
    </row>
    <row r="3" spans="1:6" ht="15" customHeight="1" x14ac:dyDescent="0.15">
      <c r="B3" s="5" t="s">
        <v>258</v>
      </c>
      <c r="C3" s="5"/>
      <c r="D3" s="200">
        <f t="shared" ref="D3:D6" si="0">IF(LEFT(E3,1)="H",1,IF(LEFT(E3,1)="C",-1,0))</f>
        <v>-1</v>
      </c>
      <c r="E3" s="46" t="s">
        <v>259</v>
      </c>
      <c r="F3" s="6"/>
    </row>
    <row r="4" spans="1:6" ht="15" customHeight="1" x14ac:dyDescent="0.15">
      <c r="B4" s="80" t="s">
        <v>260</v>
      </c>
      <c r="C4" s="80"/>
      <c r="D4" s="200">
        <f t="shared" si="0"/>
        <v>-1</v>
      </c>
      <c r="E4" s="45" t="s">
        <v>261</v>
      </c>
      <c r="F4" s="6"/>
    </row>
    <row r="5" spans="1:6" ht="15" customHeight="1" x14ac:dyDescent="0.15">
      <c r="B5" s="80" t="s">
        <v>262</v>
      </c>
      <c r="C5" s="80"/>
      <c r="D5" s="200">
        <f t="shared" si="0"/>
        <v>-1</v>
      </c>
      <c r="E5" s="45" t="s">
        <v>263</v>
      </c>
      <c r="F5" s="6"/>
    </row>
    <row r="6" spans="1:6" ht="15" customHeight="1" x14ac:dyDescent="0.15">
      <c r="B6" s="80" t="s">
        <v>264</v>
      </c>
      <c r="C6" s="80"/>
      <c r="D6" s="200">
        <f t="shared" si="0"/>
        <v>-1</v>
      </c>
      <c r="E6" s="45" t="s">
        <v>265</v>
      </c>
      <c r="F6" s="6"/>
    </row>
    <row r="7" spans="1:6" ht="15" customHeight="1" x14ac:dyDescent="0.15">
      <c r="B7" s="201" t="s">
        <v>266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267</v>
      </c>
      <c r="C8" s="80"/>
      <c r="D8" s="200">
        <f t="shared" ref="D8:D11" si="1">IF(LEFT(E8,1)="H",1,IF(LEFT(E8,1)="C",-1,0))</f>
        <v>-1</v>
      </c>
      <c r="E8" s="45" t="s">
        <v>268</v>
      </c>
      <c r="F8" s="6"/>
    </row>
    <row r="9" spans="1:6" ht="15" customHeight="1" x14ac:dyDescent="0.15">
      <c r="B9" s="80" t="s">
        <v>269</v>
      </c>
      <c r="C9" s="80"/>
      <c r="D9" s="200">
        <f t="shared" si="1"/>
        <v>-1</v>
      </c>
      <c r="E9" s="45" t="s">
        <v>270</v>
      </c>
      <c r="F9" s="6"/>
    </row>
    <row r="10" spans="1:6" ht="15" customHeight="1" x14ac:dyDescent="0.15">
      <c r="B10" s="80" t="s">
        <v>271</v>
      </c>
      <c r="C10" s="80"/>
      <c r="D10" s="200">
        <f t="shared" si="1"/>
        <v>0</v>
      </c>
      <c r="E10" s="45" t="s">
        <v>272</v>
      </c>
      <c r="F10" s="6"/>
    </row>
    <row r="11" spans="1:6" ht="15" customHeight="1" x14ac:dyDescent="0.15">
      <c r="B11" s="80" t="s">
        <v>273</v>
      </c>
      <c r="C11" s="80"/>
      <c r="D11" s="200">
        <f t="shared" si="1"/>
        <v>-1</v>
      </c>
      <c r="E11" s="45" t="s">
        <v>274</v>
      </c>
      <c r="F11" s="6"/>
    </row>
    <row r="12" spans="1:6" ht="15" customHeight="1" x14ac:dyDescent="0.15">
      <c r="B12" s="201" t="s">
        <v>275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276</v>
      </c>
      <c r="C13" s="80"/>
      <c r="D13" s="200">
        <f t="shared" ref="D13:D16" si="2">IF(LEFT(E13,1)="H",1,IF(LEFT(E13,1)="C",-1,0))</f>
        <v>-1</v>
      </c>
      <c r="E13" s="45" t="s">
        <v>277</v>
      </c>
      <c r="F13" s="6"/>
    </row>
    <row r="14" spans="1:6" ht="15" customHeight="1" x14ac:dyDescent="0.15">
      <c r="B14" s="80" t="s">
        <v>278</v>
      </c>
      <c r="C14" s="80"/>
      <c r="D14" s="200">
        <f t="shared" si="2"/>
        <v>-1</v>
      </c>
      <c r="E14" s="45" t="s">
        <v>279</v>
      </c>
      <c r="F14" s="6"/>
    </row>
    <row r="15" spans="1:6" ht="15" customHeight="1" x14ac:dyDescent="0.15">
      <c r="B15" s="80" t="s">
        <v>280</v>
      </c>
      <c r="C15" s="80"/>
      <c r="D15" s="200">
        <f t="shared" si="2"/>
        <v>-1</v>
      </c>
      <c r="E15" s="45" t="s">
        <v>281</v>
      </c>
      <c r="F15" s="6"/>
    </row>
    <row r="16" spans="1:6" ht="15" customHeight="1" x14ac:dyDescent="0.15">
      <c r="B16" s="80" t="s">
        <v>282</v>
      </c>
      <c r="C16" s="80"/>
      <c r="D16" s="200">
        <f t="shared" si="2"/>
        <v>-1</v>
      </c>
      <c r="E16" s="45" t="s">
        <v>283</v>
      </c>
      <c r="F16" s="6"/>
    </row>
    <row r="17" spans="1:6" ht="15" customHeight="1" x14ac:dyDescent="0.15">
      <c r="B17" s="201" t="s">
        <v>284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285</v>
      </c>
      <c r="C18" s="80"/>
      <c r="D18" s="200">
        <f t="shared" ref="D18:D21" si="3">IF(LEFT(E18,1)="H",1,IF(LEFT(E18,1)="C",-1,0))</f>
        <v>-1</v>
      </c>
      <c r="E18" s="45" t="s">
        <v>286</v>
      </c>
      <c r="F18" s="6"/>
    </row>
    <row r="19" spans="1:6" ht="15" customHeight="1" x14ac:dyDescent="0.15">
      <c r="B19" s="80" t="s">
        <v>287</v>
      </c>
      <c r="C19" s="80"/>
      <c r="D19" s="200">
        <f t="shared" si="3"/>
        <v>-1</v>
      </c>
      <c r="E19" s="45" t="s">
        <v>288</v>
      </c>
      <c r="F19" s="6"/>
    </row>
    <row r="20" spans="1:6" ht="15" customHeight="1" x14ac:dyDescent="0.15">
      <c r="B20" s="80" t="s">
        <v>289</v>
      </c>
      <c r="C20" s="80"/>
      <c r="D20" s="200">
        <f t="shared" si="3"/>
        <v>-1</v>
      </c>
      <c r="E20" s="45" t="s">
        <v>290</v>
      </c>
      <c r="F20" s="6"/>
    </row>
    <row r="21" spans="1:6" ht="15" customHeight="1" x14ac:dyDescent="0.15">
      <c r="B21" s="80" t="s">
        <v>291</v>
      </c>
      <c r="C21" s="80"/>
      <c r="D21" s="200">
        <f t="shared" si="3"/>
        <v>-1</v>
      </c>
      <c r="E21" s="45" t="s">
        <v>292</v>
      </c>
      <c r="F21" s="6"/>
    </row>
    <row r="22" spans="1:6" ht="15" customHeight="1" x14ac:dyDescent="0.15">
      <c r="B22" s="201" t="s">
        <v>293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294</v>
      </c>
      <c r="C24" s="203"/>
      <c r="D24" s="13"/>
      <c r="E24" s="13"/>
    </row>
    <row r="25" spans="1:6" ht="14" x14ac:dyDescent="0.15">
      <c r="B25" s="204" t="s">
        <v>295</v>
      </c>
      <c r="C25" s="205"/>
      <c r="D25" s="6"/>
      <c r="E25" s="6"/>
    </row>
    <row r="26" spans="1:6" ht="14" x14ac:dyDescent="0.15">
      <c r="B26" s="6" t="s">
        <v>296</v>
      </c>
      <c r="C26" s="205"/>
      <c r="D26" s="202">
        <f>IF(E26="Strongly disagree",0,IF(E26="disagree",1,IF(E26="unclear",2,IF(E26="agree",3,4))))</f>
        <v>4</v>
      </c>
      <c r="E26" s="45" t="s">
        <v>297</v>
      </c>
      <c r="F26" s="6"/>
    </row>
    <row r="27" spans="1:6" ht="14" x14ac:dyDescent="0.15">
      <c r="B27" s="6" t="s">
        <v>298</v>
      </c>
      <c r="C27" s="205"/>
      <c r="D27" s="202">
        <f t="shared" ref="D27:D28" si="4">IF(E27="Strongly disagree",0,IF(E27="disagree",1,IF(E27="unclear",2,IF(E27="agree",3,4))))</f>
        <v>3</v>
      </c>
      <c r="E27" s="45" t="s">
        <v>299</v>
      </c>
      <c r="F27" s="6"/>
    </row>
    <row r="28" spans="1:6" ht="14" x14ac:dyDescent="0.15">
      <c r="B28" s="6" t="s">
        <v>300</v>
      </c>
      <c r="C28" s="205"/>
      <c r="D28" s="202">
        <f t="shared" si="4"/>
        <v>4</v>
      </c>
      <c r="E28" s="45" t="s">
        <v>297</v>
      </c>
      <c r="F28" s="6"/>
    </row>
    <row r="29" spans="1:6" ht="14" x14ac:dyDescent="0.15">
      <c r="B29" s="206" t="s">
        <v>301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302</v>
      </c>
      <c r="C31" s="201"/>
    </row>
    <row r="32" spans="1:6" ht="14" x14ac:dyDescent="0.15">
      <c r="B32" s="201" t="s">
        <v>303</v>
      </c>
      <c r="C32" s="201"/>
      <c r="E32" s="6"/>
    </row>
    <row r="33" spans="2:6" ht="14" x14ac:dyDescent="0.15">
      <c r="B33" s="80" t="s">
        <v>304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305</v>
      </c>
      <c r="D34" s="209">
        <f>IF(E34="Strongly disagree",0,IF(E34="disagree",1,IF(E34="unclear",2,IF(E34="agree",3,4))))</f>
        <v>3</v>
      </c>
      <c r="E34" s="45" t="s">
        <v>299</v>
      </c>
      <c r="F34" s="6"/>
    </row>
    <row r="35" spans="2:6" ht="14" x14ac:dyDescent="0.15">
      <c r="B35" s="80" t="s">
        <v>306</v>
      </c>
      <c r="D35" s="209">
        <f>IF(E35="Strongly disagree",0,IF(E35="disagree",1,IF(E35="unclear",2,IF(E35="agree",3,4))))</f>
        <v>2</v>
      </c>
      <c r="E35" s="45" t="s">
        <v>307</v>
      </c>
      <c r="F35" s="6"/>
    </row>
    <row r="36" spans="2:6" ht="14" x14ac:dyDescent="0.15">
      <c r="B36" s="80" t="s">
        <v>308</v>
      </c>
      <c r="D36" s="209">
        <f>IF(E36="Strongly disagree",0,IF(E36="disagree",1,IF(E36="unclear",2,IF(E36="agree",3,4))))</f>
        <v>1</v>
      </c>
      <c r="E36" s="45" t="s">
        <v>309</v>
      </c>
      <c r="F36" s="6"/>
    </row>
    <row r="37" spans="2:6" ht="14" x14ac:dyDescent="0.15">
      <c r="B37" s="80" t="s">
        <v>310</v>
      </c>
      <c r="D37" s="209">
        <f>IF(E37="Strongly disagree",0,IF(E37="disagree",1,IF(E37="unclear",2,IF(E37="agree",3,4))))</f>
        <v>4</v>
      </c>
      <c r="E37" s="45" t="s">
        <v>297</v>
      </c>
      <c r="F37" s="6"/>
    </row>
    <row r="38" spans="2:6" ht="14" x14ac:dyDescent="0.15">
      <c r="B38" s="201" t="s">
        <v>311</v>
      </c>
      <c r="D38" s="54"/>
      <c r="E38" s="26"/>
    </row>
    <row r="39" spans="2:6" ht="14" x14ac:dyDescent="0.15">
      <c r="B39" s="80" t="s">
        <v>312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313</v>
      </c>
      <c r="D40" s="209">
        <f t="shared" ref="D40:D43" si="5">IF(E40="Strongly disagree",0,IF(E40="disagree",1,IF(E40="unclear",2,IF(E40="agree",3,4))))</f>
        <v>3</v>
      </c>
      <c r="E40" s="45" t="s">
        <v>299</v>
      </c>
      <c r="F40" s="6"/>
    </row>
    <row r="41" spans="2:6" ht="15" customHeight="1" x14ac:dyDescent="0.15">
      <c r="B41" s="80" t="s">
        <v>314</v>
      </c>
      <c r="D41" s="209">
        <f t="shared" si="5"/>
        <v>1</v>
      </c>
      <c r="E41" s="45" t="s">
        <v>309</v>
      </c>
      <c r="F41" s="6"/>
    </row>
    <row r="42" spans="2:6" ht="15" customHeight="1" x14ac:dyDescent="0.15">
      <c r="B42" s="80" t="s">
        <v>315</v>
      </c>
      <c r="D42" s="209">
        <f t="shared" si="5"/>
        <v>3</v>
      </c>
      <c r="E42" s="45" t="s">
        <v>299</v>
      </c>
      <c r="F42" s="6"/>
    </row>
    <row r="43" spans="2:6" ht="15" customHeight="1" x14ac:dyDescent="0.15">
      <c r="B43" s="80" t="s">
        <v>316</v>
      </c>
      <c r="D43" s="209">
        <f t="shared" si="5"/>
        <v>3</v>
      </c>
      <c r="E43" s="45" t="s">
        <v>299</v>
      </c>
      <c r="F43" s="6"/>
    </row>
    <row r="44" spans="2:6" ht="15" customHeight="1" x14ac:dyDescent="0.15">
      <c r="B44" s="201" t="s">
        <v>317</v>
      </c>
      <c r="D44" s="54"/>
      <c r="E44" s="26"/>
    </row>
    <row r="45" spans="2:6" ht="14" x14ac:dyDescent="0.15">
      <c r="B45" s="80" t="s">
        <v>318</v>
      </c>
      <c r="D45" s="209">
        <f t="shared" ref="D45:D49" si="6">IF(E45="Strongly disagree",0,IF(E45="disagree",1,IF(E45="unclear",2,IF(E45="agree",3,4))))</f>
        <v>4</v>
      </c>
      <c r="E45" s="45" t="s">
        <v>297</v>
      </c>
      <c r="F45" s="6"/>
    </row>
    <row r="46" spans="2:6" ht="15" customHeight="1" x14ac:dyDescent="0.15">
      <c r="B46" s="80" t="s">
        <v>319</v>
      </c>
      <c r="D46" s="209">
        <f t="shared" si="6"/>
        <v>3</v>
      </c>
      <c r="E46" s="45" t="s">
        <v>299</v>
      </c>
      <c r="F46" s="6"/>
    </row>
    <row r="47" spans="2:6" ht="15" customHeight="1" x14ac:dyDescent="0.15">
      <c r="B47" s="80" t="s">
        <v>320</v>
      </c>
      <c r="D47" s="209">
        <f t="shared" si="6"/>
        <v>4</v>
      </c>
      <c r="E47" s="45" t="s">
        <v>297</v>
      </c>
      <c r="F47" s="6"/>
    </row>
    <row r="48" spans="2:6" ht="15" customHeight="1" x14ac:dyDescent="0.15">
      <c r="B48" s="80" t="s">
        <v>321</v>
      </c>
      <c r="D48" s="209">
        <f t="shared" si="6"/>
        <v>2</v>
      </c>
      <c r="E48" s="45" t="s">
        <v>307</v>
      </c>
      <c r="F48" s="6"/>
    </row>
    <row r="49" spans="2:6" ht="14" x14ac:dyDescent="0.15">
      <c r="B49" s="80" t="s">
        <v>322</v>
      </c>
      <c r="D49" s="209">
        <f t="shared" si="6"/>
        <v>3</v>
      </c>
      <c r="E49" s="45" t="s">
        <v>299</v>
      </c>
      <c r="F49" s="6"/>
    </row>
    <row r="50" spans="2:6" ht="14" x14ac:dyDescent="0.15">
      <c r="B50" s="201" t="s">
        <v>323</v>
      </c>
      <c r="D50" s="54"/>
      <c r="E50" s="26"/>
    </row>
    <row r="51" spans="2:6" ht="14" x14ac:dyDescent="0.15">
      <c r="B51" s="80" t="s">
        <v>324</v>
      </c>
      <c r="D51" s="44"/>
      <c r="E51" s="75" t="str">
        <f>E67</f>
        <v>Medium</v>
      </c>
      <c r="F51" s="6"/>
    </row>
    <row r="52" spans="2:6" ht="14" x14ac:dyDescent="0.15">
      <c r="B52" s="80" t="s">
        <v>325</v>
      </c>
      <c r="D52" s="44"/>
      <c r="E52" s="75" t="str">
        <f>E77</f>
        <v>Very Low</v>
      </c>
      <c r="F52" s="6"/>
    </row>
    <row r="53" spans="2:6" ht="14" x14ac:dyDescent="0.15">
      <c r="B53" s="80" t="s">
        <v>326</v>
      </c>
      <c r="D53" s="44"/>
      <c r="E53" s="75" t="str">
        <f>E85</f>
        <v>Medium</v>
      </c>
      <c r="F53" s="6"/>
    </row>
    <row r="54" spans="2:6" ht="14" x14ac:dyDescent="0.15">
      <c r="B54" s="80" t="s">
        <v>327</v>
      </c>
      <c r="D54" s="44"/>
      <c r="E54" s="75" t="str">
        <f>E95</f>
        <v>Very High</v>
      </c>
      <c r="F54" s="6"/>
    </row>
    <row r="55" spans="2:6" ht="14" x14ac:dyDescent="0.15">
      <c r="B55" s="80" t="s">
        <v>328</v>
      </c>
      <c r="D55" s="44"/>
      <c r="E55" s="75" t="str">
        <f>E102</f>
        <v>Very High</v>
      </c>
      <c r="F55" s="6"/>
    </row>
    <row r="56" spans="2:6" ht="14" x14ac:dyDescent="0.15">
      <c r="B56" s="206" t="s">
        <v>329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330</v>
      </c>
      <c r="C58" s="80"/>
      <c r="D58" s="54"/>
      <c r="E58" s="26"/>
    </row>
    <row r="59" spans="2:6" ht="14" x14ac:dyDescent="0.15">
      <c r="B59" s="3" t="s">
        <v>331</v>
      </c>
      <c r="D59" s="209">
        <f>IF(E59="Strongly disagree",0,IF(E59="disagree",1,IF(E59="unclear",2,IF(E59="agree",3,4))))</f>
        <v>4</v>
      </c>
      <c r="E59" s="45" t="s">
        <v>297</v>
      </c>
      <c r="F59" s="6"/>
    </row>
    <row r="60" spans="2:6" ht="14" x14ac:dyDescent="0.15">
      <c r="B60" s="3" t="s">
        <v>332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333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334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335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336</v>
      </c>
      <c r="C65" s="22"/>
      <c r="D65" s="22"/>
      <c r="E65" s="13"/>
    </row>
    <row r="66" spans="1:6" ht="15" customHeight="1" x14ac:dyDescent="0.15">
      <c r="B66" s="5" t="s">
        <v>337</v>
      </c>
      <c r="C66" s="6"/>
      <c r="D66" s="26"/>
      <c r="E66" s="6"/>
    </row>
    <row r="67" spans="1:6" ht="15" customHeight="1" x14ac:dyDescent="0.15">
      <c r="B67" s="80" t="s">
        <v>338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339</v>
      </c>
      <c r="D68" s="209">
        <f t="shared" ref="D68:D75" si="8">IF(E68="Strongly disagree",0,IF(E68="disagree",1,IF(E68="unclear",2,IF(E68="agree",3,4))))</f>
        <v>0</v>
      </c>
      <c r="E68" s="45" t="s">
        <v>340</v>
      </c>
      <c r="F68" s="6"/>
    </row>
    <row r="69" spans="1:6" ht="15" customHeight="1" x14ac:dyDescent="0.15">
      <c r="B69" s="80" t="s">
        <v>341</v>
      </c>
      <c r="D69" s="209">
        <f t="shared" si="8"/>
        <v>3</v>
      </c>
      <c r="E69" s="45" t="s">
        <v>299</v>
      </c>
      <c r="F69" s="6"/>
    </row>
    <row r="70" spans="1:6" ht="15" customHeight="1" x14ac:dyDescent="0.15">
      <c r="B70" s="80" t="s">
        <v>342</v>
      </c>
      <c r="D70" s="209">
        <f t="shared" si="8"/>
        <v>4</v>
      </c>
      <c r="E70" s="45" t="s">
        <v>297</v>
      </c>
      <c r="F70" s="6"/>
    </row>
    <row r="71" spans="1:6" ht="15" customHeight="1" x14ac:dyDescent="0.15">
      <c r="B71" s="80" t="s">
        <v>343</v>
      </c>
      <c r="D71" s="209">
        <f t="shared" si="8"/>
        <v>0</v>
      </c>
      <c r="E71" s="45" t="s">
        <v>340</v>
      </c>
      <c r="F71" s="6"/>
    </row>
    <row r="72" spans="1:6" ht="15" customHeight="1" x14ac:dyDescent="0.15">
      <c r="B72" s="80" t="s">
        <v>344</v>
      </c>
      <c r="D72" s="209">
        <f t="shared" si="8"/>
        <v>0</v>
      </c>
      <c r="E72" s="45" t="s">
        <v>340</v>
      </c>
      <c r="F72" s="6"/>
    </row>
    <row r="73" spans="1:6" ht="15" customHeight="1" x14ac:dyDescent="0.15">
      <c r="B73" s="80" t="s">
        <v>345</v>
      </c>
      <c r="D73" s="209">
        <f t="shared" si="8"/>
        <v>2</v>
      </c>
      <c r="E73" s="45" t="s">
        <v>307</v>
      </c>
      <c r="F73" s="6"/>
    </row>
    <row r="74" spans="1:6" ht="15" customHeight="1" x14ac:dyDescent="0.15">
      <c r="B74" s="80" t="s">
        <v>346</v>
      </c>
      <c r="D74" s="209">
        <f t="shared" si="8"/>
        <v>4</v>
      </c>
      <c r="E74" s="45" t="s">
        <v>297</v>
      </c>
      <c r="F74" s="6"/>
    </row>
    <row r="75" spans="1:6" ht="15" customHeight="1" x14ac:dyDescent="0.15">
      <c r="B75" s="80" t="s">
        <v>347</v>
      </c>
      <c r="D75" s="209">
        <f t="shared" si="8"/>
        <v>0</v>
      </c>
      <c r="E75" s="45" t="s">
        <v>340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348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349</v>
      </c>
      <c r="D78" s="209">
        <f t="shared" ref="D78:D83" si="9">IF(E78="Strongly disagree",0,IF(E78="disagree",1,IF(E78="unclear",2,IF(E78="agree",3,4))))</f>
        <v>0</v>
      </c>
      <c r="E78" s="45" t="s">
        <v>340</v>
      </c>
      <c r="F78" s="6"/>
    </row>
    <row r="79" spans="1:6" ht="15" customHeight="1" x14ac:dyDescent="0.15">
      <c r="B79" s="80" t="s">
        <v>350</v>
      </c>
      <c r="D79" s="209">
        <f t="shared" si="9"/>
        <v>0</v>
      </c>
      <c r="E79" s="45" t="s">
        <v>340</v>
      </c>
      <c r="F79" s="6"/>
    </row>
    <row r="80" spans="1:6" ht="15" customHeight="1" x14ac:dyDescent="0.15">
      <c r="B80" s="80" t="s">
        <v>351</v>
      </c>
      <c r="D80" s="209">
        <f t="shared" si="9"/>
        <v>0</v>
      </c>
      <c r="E80" s="45" t="s">
        <v>340</v>
      </c>
      <c r="F80" s="6"/>
    </row>
    <row r="81" spans="2:6" ht="15" customHeight="1" x14ac:dyDescent="0.15">
      <c r="B81" s="80" t="s">
        <v>352</v>
      </c>
      <c r="D81" s="209">
        <f t="shared" si="9"/>
        <v>0</v>
      </c>
      <c r="E81" s="45" t="s">
        <v>340</v>
      </c>
      <c r="F81" s="6"/>
    </row>
    <row r="82" spans="2:6" ht="15" customHeight="1" x14ac:dyDescent="0.15">
      <c r="B82" s="80" t="s">
        <v>353</v>
      </c>
      <c r="D82" s="209">
        <f t="shared" si="9"/>
        <v>0</v>
      </c>
      <c r="E82" s="45" t="s">
        <v>340</v>
      </c>
      <c r="F82" s="6"/>
    </row>
    <row r="83" spans="2:6" ht="15" customHeight="1" x14ac:dyDescent="0.15">
      <c r="B83" s="80" t="s">
        <v>354</v>
      </c>
      <c r="D83" s="209">
        <f t="shared" si="9"/>
        <v>0</v>
      </c>
      <c r="E83" s="45" t="s">
        <v>340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355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356</v>
      </c>
      <c r="D86" s="209">
        <f t="shared" ref="D86:D93" si="10">IF(E86="Strongly disagree",0,IF(E86="disagree",1,IF(E86="unclear",2,IF(E86="agree",3,4))))</f>
        <v>0</v>
      </c>
      <c r="E86" s="45" t="s">
        <v>340</v>
      </c>
      <c r="F86" s="6"/>
    </row>
    <row r="87" spans="2:6" ht="15" customHeight="1" x14ac:dyDescent="0.15">
      <c r="B87" s="80" t="s">
        <v>357</v>
      </c>
      <c r="D87" s="209">
        <f t="shared" si="10"/>
        <v>1</v>
      </c>
      <c r="E87" s="45" t="s">
        <v>309</v>
      </c>
      <c r="F87" s="6"/>
    </row>
    <row r="88" spans="2:6" ht="15" customHeight="1" x14ac:dyDescent="0.15">
      <c r="B88" s="80" t="s">
        <v>358</v>
      </c>
      <c r="D88" s="209">
        <f t="shared" si="10"/>
        <v>4</v>
      </c>
      <c r="E88" s="45" t="s">
        <v>297</v>
      </c>
      <c r="F88" s="6"/>
    </row>
    <row r="89" spans="2:6" ht="15" customHeight="1" x14ac:dyDescent="0.15">
      <c r="B89" s="80" t="s">
        <v>359</v>
      </c>
      <c r="D89" s="209">
        <f t="shared" si="10"/>
        <v>0</v>
      </c>
      <c r="E89" s="45" t="s">
        <v>340</v>
      </c>
      <c r="F89" s="6"/>
    </row>
    <row r="90" spans="2:6" ht="15" customHeight="1" x14ac:dyDescent="0.15">
      <c r="B90" s="80" t="s">
        <v>360</v>
      </c>
      <c r="D90" s="209">
        <f t="shared" si="10"/>
        <v>0</v>
      </c>
      <c r="E90" s="45" t="s">
        <v>340</v>
      </c>
      <c r="F90" s="6"/>
    </row>
    <row r="91" spans="2:6" ht="15" customHeight="1" x14ac:dyDescent="0.15">
      <c r="B91" s="80" t="s">
        <v>361</v>
      </c>
      <c r="D91" s="209">
        <f t="shared" si="10"/>
        <v>2</v>
      </c>
      <c r="E91" s="45" t="s">
        <v>307</v>
      </c>
      <c r="F91" s="6"/>
    </row>
    <row r="92" spans="2:6" ht="15" customHeight="1" x14ac:dyDescent="0.15">
      <c r="B92" s="80" t="s">
        <v>362</v>
      </c>
      <c r="D92" s="209">
        <f t="shared" si="10"/>
        <v>4</v>
      </c>
      <c r="E92" s="45" t="s">
        <v>297</v>
      </c>
      <c r="F92" s="6"/>
    </row>
    <row r="93" spans="2:6" ht="15" customHeight="1" x14ac:dyDescent="0.15">
      <c r="B93" s="80" t="s">
        <v>363</v>
      </c>
      <c r="D93" s="209">
        <f t="shared" si="10"/>
        <v>4</v>
      </c>
      <c r="E93" s="45" t="s">
        <v>297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364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365</v>
      </c>
      <c r="D96" s="209">
        <f t="shared" ref="D96:D99" si="11">IF(E96="Strongly disagree",0,IF(E96="disagree",1,IF(E96="unclear",2,IF(E96="agree",3,4))))</f>
        <v>0</v>
      </c>
      <c r="E96" s="45" t="s">
        <v>340</v>
      </c>
      <c r="F96" s="6"/>
    </row>
    <row r="97" spans="2:6" ht="15" customHeight="1" x14ac:dyDescent="0.15">
      <c r="B97" s="80" t="s">
        <v>366</v>
      </c>
      <c r="D97" s="209">
        <f t="shared" si="11"/>
        <v>4</v>
      </c>
      <c r="E97" s="45" t="s">
        <v>297</v>
      </c>
      <c r="F97" s="6"/>
    </row>
    <row r="98" spans="2:6" ht="15" customHeight="1" x14ac:dyDescent="0.15">
      <c r="B98" s="80" t="s">
        <v>367</v>
      </c>
      <c r="D98" s="209">
        <f t="shared" si="11"/>
        <v>3</v>
      </c>
      <c r="E98" s="45" t="s">
        <v>299</v>
      </c>
      <c r="F98" s="6"/>
    </row>
    <row r="99" spans="2:6" ht="15" customHeight="1" x14ac:dyDescent="0.15">
      <c r="B99" s="80" t="s">
        <v>368</v>
      </c>
      <c r="D99" s="209">
        <f t="shared" si="11"/>
        <v>1</v>
      </c>
      <c r="E99" s="45" t="s">
        <v>309</v>
      </c>
      <c r="F99" s="6"/>
    </row>
    <row r="100" spans="2:6" ht="15" customHeight="1" x14ac:dyDescent="0.15">
      <c r="B100" s="80" t="s">
        <v>369</v>
      </c>
      <c r="D100" s="213">
        <f t="array" ref="D100">(1-INDEX(B118:E127,MATCH(E100,B118:B127,0),4))*4</f>
        <v>1.9455782312925169</v>
      </c>
      <c r="E100" s="45" t="s">
        <v>370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371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297</v>
      </c>
      <c r="F103" s="6"/>
    </row>
    <row r="104" spans="2:6" ht="15" customHeight="1" x14ac:dyDescent="0.15">
      <c r="B104" s="80" t="s">
        <v>373</v>
      </c>
      <c r="D104" s="209">
        <f t="shared" si="12"/>
        <v>4</v>
      </c>
      <c r="E104" s="45" t="s">
        <v>297</v>
      </c>
      <c r="F104" s="6"/>
    </row>
    <row r="105" spans="2:6" ht="15" customHeight="1" x14ac:dyDescent="0.15">
      <c r="B105" s="80" t="s">
        <v>374</v>
      </c>
      <c r="D105" s="209">
        <f t="shared" si="12"/>
        <v>4</v>
      </c>
      <c r="E105" s="45" t="s">
        <v>297</v>
      </c>
      <c r="F105" s="6"/>
    </row>
    <row r="106" spans="2:6" ht="15" customHeight="1" x14ac:dyDescent="0.15">
      <c r="B106" s="80" t="s">
        <v>375</v>
      </c>
      <c r="D106" s="209">
        <f t="shared" si="12"/>
        <v>4</v>
      </c>
      <c r="E106" s="45" t="s">
        <v>297</v>
      </c>
      <c r="F106" s="6"/>
    </row>
    <row r="107" spans="2:6" ht="15" customHeight="1" x14ac:dyDescent="0.15">
      <c r="B107" s="80" t="s">
        <v>376</v>
      </c>
      <c r="D107" s="209">
        <f t="shared" si="12"/>
        <v>4</v>
      </c>
      <c r="E107" s="45" t="s">
        <v>297</v>
      </c>
      <c r="F107" s="6"/>
    </row>
    <row r="108" spans="2:6" ht="15" customHeight="1" x14ac:dyDescent="0.15">
      <c r="B108" s="80" t="s">
        <v>377</v>
      </c>
      <c r="D108" s="209">
        <f t="shared" si="12"/>
        <v>3</v>
      </c>
      <c r="E108" s="45" t="s">
        <v>299</v>
      </c>
      <c r="F108" s="6"/>
    </row>
    <row r="109" spans="2:6" ht="15" customHeight="1" x14ac:dyDescent="0.15">
      <c r="B109" s="80" t="s">
        <v>378</v>
      </c>
      <c r="D109" s="209">
        <f t="shared" si="12"/>
        <v>4</v>
      </c>
      <c r="E109" s="45" t="s">
        <v>297</v>
      </c>
      <c r="F109" s="6"/>
    </row>
    <row r="110" spans="2:6" ht="15" customHeight="1" x14ac:dyDescent="0.15">
      <c r="B110" s="80" t="s">
        <v>379</v>
      </c>
      <c r="D110" s="209">
        <f t="shared" si="12"/>
        <v>4</v>
      </c>
      <c r="E110" s="45" t="s">
        <v>297</v>
      </c>
      <c r="F110" s="6"/>
    </row>
    <row r="111" spans="2:6" ht="15" customHeight="1" x14ac:dyDescent="0.15">
      <c r="B111" s="80" t="s">
        <v>380</v>
      </c>
      <c r="D111" s="209">
        <f>IF(E111="Strongly disagree",0,IF(E111="disagree",1,IF(E111="non-perishable",2,IF(E111="agree",3,4))))</f>
        <v>3</v>
      </c>
      <c r="E111" s="45" t="s">
        <v>299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382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2022-12-07T15:52:14Z</dcterms:modified>
  <cp:category/>
  <cp:contentStatus/>
</cp:coreProperties>
</file>