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Stock_template\"/>
    </mc:Choice>
  </mc:AlternateContent>
  <xr:revisionPtr revIDLastSave="0" documentId="13_ncr:1_{1FFBDF9D-AE6C-4598-846A-C5B13A162C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F23" i="1"/>
  <c r="I13" i="1"/>
  <c r="E5" i="1"/>
  <c r="G60" i="4"/>
  <c r="F60" i="4"/>
  <c r="D51" i="3"/>
  <c r="F51" i="3"/>
  <c r="D52" i="3"/>
  <c r="E4" i="2"/>
  <c r="D8" i="4"/>
  <c r="E8" i="4"/>
  <c r="E9" i="4"/>
  <c r="E11" i="4"/>
  <c r="E13" i="4"/>
  <c r="E10" i="3"/>
  <c r="G31" i="2"/>
  <c r="H31" i="2"/>
  <c r="I31" i="2"/>
  <c r="J31" i="2"/>
  <c r="K31" i="2"/>
  <c r="L31" i="2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H32" i="2"/>
  <c r="I32" i="2"/>
  <c r="J32" i="2"/>
  <c r="K32" i="2"/>
  <c r="L32" i="2"/>
  <c r="M32" i="2"/>
  <c r="D13" i="4"/>
  <c r="G28" i="2"/>
  <c r="G11" i="2"/>
  <c r="E28" i="2"/>
  <c r="F11" i="2"/>
  <c r="E11" i="2"/>
  <c r="D28" i="2"/>
  <c r="D11" i="2"/>
  <c r="C11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16" i="2" l="1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40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J39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E61" i="5" l="1"/>
  <c r="D61" i="5" s="1"/>
  <c r="D33" i="5"/>
  <c r="E20" i="3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D20" i="3"/>
  <c r="H20" i="3"/>
  <c r="H40" i="2"/>
  <c r="G24" i="4" l="1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<sst xmlns="http://schemas.openxmlformats.org/spreadsheetml/2006/main" count="471" uniqueCount="400">
  <si>
    <t>Company Info:</t>
  </si>
  <si>
    <t>Ticker:</t>
  </si>
  <si>
    <t>1475</t>
  </si>
  <si>
    <t>Listing Location:</t>
  </si>
  <si>
    <t>HK</t>
  </si>
  <si>
    <t>Ticker Name:</t>
  </si>
  <si>
    <t>日清食品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</si>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</sst>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topLeftCell="A9" zoomScale="103" workbookViewId="0">
      <selection activeCell="G20" sqref="G2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284" t="str">
        <f>C3&amp;" : "&amp;C4</f>
        <v>1475 : 日清食品</v>
      </c>
      <c r="D2" s="285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286" t="s">
        <v>2</v>
      </c>
      <c r="D3" s="287"/>
      <c r="E3" s="16"/>
      <c r="G3" s="7" t="s">
        <v>3</v>
      </c>
      <c r="H3" s="291" t="s">
        <v>4</v>
      </c>
      <c r="I3" s="292"/>
    </row>
    <row r="4" spans="1:11" ht="15.75" customHeight="1" x14ac:dyDescent="0.3">
      <c r="B4" s="5" t="s">
        <v>5</v>
      </c>
      <c r="C4" s="288" t="s">
        <v>6</v>
      </c>
      <c r="D4" s="289"/>
      <c r="E4" s="6"/>
      <c r="G4" s="5" t="s">
        <v>7</v>
      </c>
      <c r="H4" s="47">
        <v>6.13</v>
      </c>
      <c r="I4" s="48" t="s">
        <v>8</v>
      </c>
    </row>
    <row r="5" spans="1:11" ht="15.75" customHeight="1" x14ac:dyDescent="0.3">
      <c r="B5" s="5" t="s">
        <v>9</v>
      </c>
      <c r="C5" s="290">
        <v>44789</v>
      </c>
      <c r="D5" s="289"/>
      <c r="E5" s="268" t="str">
        <f ca="1">IF(C5+30&gt;=TODAY(),"Patience Premium","")</f>
        <v/>
      </c>
      <c r="G5" s="5" t="s">
        <v>10</v>
      </c>
      <c r="H5" s="293">
        <v>1043691480</v>
      </c>
      <c r="I5" s="294"/>
    </row>
    <row r="6" spans="1:11" ht="15.75" customHeight="1" x14ac:dyDescent="0.3">
      <c r="B6" s="13" t="s">
        <v>11</v>
      </c>
      <c r="C6" s="299">
        <v>45001</v>
      </c>
      <c r="D6" s="300"/>
      <c r="E6" s="268"/>
      <c r="G6" s="8" t="s">
        <v>12</v>
      </c>
      <c r="H6" s="304">
        <f>H4*H5/1000000</f>
        <v>6397.8287723999993</v>
      </c>
      <c r="I6" s="305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13</v>
      </c>
      <c r="C8" s="205"/>
      <c r="D8" s="13"/>
      <c r="E8" s="6"/>
      <c r="F8" s="6"/>
      <c r="G8" s="24" t="s">
        <v>14</v>
      </c>
      <c r="H8" s="6"/>
      <c r="I8" s="6"/>
    </row>
    <row r="9" spans="1:11" ht="15.75" customHeight="1" x14ac:dyDescent="0.3">
      <c r="B9" s="20" t="s">
        <v>15</v>
      </c>
      <c r="C9" s="266"/>
      <c r="D9" s="49">
        <v>3.5400000000000001E-2</v>
      </c>
      <c r="E9" s="5"/>
      <c r="G9" s="5" t="s">
        <v>16</v>
      </c>
      <c r="H9" s="267">
        <f>IF(Data!F3&lt;=0,"NNI",H4/((Data!F3*H13)/(H5/Data!C4)))</f>
        <v>21.057888600195508</v>
      </c>
      <c r="I9" s="72">
        <f>IF(H9="NNI","NNI",1/H9)</f>
        <v>4.7488141806900606E-2</v>
      </c>
    </row>
    <row r="10" spans="1:11" ht="15.75" customHeight="1" x14ac:dyDescent="0.3">
      <c r="B10" s="20" t="s">
        <v>17</v>
      </c>
      <c r="C10" s="248"/>
      <c r="D10" s="15">
        <v>0.03</v>
      </c>
      <c r="E10" s="5"/>
      <c r="G10" s="5" t="str">
        <f>'FCF Model'!C3&amp;"yrs PEG Ratio:"</f>
        <v>4yrs PEG Ratio:</v>
      </c>
      <c r="H10" s="306">
        <f>IF('FCF Model'!C4&lt;=0,"Negative PEG",IFERROR(H9/('FCF Model'!C4*100),"NNI"))</f>
        <v>1.2064712091392862</v>
      </c>
      <c r="I10" s="307"/>
    </row>
    <row r="11" spans="1:11" ht="15.75" customHeight="1" x14ac:dyDescent="0.3">
      <c r="B11" s="18" t="s">
        <v>18</v>
      </c>
      <c r="C11" s="31"/>
      <c r="D11" s="15">
        <f>IF(D9+D10&lt;6%,6%,D9+D10)</f>
        <v>6.54E-2</v>
      </c>
      <c r="E11" s="14"/>
      <c r="G11" s="5" t="s">
        <v>19</v>
      </c>
      <c r="H11" s="42">
        <f>H4/(Data!C25*H13*Data!C4/Common_Shares)</f>
        <v>1.6209592171150309</v>
      </c>
      <c r="I11" s="43">
        <f>IF('Asset Model'!D53/'FCF Model'!C16&lt;0,"Negative EV",'Asset Model'!D53/'FCF Model'!C16)</f>
        <v>13.307884453656406</v>
      </c>
    </row>
    <row r="12" spans="1:11" ht="15.75" customHeight="1" x14ac:dyDescent="0.3">
      <c r="B12" s="20" t="s">
        <v>20</v>
      </c>
      <c r="C12" s="248"/>
      <c r="D12" s="15">
        <v>4.4999999999999998E-2</v>
      </c>
      <c r="E12" s="5"/>
      <c r="G12" s="7" t="s">
        <v>21</v>
      </c>
      <c r="H12" s="291" t="s">
        <v>8</v>
      </c>
      <c r="I12" s="292"/>
    </row>
    <row r="13" spans="1:11" ht="15.75" customHeight="1" x14ac:dyDescent="0.3">
      <c r="B13" s="21" t="s">
        <v>22</v>
      </c>
      <c r="C13" s="249"/>
      <c r="D13" s="23">
        <f>IF(D9+D12&lt;8%,8%,D9+D12)</f>
        <v>8.0399999999999999E-2</v>
      </c>
      <c r="E13" s="14"/>
      <c r="G13" s="8" t="s">
        <v>23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24</v>
      </c>
      <c r="C15" s="284" t="s">
        <v>25</v>
      </c>
      <c r="D15" s="301"/>
      <c r="E15" s="284" t="s">
        <v>26</v>
      </c>
      <c r="F15" s="301"/>
      <c r="G15" s="13"/>
      <c r="H15" s="13"/>
      <c r="I15" s="8"/>
    </row>
    <row r="16" spans="1:11" ht="15.75" customHeight="1" x14ac:dyDescent="0.3">
      <c r="A16" s="6"/>
      <c r="B16" s="20" t="s">
        <v>27</v>
      </c>
      <c r="C16" s="302">
        <f>'FCF Model'!C63</f>
        <v>6.3092319161500825</v>
      </c>
      <c r="D16" s="303"/>
      <c r="E16" s="302">
        <f>'Asset Model'!D6</f>
        <v>2.1392588128298562</v>
      </c>
      <c r="F16" s="303"/>
      <c r="G16" s="36" t="s">
        <v>28</v>
      </c>
      <c r="H16" s="295">
        <f>C22/E16-1</f>
        <v>1.4774935918057754</v>
      </c>
      <c r="I16" s="296"/>
      <c r="J16" s="6"/>
      <c r="K16" s="6"/>
    </row>
    <row r="17" spans="1:12" ht="15.75" customHeight="1" x14ac:dyDescent="0.3">
      <c r="B17" s="21" t="s">
        <v>29</v>
      </c>
      <c r="C17" s="33">
        <f>'FCF Model'!E63</f>
        <v>21.673589370813456</v>
      </c>
      <c r="D17" s="33">
        <f>'FCF Model'!F63</f>
        <v>1.6683536096900169</v>
      </c>
      <c r="E17" s="33">
        <f>'Asset Model'!H5</f>
        <v>7.34882116925899</v>
      </c>
      <c r="F17" s="33">
        <f>'Asset Model'!H6</f>
        <v>0.56568536548957815</v>
      </c>
      <c r="G17" s="10" t="s">
        <v>30</v>
      </c>
      <c r="H17" s="297">
        <f ca="1">AVERAGE((1-'Qualitative Analysis'!E29),(1-'Qualitative Analysis'!E63),H16)+IF(C5+30&gt;=TODAY(),20%,0)</f>
        <v>0.5480534194908141</v>
      </c>
      <c r="I17" s="298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31</v>
      </c>
      <c r="C19" s="332">
        <v>0.14560000000000001</v>
      </c>
      <c r="D19" s="332"/>
      <c r="E19" s="6"/>
      <c r="F19" s="6"/>
      <c r="G19" s="24" t="s">
        <v>399</v>
      </c>
      <c r="H19" s="283">
        <v>3</v>
      </c>
      <c r="I19" s="283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32</v>
      </c>
      <c r="C21" s="253"/>
      <c r="D21" s="6"/>
      <c r="E21" s="6"/>
      <c r="F21" s="6"/>
      <c r="G21" s="24" t="s">
        <v>33</v>
      </c>
      <c r="H21" s="6"/>
      <c r="I21" s="6"/>
      <c r="J21" s="6"/>
      <c r="K21" s="6"/>
    </row>
    <row r="22" spans="1:12" ht="15.75" customHeight="1" x14ac:dyDescent="0.3">
      <c r="B22" s="26" t="s">
        <v>34</v>
      </c>
      <c r="C22" s="313">
        <v>5.3</v>
      </c>
      <c r="D22" s="314"/>
      <c r="E22" s="278" t="s">
        <v>35</v>
      </c>
      <c r="F22" s="270">
        <f>IF(Data!F3&lt;=0,"NNI",C22/((Data!F3*H13)/(H5/Data!C4)))</f>
        <v>18.206657354165774</v>
      </c>
      <c r="G22" s="44" t="s">
        <v>36</v>
      </c>
      <c r="H22" s="348">
        <f>'FCF Model'!G63</f>
        <v>9.0522805997133693E-2</v>
      </c>
      <c r="I22" s="348"/>
      <c r="J22" s="6"/>
      <c r="L22" s="6"/>
    </row>
    <row r="23" spans="1:12" ht="15.75" customHeight="1" x14ac:dyDescent="0.3">
      <c r="B23" s="36" t="s">
        <v>37</v>
      </c>
      <c r="C23" s="345">
        <f>'FCF Model'!K60</f>
        <v>0.18596024250912602</v>
      </c>
      <c r="D23" s="346"/>
      <c r="E23" s="279" t="s">
        <v>38</v>
      </c>
      <c r="F23" s="33">
        <f>C22/(Data!C25*H13*Data!C4/Common_Shares)</f>
        <v>1.401481867978738</v>
      </c>
      <c r="G23" s="44" t="s">
        <v>39</v>
      </c>
      <c r="H23" s="349">
        <f ca="1">D10+D12*(1+H17)</f>
        <v>9.9662403877086622E-2</v>
      </c>
      <c r="I23" s="349"/>
      <c r="J23" s="6"/>
      <c r="L23" s="6"/>
    </row>
    <row r="24" spans="1:12" ht="15.75" customHeight="1" x14ac:dyDescent="0.3">
      <c r="B24" s="10" t="s">
        <v>40</v>
      </c>
      <c r="C24" s="343">
        <f ca="1">C23-H23</f>
        <v>8.6297838632039395E-2</v>
      </c>
      <c r="D24" s="344"/>
      <c r="E24" s="6"/>
      <c r="F24" s="6"/>
      <c r="G24" s="269" t="s">
        <v>41</v>
      </c>
      <c r="H24" s="337">
        <f ca="1">H22-H23</f>
        <v>-9.1395978799529293E-3</v>
      </c>
      <c r="I24" s="337"/>
      <c r="J24" s="6"/>
      <c r="L24" s="6"/>
    </row>
    <row r="25" spans="1:12" ht="15.75" customHeight="1" x14ac:dyDescent="0.3">
      <c r="B25" s="10" t="s">
        <v>42</v>
      </c>
      <c r="C25" s="333">
        <f>C19/C22</f>
        <v>2.747169811320755E-2</v>
      </c>
      <c r="D25" s="334"/>
      <c r="E25" s="6"/>
      <c r="F25" s="6"/>
      <c r="G25" s="269" t="s">
        <v>43</v>
      </c>
      <c r="H25" s="335">
        <f>C19/H4</f>
        <v>2.3752039151712888E-2</v>
      </c>
      <c r="I25" s="336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44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45</v>
      </c>
      <c r="C28" s="310"/>
      <c r="D28" s="311"/>
      <c r="E28" s="311"/>
      <c r="F28" s="311"/>
      <c r="G28" s="311"/>
      <c r="H28" s="311"/>
      <c r="I28" s="312"/>
      <c r="J28" s="6"/>
    </row>
    <row r="29" spans="1:12" ht="52.5" customHeight="1" x14ac:dyDescent="0.3">
      <c r="A29" s="6"/>
      <c r="B29" s="27" t="s">
        <v>46</v>
      </c>
      <c r="C29" s="315"/>
      <c r="D29" s="316"/>
      <c r="E29" s="316"/>
      <c r="F29" s="316"/>
      <c r="G29" s="315"/>
      <c r="H29" s="316"/>
      <c r="I29" s="316"/>
      <c r="J29" s="6"/>
    </row>
    <row r="30" spans="1:12" ht="52.5" customHeight="1" x14ac:dyDescent="0.3">
      <c r="A30" s="6"/>
      <c r="B30" s="28" t="s">
        <v>47</v>
      </c>
      <c r="C30" s="317"/>
      <c r="D30" s="300"/>
      <c r="E30" s="300"/>
      <c r="F30" s="300"/>
      <c r="G30" s="317"/>
      <c r="H30" s="300"/>
      <c r="I30" s="300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48</v>
      </c>
      <c r="C32" s="25" t="s">
        <v>49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50</v>
      </c>
      <c r="C33" s="320"/>
      <c r="D33" s="321"/>
      <c r="E33" s="320"/>
      <c r="F33" s="321"/>
      <c r="G33" s="256"/>
      <c r="H33" s="347" t="s">
        <v>51</v>
      </c>
      <c r="I33" s="347"/>
      <c r="J33" s="6"/>
    </row>
    <row r="34" spans="2:10" ht="15.75" customHeight="1" x14ac:dyDescent="0.3">
      <c r="B34" s="26" t="s">
        <v>52</v>
      </c>
      <c r="C34" s="342">
        <f>C38/D32</f>
        <v>0</v>
      </c>
      <c r="D34" s="323"/>
      <c r="E34" s="322">
        <f>E38/D32</f>
        <v>0</v>
      </c>
      <c r="F34" s="323"/>
      <c r="G34" s="257">
        <f>G38/D32</f>
        <v>0</v>
      </c>
      <c r="H34" s="338">
        <f>C34+E34+G34</f>
        <v>0</v>
      </c>
      <c r="I34" s="338"/>
      <c r="J34" s="6"/>
    </row>
    <row r="35" spans="2:10" ht="15.75" customHeight="1" x14ac:dyDescent="0.3">
      <c r="B35" s="26" t="s">
        <v>53</v>
      </c>
      <c r="C35" s="318"/>
      <c r="D35" s="316"/>
      <c r="E35" s="318"/>
      <c r="F35" s="316"/>
      <c r="G35" s="255"/>
      <c r="H35" s="339">
        <f>C35+E35+G35</f>
        <v>0</v>
      </c>
      <c r="I35" s="339"/>
      <c r="J35" s="6"/>
    </row>
    <row r="36" spans="2:10" ht="15.75" customHeight="1" x14ac:dyDescent="0.3">
      <c r="B36" s="26" t="s">
        <v>54</v>
      </c>
      <c r="C36" s="319"/>
      <c r="D36" s="316"/>
      <c r="E36" s="319"/>
      <c r="F36" s="316"/>
      <c r="G36" s="258"/>
      <c r="H36" s="340"/>
      <c r="I36" s="340"/>
      <c r="J36" s="6"/>
    </row>
    <row r="37" spans="2:10" ht="15.75" customHeight="1" x14ac:dyDescent="0.3">
      <c r="B37" s="26" t="s">
        <v>55</v>
      </c>
      <c r="C37" s="308">
        <f>C36*$H$5/1000000</f>
        <v>0</v>
      </c>
      <c r="D37" s="309"/>
      <c r="E37" s="308">
        <f>E36*$H$5/1000000</f>
        <v>0</v>
      </c>
      <c r="F37" s="309"/>
      <c r="G37" s="259">
        <f>G36*$H$5/1000000</f>
        <v>0</v>
      </c>
      <c r="H37" s="341"/>
      <c r="I37" s="341"/>
      <c r="J37" s="6"/>
    </row>
    <row r="38" spans="2:10" ht="15.75" customHeight="1" x14ac:dyDescent="0.3">
      <c r="B38" s="2" t="s">
        <v>56</v>
      </c>
      <c r="C38" s="328">
        <f>C35*C36</f>
        <v>0</v>
      </c>
      <c r="D38" s="303"/>
      <c r="E38" s="329">
        <f>E35*E36</f>
        <v>0</v>
      </c>
      <c r="F38" s="330"/>
      <c r="G38" s="260">
        <f>G35*G36</f>
        <v>0</v>
      </c>
      <c r="H38" s="328">
        <f>C38+E38+G38</f>
        <v>0</v>
      </c>
      <c r="I38" s="328"/>
      <c r="J38" s="6"/>
    </row>
    <row r="39" spans="2:10" ht="15.75" customHeight="1" x14ac:dyDescent="0.3">
      <c r="B39" s="1" t="s">
        <v>57</v>
      </c>
      <c r="C39" s="324"/>
      <c r="D39" s="325"/>
      <c r="E39" s="331" t="str">
        <f>IF(C38=0,"-",(C38+E38)/(C35+E35))</f>
        <v>-</v>
      </c>
      <c r="F39" s="323"/>
      <c r="G39" s="250"/>
      <c r="H39" s="253"/>
      <c r="I39" s="35" t="str">
        <f>IF(H38=0,"",H38/H35)</f>
        <v/>
      </c>
      <c r="J39" s="6"/>
    </row>
    <row r="40" spans="2:10" ht="15.75" customHeight="1" x14ac:dyDescent="0.3">
      <c r="B40" s="1" t="s">
        <v>58</v>
      </c>
      <c r="C40" s="326"/>
      <c r="D40" s="327"/>
      <c r="E40" s="308" t="str">
        <f>IF(E39="-","-",E39*$H$5/1000000)</f>
        <v>-</v>
      </c>
      <c r="F40" s="309"/>
      <c r="G40" s="251"/>
      <c r="H40" s="253"/>
      <c r="I40" s="252" t="str">
        <f>IF(I39="","",I39*$H$5/1000000)</f>
        <v/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9:D39"/>
    <mergeCell ref="C40:D40"/>
    <mergeCell ref="E40:F40"/>
    <mergeCell ref="C38:D38"/>
    <mergeCell ref="E38:F38"/>
    <mergeCell ref="E39:F39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C27" sqref="C2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59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60</v>
      </c>
      <c r="C3" s="46">
        <v>2021</v>
      </c>
      <c r="D3" s="6"/>
      <c r="E3" s="57">
        <v>1</v>
      </c>
      <c r="F3" s="58">
        <f t="array" ref="F3">AVERAGE(C18:INDEX(C18:M18,1,E3))</f>
        <v>303821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9.5080759497716549E-2</v>
      </c>
      <c r="K3" s="6"/>
      <c r="L3" s="6"/>
      <c r="M3" s="6"/>
    </row>
    <row r="4" spans="1:14" ht="15.75" customHeight="1" x14ac:dyDescent="0.3">
      <c r="A4" s="9"/>
      <c r="B4" s="5" t="s">
        <v>61</v>
      </c>
      <c r="C4" s="51">
        <v>1000</v>
      </c>
      <c r="D4" s="6"/>
      <c r="E4" s="60">
        <f>E3</f>
        <v>1</v>
      </c>
      <c r="F4" s="61">
        <f>AVERAGE(C16:INDEX(C16:M16,1,E4))</f>
        <v>316717.5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0.17454116136943298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62</v>
      </c>
      <c r="C7" s="51">
        <v>3866335</v>
      </c>
      <c r="D7" s="51">
        <v>3518847</v>
      </c>
      <c r="E7" s="51">
        <v>3087781</v>
      </c>
      <c r="F7" s="51">
        <v>2998828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3">
      <c r="A8" s="9"/>
      <c r="B8" s="67" t="s">
        <v>63</v>
      </c>
      <c r="C8" s="15">
        <f t="shared" ref="C8:L8" si="0">IF(D7="","",C7/D7-1)</f>
        <v>9.8750528227001588E-2</v>
      </c>
      <c r="D8" s="15">
        <f t="shared" si="0"/>
        <v>0.13960381257608612</v>
      </c>
      <c r="E8" s="15">
        <f t="shared" si="0"/>
        <v>2.9662588184450778E-2</v>
      </c>
      <c r="F8" s="15">
        <f t="shared" si="0"/>
        <v>0.11541548727371453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64</v>
      </c>
      <c r="C9" s="51">
        <v>2639016</v>
      </c>
      <c r="D9" s="51">
        <v>2360170</v>
      </c>
      <c r="E9" s="51">
        <v>2074351</v>
      </c>
      <c r="F9" s="51">
        <v>2065429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3">
      <c r="A10" s="9"/>
      <c r="B10" s="67" t="s">
        <v>65</v>
      </c>
      <c r="C10" s="15">
        <f t="shared" ref="C10:M10" si="1">IF(C7="","",(C7-C9)/C7)</f>
        <v>0.31743731466621489</v>
      </c>
      <c r="D10" s="15">
        <f t="shared" si="1"/>
        <v>0.32927745934961083</v>
      </c>
      <c r="E10" s="15">
        <f t="shared" si="1"/>
        <v>0.32820656646310087</v>
      </c>
      <c r="F10" s="15">
        <f t="shared" si="1"/>
        <v>0.31125459679581491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66</v>
      </c>
      <c r="C11" s="51">
        <f>492025+277837+35167</f>
        <v>805029</v>
      </c>
      <c r="D11" s="51">
        <f>471483+243203+69612</f>
        <v>784298</v>
      </c>
      <c r="E11" s="51">
        <f>454958+221909+26488</f>
        <v>703355</v>
      </c>
      <c r="F11" s="51">
        <f>448664+199930+24186</f>
        <v>672780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3">
      <c r="A12" s="9"/>
      <c r="B12" s="67" t="s">
        <v>67</v>
      </c>
      <c r="C12" s="15">
        <f t="shared" ref="C12:M12" si="2">IF(C7="","",C10-C13)</f>
        <v>0.20821501499482065</v>
      </c>
      <c r="D12" s="15">
        <f t="shared" si="2"/>
        <v>0.22288493929971948</v>
      </c>
      <c r="E12" s="15">
        <f t="shared" si="2"/>
        <v>0.22778655610614873</v>
      </c>
      <c r="F12" s="15">
        <f t="shared" si="2"/>
        <v>0.22434764514670399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68</v>
      </c>
      <c r="C13" s="15">
        <f t="shared" ref="C13:M13" si="3">IF(C14="","",C14/C7)</f>
        <v>0.10922229967139423</v>
      </c>
      <c r="D13" s="15">
        <f t="shared" si="3"/>
        <v>0.10639252004989135</v>
      </c>
      <c r="E13" s="15">
        <f t="shared" si="3"/>
        <v>0.10042001035695212</v>
      </c>
      <c r="F13" s="15">
        <f t="shared" si="3"/>
        <v>8.6906951649110914E-2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69</v>
      </c>
      <c r="C14" s="34">
        <f t="shared" ref="C14:M14" si="4">IF(C7="","",C7-C9-C11)</f>
        <v>422290</v>
      </c>
      <c r="D14" s="34">
        <f t="shared" si="4"/>
        <v>374379</v>
      </c>
      <c r="E14" s="34">
        <f t="shared" si="4"/>
        <v>310075</v>
      </c>
      <c r="F14" s="34">
        <f t="shared" si="4"/>
        <v>260619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70</v>
      </c>
      <c r="C15" s="15">
        <f>IF(D14="","",IF(ABS(C14+D14)=ABS(C14)+ABS(D14),IF(C14&lt;0,-1,1)*(C14-D14)/D14,"Turn"))</f>
        <v>0.127974592591999</v>
      </c>
      <c r="D15" s="15">
        <f t="shared" ref="D15:M15" si="5">IF(E14="","",IF(ABS(D14+E14)=ABS(D14)+ABS(E14),IF(D14&lt;0,-1,1)*(D14-E14)/E14,"Turn"))</f>
        <v>0.20738208497944047</v>
      </c>
      <c r="E15" s="15">
        <f t="shared" si="5"/>
        <v>0.18976360127235542</v>
      </c>
      <c r="F15" s="15">
        <f t="shared" si="5"/>
        <v>0.14477793542095854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71</v>
      </c>
      <c r="C16" s="34">
        <f>IF(C14="","",C14*(1-'FCF Model'!$D$17))</f>
        <v>316717.5</v>
      </c>
      <c r="D16" s="34">
        <f>IF(D14="","",D14*(1-'FCF Model'!$D$17))</f>
        <v>280784.25</v>
      </c>
      <c r="E16" s="34">
        <f>IF(E14="","",E14*(1-'FCF Model'!$D$17))</f>
        <v>232556.25</v>
      </c>
      <c r="F16" s="34">
        <f>IF(F14="","",F14*(1-'FCF Model'!$D$17))</f>
        <v>195464.25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72</v>
      </c>
      <c r="C17" s="51">
        <v>365</v>
      </c>
      <c r="D17" s="51">
        <v>116</v>
      </c>
      <c r="E17" s="51">
        <v>64</v>
      </c>
      <c r="F17" s="51">
        <v>0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3">
      <c r="A18" s="9"/>
      <c r="B18" s="67" t="s">
        <v>73</v>
      </c>
      <c r="C18" s="51">
        <v>303821</v>
      </c>
      <c r="D18" s="51">
        <v>301912</v>
      </c>
      <c r="E18" s="51">
        <v>250964</v>
      </c>
      <c r="F18" s="51">
        <v>205448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3">
      <c r="A19" s="9"/>
      <c r="B19" s="67" t="s">
        <v>74</v>
      </c>
      <c r="C19" s="15">
        <f t="shared" ref="C19:M19" si="6">IF(C7="","",C18/C7)</f>
        <v>7.8581136916485508E-2</v>
      </c>
      <c r="D19" s="15">
        <f t="shared" si="6"/>
        <v>8.579855844826445E-2</v>
      </c>
      <c r="E19" s="15">
        <f t="shared" si="6"/>
        <v>8.1276489491968501E-2</v>
      </c>
      <c r="F19" s="15">
        <f t="shared" si="6"/>
        <v>6.8509431017717587E-2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75</v>
      </c>
      <c r="C20" s="68">
        <f>'Asset Model'!C21</f>
        <v>2925507</v>
      </c>
      <c r="D20" s="51">
        <v>3296593</v>
      </c>
      <c r="E20" s="51">
        <v>2995218</v>
      </c>
      <c r="F20" s="51">
        <v>2922746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3">
      <c r="A21" s="9"/>
      <c r="B21" s="67" t="s">
        <v>76</v>
      </c>
      <c r="C21" s="68">
        <f>'Asset Model'!H21</f>
        <v>972761</v>
      </c>
      <c r="D21" s="51">
        <v>1065331</v>
      </c>
      <c r="E21" s="51">
        <v>859227</v>
      </c>
      <c r="F21" s="51">
        <v>796096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3">
      <c r="A22" s="9"/>
      <c r="B22" s="67" t="s">
        <v>77</v>
      </c>
      <c r="C22" s="68">
        <f>'Asset Model'!H10+'Asset Model'!H12</f>
        <v>890177</v>
      </c>
      <c r="D22" s="51">
        <v>7278</v>
      </c>
      <c r="E22" s="51">
        <v>1660</v>
      </c>
      <c r="F22" s="51">
        <v>0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3">
      <c r="A23" s="9"/>
      <c r="B23" s="67" t="s">
        <v>78</v>
      </c>
      <c r="C23" s="68">
        <f>'Asset Model'!H23+'Asset Model'!H24</f>
        <v>2335</v>
      </c>
      <c r="D23" s="51">
        <v>9396</v>
      </c>
      <c r="E23" s="51">
        <v>131</v>
      </c>
      <c r="F23" s="51">
        <v>0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3">
      <c r="A24" s="9"/>
      <c r="B24" s="67" t="s">
        <v>79</v>
      </c>
      <c r="C24" s="34">
        <f t="shared" ref="C24:M24" si="7">IF(C7="","",C22+C23)</f>
        <v>892512</v>
      </c>
      <c r="D24" s="34">
        <f t="shared" si="7"/>
        <v>16674</v>
      </c>
      <c r="E24" s="34">
        <f t="shared" si="7"/>
        <v>1791</v>
      </c>
      <c r="F24" s="34">
        <f t="shared" si="7"/>
        <v>0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80</v>
      </c>
      <c r="C25" s="68">
        <f>'Asset Model'!D3</f>
        <v>3946940</v>
      </c>
      <c r="D25" s="51">
        <v>4043183</v>
      </c>
      <c r="E25" s="51">
        <v>3712318</v>
      </c>
      <c r="F25" s="51">
        <v>3595173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3">
      <c r="A26" s="9"/>
      <c r="B26" s="67" t="s">
        <v>81</v>
      </c>
      <c r="C26" s="68">
        <f>'Asset Model'!C43</f>
        <v>138648</v>
      </c>
      <c r="D26" s="51">
        <v>147504</v>
      </c>
      <c r="E26" s="51">
        <v>122753</v>
      </c>
      <c r="F26" s="51">
        <v>114637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3">
      <c r="A27" s="9"/>
      <c r="B27" s="67" t="s">
        <v>82</v>
      </c>
      <c r="C27" s="68">
        <f>'Asset Model'!D52</f>
        <v>1659687</v>
      </c>
      <c r="D27" s="51">
        <v>1607247</v>
      </c>
      <c r="E27" s="51">
        <v>1505261</v>
      </c>
      <c r="F27" s="51">
        <v>1384707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3">
      <c r="A28" s="9"/>
      <c r="B28" s="67" t="s">
        <v>83</v>
      </c>
      <c r="C28" s="68">
        <f>'Asset Model'!C23+'Asset Model'!C24+'Asset Model'!C27</f>
        <v>1835208</v>
      </c>
      <c r="D28" s="51">
        <f>1515848+165265</f>
        <v>1681113</v>
      </c>
      <c r="E28" s="51">
        <f>1365671+145621</f>
        <v>1511292</v>
      </c>
      <c r="F28" s="51">
        <v>1307820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3">
      <c r="A29" s="9"/>
      <c r="B29" s="67" t="s">
        <v>84</v>
      </c>
      <c r="C29" s="15">
        <f t="shared" ref="C29:M29" si="8">IF(D7="","",(C28-D28)/C28)</f>
        <v>8.3965959171930379E-2</v>
      </c>
      <c r="D29" s="15">
        <f t="shared" si="8"/>
        <v>0.10101700480574477</v>
      </c>
      <c r="E29" s="15">
        <f t="shared" si="8"/>
        <v>0.1346344716970645</v>
      </c>
      <c r="F29" s="15">
        <f t="shared" si="8"/>
        <v>9.5074245691303093E-3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85</v>
      </c>
      <c r="C30" s="34">
        <f>IF(D7="","",(C7-D7)*$D$49)</f>
        <v>22829.961599999999</v>
      </c>
      <c r="D30" s="34">
        <f t="shared" ref="D30:M30" si="9">IF(E7="","",(D7-E7)*$D$49)</f>
        <v>28321.036199999999</v>
      </c>
      <c r="E30" s="34">
        <f t="shared" si="9"/>
        <v>5844.2120999999997</v>
      </c>
      <c r="F30" s="34">
        <f t="shared" si="9"/>
        <v>20386.578599999997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86</v>
      </c>
      <c r="C31" s="34">
        <f t="shared" ref="C31:M31" si="10">IF(D7="","",C28-D28+C30)</f>
        <v>176924.96160000001</v>
      </c>
      <c r="D31" s="34">
        <f t="shared" si="10"/>
        <v>198142.0362</v>
      </c>
      <c r="E31" s="34">
        <f t="shared" si="10"/>
        <v>209316.2121</v>
      </c>
      <c r="F31" s="34">
        <f t="shared" si="10"/>
        <v>32820.578599999993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87</v>
      </c>
      <c r="C32" s="15">
        <f t="shared" ref="C32:M32" si="11">IF(C31="","",C31/C16)</f>
        <v>0.55862073172464421</v>
      </c>
      <c r="D32" s="15">
        <f t="shared" si="11"/>
        <v>0.70567361310329912</v>
      </c>
      <c r="E32" s="15">
        <f t="shared" si="11"/>
        <v>0.9000670250745787</v>
      </c>
      <c r="F32" s="15">
        <f t="shared" si="11"/>
        <v>0.1679109023772889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88</v>
      </c>
      <c r="C33" s="70">
        <f t="shared" ref="C33:M33" si="12">IF(C25="","",C25-C27+C24)</f>
        <v>3179765</v>
      </c>
      <c r="D33" s="70">
        <f t="shared" si="12"/>
        <v>2452610</v>
      </c>
      <c r="E33" s="70">
        <f t="shared" si="12"/>
        <v>2208848</v>
      </c>
      <c r="F33" s="70">
        <f t="shared" si="12"/>
        <v>2210466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90</v>
      </c>
      <c r="C35" s="72">
        <f>IF(C16="","",(C16*$C$4)/(Dashboard!$H$6*1000000))</f>
        <v>4.9503903787845617E-2</v>
      </c>
      <c r="D35" s="72">
        <f>IF(D16="","",(D16*$C$4)/(Dashboard!$H$6*1000000))</f>
        <v>4.3887428061734478E-2</v>
      </c>
      <c r="E35" s="72">
        <f>IF(E16="","",(E16*$C$4)/(Dashboard!$H$6*1000000))</f>
        <v>3.6349245700860143E-2</v>
      </c>
      <c r="F35" s="72">
        <f>IF(F16="","",(F16*$C$4)/(Dashboard!$H$6*1000000))</f>
        <v>3.0551653842820187E-2</v>
      </c>
      <c r="G35" s="72">
        <f>IF(G16="","",(G16*$C$4)/(Dashboard!$H$6*1000000))</f>
        <v>2.6687843028338688E-2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91</v>
      </c>
      <c r="C36" s="73">
        <f>IF(C18="","",(C18*$C$4)/(Dashboard!$H$6*1000000))</f>
        <v>4.7488141806900606E-2</v>
      </c>
      <c r="D36" s="73">
        <f>IF(D18="","",(D18*$C$4)/(Dashboard!$H$6*1000000))</f>
        <v>4.7189759329358323E-2</v>
      </c>
      <c r="E36" s="73">
        <f>IF(E18="","",(E18*$C$4)/(Dashboard!$H$6*1000000))</f>
        <v>3.9226432736469842E-2</v>
      </c>
      <c r="F36" s="73">
        <f>IF(F18="","",(F18*$C$4)/(Dashboard!$H$6*1000000))</f>
        <v>3.2112144183397841E-2</v>
      </c>
      <c r="G36" s="73">
        <f>IF(G18="","",(G18*$C$4)/(Dashboard!$H$6*1000000))</f>
        <v>3.0535828161389514E-2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92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93</v>
      </c>
      <c r="C38" s="72">
        <f t="shared" ref="C38:M38" si="13">IF(C7="","",C16/C7)</f>
        <v>8.1916724753545667E-2</v>
      </c>
      <c r="D38" s="72">
        <f t="shared" si="13"/>
        <v>7.9794390037418506E-2</v>
      </c>
      <c r="E38" s="72">
        <f t="shared" si="13"/>
        <v>7.531500776771409E-2</v>
      </c>
      <c r="F38" s="72">
        <f t="shared" si="13"/>
        <v>6.5180213736833192E-2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94</v>
      </c>
      <c r="C39" s="74">
        <f t="shared" ref="C39:L39" si="14">IF(D33="","",C7/D33)</f>
        <v>1.576416552162798</v>
      </c>
      <c r="D39" s="74">
        <f t="shared" si="14"/>
        <v>1.5930688757216431</v>
      </c>
      <c r="E39" s="74">
        <f t="shared" si="14"/>
        <v>1.3968914247041122</v>
      </c>
      <c r="F39" s="74">
        <f t="shared" si="14"/>
        <v>1.6143431227676348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95</v>
      </c>
      <c r="C40" s="73">
        <f t="shared" ref="C40:L40" si="15">IF(D33="","",C16/D33)</f>
        <v>0.12913488080045341</v>
      </c>
      <c r="D40" s="73">
        <f t="shared" si="15"/>
        <v>0.12711795922580457</v>
      </c>
      <c r="E40" s="73">
        <f t="shared" si="15"/>
        <v>0.10520688850224341</v>
      </c>
      <c r="F40" s="73">
        <f t="shared" si="15"/>
        <v>0.10522322978658118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97</v>
      </c>
      <c r="C42" s="72">
        <f t="shared" ref="C42:M42" si="16">IF(C33="","",C23/C25)</f>
        <v>5.9159754138649186E-4</v>
      </c>
      <c r="D42" s="72">
        <f t="shared" si="16"/>
        <v>2.323911631009529E-3</v>
      </c>
      <c r="E42" s="72">
        <f t="shared" si="16"/>
        <v>3.5287925226233311E-5</v>
      </c>
      <c r="F42" s="72">
        <f t="shared" si="16"/>
        <v>0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98</v>
      </c>
      <c r="C43" s="15">
        <f t="shared" ref="C43:M43" si="17">IF(C33="","",C24/C25)</f>
        <v>0.22612758238027433</v>
      </c>
      <c r="D43" s="15">
        <f t="shared" si="17"/>
        <v>4.1239785584773186E-3</v>
      </c>
      <c r="E43" s="15">
        <f t="shared" si="17"/>
        <v>4.8244789374186155E-4</v>
      </c>
      <c r="F43" s="15">
        <f t="shared" si="17"/>
        <v>0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99</v>
      </c>
      <c r="C44" s="77">
        <f t="shared" ref="C44:M44" si="18">IF(C33="","",IF(C24&lt;=0,"-",C14/C24))</f>
        <v>0.4731476999749023</v>
      </c>
      <c r="D44" s="77">
        <f t="shared" si="18"/>
        <v>22.452860741273838</v>
      </c>
      <c r="E44" s="77">
        <f t="shared" si="18"/>
        <v>173.12953657174762</v>
      </c>
      <c r="F44" s="77" t="str">
        <f t="shared" si="18"/>
        <v>-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100</v>
      </c>
      <c r="C45" s="77">
        <f t="shared" ref="C45:M45" si="19">IF(C31="","",IF(C17&lt;=0,"-",C17/C16))</f>
        <v>1.1524465809435855E-3</v>
      </c>
      <c r="D45" s="77">
        <f t="shared" si="19"/>
        <v>4.1312858538183677E-4</v>
      </c>
      <c r="E45" s="77">
        <f t="shared" si="19"/>
        <v>2.7520223601816763E-4</v>
      </c>
      <c r="F45" s="77" t="str">
        <f t="shared" si="19"/>
        <v>-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101</v>
      </c>
      <c r="C46" s="78">
        <f t="shared" ref="C46:M46" si="20">IF(C33="","",C20/C21)</f>
        <v>3.0074262845652733</v>
      </c>
      <c r="D46" s="78">
        <f t="shared" si="20"/>
        <v>3.0944307449985029</v>
      </c>
      <c r="E46" s="78">
        <f t="shared" si="20"/>
        <v>3.4859449249150689</v>
      </c>
      <c r="F46" s="78">
        <f t="shared" si="20"/>
        <v>3.6713486815660423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102</v>
      </c>
      <c r="C48" s="79"/>
      <c r="D48" s="79"/>
      <c r="E48" s="79"/>
      <c r="F48" s="79"/>
    </row>
    <row r="49" spans="1:6" ht="15.75" customHeight="1" x14ac:dyDescent="0.3">
      <c r="A49" s="9"/>
      <c r="B49" s="6" t="s">
        <v>103</v>
      </c>
      <c r="C49" s="6"/>
      <c r="D49" s="355">
        <v>6.5699999999999995E-2</v>
      </c>
      <c r="E49" s="356"/>
      <c r="F49" s="6"/>
    </row>
    <row r="50" spans="1:6" ht="15" customHeight="1" x14ac:dyDescent="0.3">
      <c r="A50" s="9"/>
      <c r="B50" s="80" t="s">
        <v>104</v>
      </c>
      <c r="C50" s="6"/>
      <c r="D50" s="350" t="s">
        <v>105</v>
      </c>
      <c r="E50" s="316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106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107</v>
      </c>
      <c r="C53" s="85" t="s">
        <v>108</v>
      </c>
      <c r="D53" s="353" t="s">
        <v>109</v>
      </c>
      <c r="E53" s="354"/>
      <c r="F53" s="86" t="s">
        <v>110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111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112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113</v>
      </c>
      <c r="D68" s="96" t="s">
        <v>114</v>
      </c>
      <c r="E68" s="97" t="s">
        <v>115</v>
      </c>
      <c r="F68" s="98" t="s">
        <v>116</v>
      </c>
    </row>
    <row r="69" spans="1:6" ht="15.75" customHeight="1" x14ac:dyDescent="0.3">
      <c r="A69" s="9"/>
      <c r="B69" s="93" t="s">
        <v>117</v>
      </c>
      <c r="C69" s="99">
        <f>C14</f>
        <v>422290</v>
      </c>
      <c r="D69" s="99">
        <f>C69+C54-F66</f>
        <v>422290</v>
      </c>
      <c r="E69" s="80" t="s">
        <v>118</v>
      </c>
      <c r="F69" s="94" t="s">
        <v>119</v>
      </c>
    </row>
    <row r="70" spans="1:6" ht="15.75" customHeight="1" x14ac:dyDescent="0.3">
      <c r="A70" s="9"/>
      <c r="B70" s="93" t="s">
        <v>120</v>
      </c>
      <c r="C70" s="100">
        <f t="shared" ref="C70:D70" si="25">C69/$C$7</f>
        <v>0.10922229967139423</v>
      </c>
      <c r="D70" s="100">
        <f t="shared" si="25"/>
        <v>0.10922229967139423</v>
      </c>
      <c r="E70" s="80" t="s">
        <v>121</v>
      </c>
      <c r="F70" s="94" t="s">
        <v>122</v>
      </c>
    </row>
    <row r="71" spans="1:6" ht="15.75" customHeight="1" x14ac:dyDescent="0.3">
      <c r="A71" s="9"/>
      <c r="B71" s="93" t="s">
        <v>123</v>
      </c>
      <c r="C71" s="99">
        <f>C31</f>
        <v>176924.96160000001</v>
      </c>
      <c r="D71" s="99">
        <f>C71+E65-F66</f>
        <v>176924.96160000001</v>
      </c>
      <c r="E71" s="80" t="s">
        <v>124</v>
      </c>
      <c r="F71" s="94" t="s">
        <v>125</v>
      </c>
    </row>
    <row r="72" spans="1:6" ht="15.75" customHeight="1" x14ac:dyDescent="0.3">
      <c r="A72" s="9"/>
      <c r="B72" s="93" t="s">
        <v>126</v>
      </c>
      <c r="C72" s="99">
        <f>C16</f>
        <v>316717.5</v>
      </c>
      <c r="D72" s="99">
        <f>C72+C55</f>
        <v>316717.5</v>
      </c>
      <c r="E72" s="80" t="s">
        <v>127</v>
      </c>
      <c r="F72" s="94" t="s">
        <v>128</v>
      </c>
    </row>
    <row r="73" spans="1:6" ht="15.75" customHeight="1" x14ac:dyDescent="0.3">
      <c r="A73" s="9"/>
      <c r="B73" s="93" t="s">
        <v>129</v>
      </c>
      <c r="C73" s="99">
        <f>F3</f>
        <v>303821</v>
      </c>
      <c r="D73" s="99">
        <f>C73+C54-F66</f>
        <v>303821</v>
      </c>
      <c r="E73" s="80" t="s">
        <v>130</v>
      </c>
      <c r="F73" s="94" t="s">
        <v>128</v>
      </c>
    </row>
    <row r="74" spans="1:6" ht="15.75" customHeight="1" x14ac:dyDescent="0.3">
      <c r="A74" s="9"/>
      <c r="B74" s="101" t="s">
        <v>131</v>
      </c>
      <c r="C74" s="102">
        <f>C33</f>
        <v>3179765</v>
      </c>
      <c r="D74" s="102">
        <f>C74+E65</f>
        <v>3179765</v>
      </c>
      <c r="E74" s="8" t="s">
        <v>132</v>
      </c>
      <c r="F74" s="103" t="s">
        <v>128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133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134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6" t="s">
        <v>135</v>
      </c>
      <c r="H4" s="6"/>
    </row>
    <row r="5" spans="1:9" ht="15" customHeight="1" x14ac:dyDescent="0.3">
      <c r="B5" s="107" t="s">
        <v>136</v>
      </c>
      <c r="C5" s="6"/>
      <c r="D5" s="108">
        <f>E39-H39-E43</f>
        <v>2232726.1964654354</v>
      </c>
      <c r="E5" s="15">
        <f>1-D5/D3</f>
        <v>0.43431463451042185</v>
      </c>
      <c r="F5" s="6"/>
      <c r="G5" s="109" t="s">
        <v>137</v>
      </c>
      <c r="H5" s="30">
        <f>IF(Data!F3&lt;=0,"NNI",D6/((Data!F3*Dashboard!H13)/(Dashboard!H5/Data!C4)))</f>
        <v>7.34882116925899</v>
      </c>
      <c r="I5" s="6"/>
    </row>
    <row r="6" spans="1:9" ht="15" customHeight="1" x14ac:dyDescent="0.3">
      <c r="B6" s="80" t="s">
        <v>138</v>
      </c>
      <c r="D6" s="110">
        <f>(D5*Dashboard!H13*Data!C4)/Dashboard!H5</f>
        <v>2.1392588128298562</v>
      </c>
      <c r="E6" s="111"/>
      <c r="G6" s="109" t="s">
        <v>139</v>
      </c>
      <c r="H6" s="30">
        <f>D6/(Data!C25*Dashboard!H13*Data!C4/Common_Shares)</f>
        <v>0.56568536548957815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140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141</v>
      </c>
      <c r="C9" s="26" t="s">
        <v>142</v>
      </c>
      <c r="D9" s="26" t="s">
        <v>143</v>
      </c>
      <c r="E9" s="26" t="s">
        <v>144</v>
      </c>
      <c r="F9" s="6"/>
      <c r="G9" s="112" t="s">
        <v>145</v>
      </c>
      <c r="H9" s="26" t="s">
        <v>142</v>
      </c>
    </row>
    <row r="10" spans="1:9" ht="15" customHeight="1" x14ac:dyDescent="0.3">
      <c r="B10" s="5" t="s">
        <v>146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147</v>
      </c>
      <c r="H10" s="113">
        <v>0</v>
      </c>
      <c r="I10" s="6"/>
    </row>
    <row r="11" spans="1:9" ht="14" x14ac:dyDescent="0.3">
      <c r="B11" s="5" t="s">
        <v>148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149</v>
      </c>
      <c r="H11" s="113">
        <v>7353</v>
      </c>
      <c r="I11" s="6"/>
    </row>
    <row r="12" spans="1:9" ht="14" x14ac:dyDescent="0.3">
      <c r="B12" s="5" t="s">
        <v>150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151</v>
      </c>
      <c r="H12" s="113">
        <v>890177</v>
      </c>
      <c r="I12" s="6"/>
    </row>
    <row r="13" spans="1:9" ht="14" x14ac:dyDescent="0.3">
      <c r="B13" s="5" t="s">
        <v>152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153</v>
      </c>
      <c r="H13" s="113">
        <v>0</v>
      </c>
      <c r="I13" s="6"/>
    </row>
    <row r="14" spans="1:9" ht="14" x14ac:dyDescent="0.3">
      <c r="B14" s="5" t="s">
        <v>154</v>
      </c>
      <c r="C14" s="113">
        <v>0</v>
      </c>
      <c r="D14" s="114">
        <v>0.8</v>
      </c>
      <c r="E14" s="34">
        <f t="shared" si="0"/>
        <v>0</v>
      </c>
      <c r="F14" s="6"/>
      <c r="G14" s="5" t="s">
        <v>155</v>
      </c>
      <c r="H14" s="113">
        <v>28197</v>
      </c>
      <c r="I14" s="6"/>
    </row>
    <row r="15" spans="1:9" ht="14" x14ac:dyDescent="0.3">
      <c r="B15" s="5" t="s">
        <v>156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157</v>
      </c>
      <c r="H15" s="113">
        <v>47034</v>
      </c>
      <c r="I15" s="6"/>
    </row>
    <row r="16" spans="1:9" ht="14" x14ac:dyDescent="0.3">
      <c r="B16" s="5" t="s">
        <v>158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159</v>
      </c>
      <c r="H16" s="113">
        <v>0</v>
      </c>
      <c r="I16" s="6"/>
    </row>
    <row r="17" spans="2:9" ht="14" x14ac:dyDescent="0.3">
      <c r="B17" s="5" t="s">
        <v>160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161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162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3">
      <c r="B20" s="115" t="s">
        <v>163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164</v>
      </c>
      <c r="H20" s="119">
        <f t="shared" si="2"/>
        <v>2.321566859691127</v>
      </c>
      <c r="I20" s="14"/>
    </row>
    <row r="21" spans="2:9" ht="15" customHeight="1" x14ac:dyDescent="0.3">
      <c r="B21" s="5" t="s">
        <v>165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76</v>
      </c>
      <c r="H21" s="116">
        <f>SUM(H10:H16)</f>
        <v>972761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166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167</v>
      </c>
      <c r="H23" s="113">
        <v>0</v>
      </c>
      <c r="I23" s="6"/>
    </row>
    <row r="24" spans="2:9" ht="15" customHeight="1" x14ac:dyDescent="0.3">
      <c r="B24" s="5" t="s">
        <v>168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169</v>
      </c>
      <c r="H24" s="113">
        <v>2335</v>
      </c>
      <c r="I24" s="6"/>
    </row>
    <row r="25" spans="2:9" ht="15" customHeight="1" x14ac:dyDescent="0.3">
      <c r="B25" s="5" t="s">
        <v>170</v>
      </c>
      <c r="C25" s="113">
        <v>0</v>
      </c>
      <c r="D25" s="114">
        <v>0.85</v>
      </c>
      <c r="E25" s="34">
        <f t="shared" si="3"/>
        <v>0</v>
      </c>
      <c r="F25" s="6"/>
      <c r="G25" s="5" t="s">
        <v>171</v>
      </c>
      <c r="H25" s="113">
        <v>0</v>
      </c>
      <c r="I25" s="6"/>
    </row>
    <row r="26" spans="2:9" ht="15" customHeight="1" x14ac:dyDescent="0.3">
      <c r="B26" s="5" t="s">
        <v>172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173</v>
      </c>
      <c r="H26" s="113">
        <v>0</v>
      </c>
      <c r="I26" s="6"/>
    </row>
    <row r="27" spans="2:9" ht="14" x14ac:dyDescent="0.3">
      <c r="B27" s="5" t="s">
        <v>174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175</v>
      </c>
      <c r="H27" s="113">
        <v>61106</v>
      </c>
      <c r="I27" s="6"/>
    </row>
    <row r="28" spans="2:9" ht="14" x14ac:dyDescent="0.3">
      <c r="B28" s="5" t="s">
        <v>176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177</v>
      </c>
      <c r="H28" s="113">
        <v>18749</v>
      </c>
      <c r="I28" s="6"/>
    </row>
    <row r="29" spans="2:9" ht="14" x14ac:dyDescent="0.3">
      <c r="B29" s="5" t="s">
        <v>178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179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3">
      <c r="B31" s="5" t="s">
        <v>180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3">
      <c r="B32" s="5" t="s">
        <v>181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3">
      <c r="B33" s="5" t="s">
        <v>182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183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184</v>
      </c>
      <c r="H35" s="11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185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186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3">
      <c r="B38" s="115" t="s">
        <v>187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188</v>
      </c>
      <c r="H38" s="119">
        <f>E38/$H$39</f>
        <v>1.655323043439932</v>
      </c>
      <c r="I38" s="6"/>
    </row>
    <row r="39" spans="2:9" ht="15" customHeight="1" x14ac:dyDescent="0.3">
      <c r="B39" s="5" t="s">
        <v>189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190</v>
      </c>
      <c r="H39" s="12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191</v>
      </c>
      <c r="C41" s="24"/>
      <c r="D41" s="79"/>
    </row>
    <row r="42" spans="2:9" ht="14" x14ac:dyDescent="0.3">
      <c r="B42" s="121" t="s">
        <v>192</v>
      </c>
      <c r="C42" s="5"/>
      <c r="D42" s="359"/>
      <c r="E42" s="359"/>
    </row>
    <row r="43" spans="2:9" ht="14" x14ac:dyDescent="0.3">
      <c r="B43" s="5" t="s">
        <v>193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224742.75353456481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194</v>
      </c>
      <c r="C45" s="5"/>
      <c r="D45" s="359"/>
      <c r="E45" s="359"/>
      <c r="F45" s="80"/>
    </row>
    <row r="46" spans="2:9" ht="14" x14ac:dyDescent="0.3">
      <c r="B46" s="107" t="s">
        <v>195</v>
      </c>
      <c r="C46" s="6"/>
      <c r="D46" s="360">
        <v>0</v>
      </c>
      <c r="E46" s="316"/>
      <c r="F46" s="5"/>
    </row>
    <row r="47" spans="2:9" ht="14" x14ac:dyDescent="0.3">
      <c r="B47" s="107" t="s">
        <v>196</v>
      </c>
      <c r="C47" s="6"/>
      <c r="D47" s="360">
        <v>0</v>
      </c>
      <c r="E47" s="316"/>
      <c r="F47" s="6" t="s">
        <v>197</v>
      </c>
    </row>
    <row r="48" spans="2:9" ht="12.65" customHeight="1" x14ac:dyDescent="0.3">
      <c r="B48" s="80" t="s">
        <v>198</v>
      </c>
      <c r="C48" s="6"/>
      <c r="D48" s="339">
        <f>Data!C24+D46+D47</f>
        <v>892512</v>
      </c>
      <c r="E48" s="357"/>
      <c r="F48" s="5" t="s">
        <v>199</v>
      </c>
    </row>
    <row r="49" spans="2:7" ht="15" customHeight="1" x14ac:dyDescent="0.3">
      <c r="D49" s="6"/>
      <c r="E49" s="6"/>
    </row>
    <row r="50" spans="2:7" ht="14" x14ac:dyDescent="0.3">
      <c r="B50" s="5" t="s">
        <v>200</v>
      </c>
      <c r="C50" s="5"/>
      <c r="D50" s="359"/>
      <c r="E50" s="359"/>
      <c r="F50" s="20" t="s">
        <v>201</v>
      </c>
    </row>
    <row r="51" spans="2:7" ht="15" customHeight="1" x14ac:dyDescent="0.3">
      <c r="B51" s="80" t="s">
        <v>202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3">
      <c r="B52" s="80" t="s">
        <v>146</v>
      </c>
      <c r="C52" s="6"/>
      <c r="D52" s="339">
        <f>C10+C32</f>
        <v>1659687</v>
      </c>
      <c r="E52" s="357"/>
      <c r="F52" s="6"/>
    </row>
    <row r="53" spans="2:7" ht="14" x14ac:dyDescent="0.3">
      <c r="B53" s="80" t="s">
        <v>203</v>
      </c>
      <c r="C53" s="6"/>
      <c r="D53" s="339">
        <f>((Dashboard!H6*1000)+D48+E43-(C12+C25+C28+C29)-D52)</f>
        <v>5619786.5259345639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204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205</v>
      </c>
      <c r="C3" s="124">
        <v>4</v>
      </c>
      <c r="D3" s="125" t="str">
        <f>IF(E7="","next 1 years","next 3 years")</f>
        <v>next 1 years</v>
      </c>
      <c r="E3" s="125" t="s">
        <v>206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70</v>
      </c>
      <c r="C4" s="127">
        <f>Data!J4</f>
        <v>0.17454116136943298</v>
      </c>
      <c r="D4" s="128">
        <f>IF(E7="",D16/C16-1,(G16/C16)^(1/4)-1)</f>
        <v>1.5350873087214056E-2</v>
      </c>
      <c r="E4" s="127">
        <f>IF(Dashboard!D9&gt;5%,5%,IF(Dashboard!D9&lt;3.5%,3.5%,Dashboard!D9))</f>
        <v>3.5400000000000001E-2</v>
      </c>
      <c r="F4" s="129" t="s">
        <v>207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208</v>
      </c>
      <c r="I6" s="131" t="s">
        <v>209</v>
      </c>
    </row>
    <row r="7" spans="1:13" ht="15.75" customHeight="1" x14ac:dyDescent="0.3">
      <c r="B7" s="5" t="s">
        <v>210</v>
      </c>
      <c r="C7" s="59">
        <f>Data!C8</f>
        <v>9.8750528227001588E-2</v>
      </c>
      <c r="D7" s="132">
        <f>D8/C8-1</f>
        <v>5.1711245921525206E-2</v>
      </c>
      <c r="E7" s="133"/>
      <c r="F7" s="236"/>
      <c r="G7" s="224"/>
      <c r="H7" s="6"/>
      <c r="I7" s="134"/>
    </row>
    <row r="8" spans="1:13" ht="15.75" customHeight="1" x14ac:dyDescent="0.3">
      <c r="B8" s="5" t="s">
        <v>211</v>
      </c>
      <c r="C8" s="135">
        <f>Data!C7</f>
        <v>3866335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3">
      <c r="B9" s="8" t="s">
        <v>212</v>
      </c>
      <c r="C9" s="70">
        <f>Data!C9</f>
        <v>2639016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3">
      <c r="B10" s="137" t="s">
        <v>213</v>
      </c>
      <c r="C10" s="59">
        <f>Data!C10</f>
        <v>0.31743731466621489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3">
      <c r="B11" s="5" t="s">
        <v>214</v>
      </c>
      <c r="C11" s="34">
        <f t="shared" ref="C11" si="0">C8-C9</f>
        <v>1227319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3">
      <c r="B12" s="137" t="s">
        <v>67</v>
      </c>
      <c r="C12" s="62">
        <f>Data!C12</f>
        <v>0.20821501499482065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3">
      <c r="B13" s="8" t="s">
        <v>215</v>
      </c>
      <c r="C13" s="141">
        <f>Data!C11</f>
        <v>805029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3">
      <c r="B14" s="137" t="s">
        <v>216</v>
      </c>
      <c r="C14" s="19">
        <f>Data!C13</f>
        <v>0.10922229967139423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217</v>
      </c>
      <c r="C15" s="15">
        <f>Data!C15</f>
        <v>0.127974592591999</v>
      </c>
      <c r="D15" s="139">
        <f>IF(ABS(C16+D16)=ABS(C16)+ABS(D16),IF(D16&lt;0,-1,1)*(D16-C16)/C16,"Turn")</f>
        <v>1.5350873087214114E-2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218</v>
      </c>
      <c r="K15" s="146"/>
      <c r="M15" s="146"/>
    </row>
    <row r="16" spans="1:13" ht="15.75" customHeight="1" x14ac:dyDescent="0.3">
      <c r="B16" s="5" t="s">
        <v>69</v>
      </c>
      <c r="C16" s="34">
        <f>IF(Data!D50="No",Data!C69,Data!D69)</f>
        <v>422290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3">
      <c r="B17" s="21" t="s">
        <v>219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126</v>
      </c>
      <c r="C18" s="149">
        <f>IF(Data!D50="No",Data!C72,Data!D72)</f>
        <v>316717.5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3">
      <c r="B19" s="18" t="s">
        <v>220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221</v>
      </c>
      <c r="K19" s="105"/>
      <c r="M19" s="105"/>
    </row>
    <row r="20" spans="2:13" ht="15.75" customHeight="1" x14ac:dyDescent="0.3">
      <c r="B20" s="18" t="s">
        <v>87</v>
      </c>
      <c r="C20" s="15">
        <f t="shared" ref="C20" si="1">C21/C18</f>
        <v>0.55862073172464421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222</v>
      </c>
    </row>
    <row r="21" spans="2:13" ht="15" customHeight="1" thickBot="1" x14ac:dyDescent="0.35">
      <c r="B21" s="153" t="s">
        <v>123</v>
      </c>
      <c r="C21" s="154">
        <f>IF(Data!D50="No",Data!C71,Data!D71)</f>
        <v>176924.96160000001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223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3">
      <c r="B23" s="18" t="s">
        <v>224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225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3">
      <c r="B25" s="8" t="s">
        <v>226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227</v>
      </c>
      <c r="C27" s="134" t="s">
        <v>228</v>
      </c>
      <c r="G27" s="6"/>
    </row>
    <row r="28" spans="2:13" ht="15.75" customHeight="1" x14ac:dyDescent="0.3">
      <c r="B28" s="3" t="s">
        <v>229</v>
      </c>
      <c r="C28" s="163">
        <f>IF(OR(E15="",F15=""),D16,E16)*(1+G15)</f>
        <v>443951.06741093809</v>
      </c>
      <c r="E28" s="6" t="s">
        <v>230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231</v>
      </c>
      <c r="C29" s="164">
        <f>(C28*(1-G17))/F28</f>
        <v>4141334.5840572589</v>
      </c>
      <c r="G29" s="6"/>
    </row>
    <row r="30" spans="2:13" ht="15.75" customHeight="1" thickTop="1" x14ac:dyDescent="0.3">
      <c r="B30" s="107" t="s">
        <v>232</v>
      </c>
      <c r="C30" s="163">
        <f>C29/(IF(OR(E15="",F15=""),D24,E24)*(1+G23))</f>
        <v>3597849.9853189518</v>
      </c>
      <c r="G30" s="6"/>
    </row>
    <row r="31" spans="2:13" ht="15.75" customHeight="1" x14ac:dyDescent="0.3">
      <c r="B31" s="107" t="s">
        <v>233</v>
      </c>
      <c r="C31" s="163">
        <f>IF(OR(E15="",F15=""),D18*0.5/D24,D25+E25)</f>
        <v>150919.55610427997</v>
      </c>
    </row>
    <row r="32" spans="2:13" ht="15.75" customHeight="1" x14ac:dyDescent="0.3">
      <c r="B32" s="107" t="s">
        <v>234</v>
      </c>
      <c r="C32" s="163">
        <f>'Asset Model'!D51</f>
        <v>168341.3</v>
      </c>
    </row>
    <row r="33" spans="2:13" ht="15.75" customHeight="1" x14ac:dyDescent="0.3">
      <c r="B33" s="107" t="s">
        <v>235</v>
      </c>
      <c r="C33" s="163">
        <f>Data!C27</f>
        <v>1659687</v>
      </c>
    </row>
    <row r="34" spans="2:13" ht="15.75" customHeight="1" x14ac:dyDescent="0.3">
      <c r="B34" s="80" t="s">
        <v>236</v>
      </c>
      <c r="C34" s="163">
        <f>'Asset Model'!D48</f>
        <v>892512</v>
      </c>
    </row>
    <row r="35" spans="2:13" ht="15.75" customHeight="1" thickBot="1" x14ac:dyDescent="0.35">
      <c r="B35" s="165" t="s">
        <v>237</v>
      </c>
      <c r="C35" s="163">
        <f>'Asset Model'!E43</f>
        <v>224742.75353456481</v>
      </c>
    </row>
    <row r="36" spans="2:13" ht="15.75" customHeight="1" thickTop="1" x14ac:dyDescent="0.3">
      <c r="B36" s="5" t="s">
        <v>238</v>
      </c>
      <c r="C36" s="166">
        <f>C30+C31+(C32+C33-C34-C35)</f>
        <v>4459543.0878886674</v>
      </c>
      <c r="D36" s="167" t="str">
        <f>Dashboard!H12</f>
        <v>HKD</v>
      </c>
      <c r="E36" s="6"/>
    </row>
    <row r="37" spans="2:13" ht="15.75" customHeight="1" x14ac:dyDescent="0.3">
      <c r="B37" s="5" t="s">
        <v>239</v>
      </c>
      <c r="C37" s="168">
        <f>C36*Data!C4/Common_Shares*Exchange_Rate</f>
        <v>4.2728556985908011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240</v>
      </c>
      <c r="C39" s="169"/>
      <c r="D39" s="26"/>
      <c r="E39" s="170"/>
      <c r="F39" s="171"/>
    </row>
    <row r="40" spans="2:13" ht="15.75" customHeight="1" x14ac:dyDescent="0.3">
      <c r="B40" s="3" t="s">
        <v>229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35">
      <c r="B41" s="80" t="s">
        <v>231</v>
      </c>
      <c r="C41" s="164">
        <f>G22/(G23-G15)</f>
        <v>4141334.584057258</v>
      </c>
      <c r="D41" s="172"/>
      <c r="E41" s="6" t="s">
        <v>230</v>
      </c>
      <c r="F41" s="15">
        <f>G18/C41</f>
        <v>8.0400000000000013E-2</v>
      </c>
      <c r="G41" s="6"/>
      <c r="M41" s="1"/>
    </row>
    <row r="42" spans="2:13" ht="15.75" customHeight="1" thickTop="1" x14ac:dyDescent="0.3">
      <c r="B42" s="107" t="s">
        <v>232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233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238</v>
      </c>
      <c r="C44" s="166">
        <f>C43+C42+(C32+C33-C34-C35)</f>
        <v>4477563.3333936548</v>
      </c>
      <c r="D44" s="167" t="str">
        <f>Dashboard!H12</f>
        <v>HKD</v>
      </c>
      <c r="E44" s="170" t="s">
        <v>137</v>
      </c>
      <c r="F44" s="30">
        <f>IF(Data!F3&lt;=0,"NNI",C45/((Data!F3*Exchange_Rate)/(Common_Shares/Data!C4)))</f>
        <v>14.737504429890146</v>
      </c>
      <c r="G44" s="6"/>
      <c r="H44" s="176"/>
      <c r="I44" s="6"/>
    </row>
    <row r="45" spans="2:13" ht="15.75" customHeight="1" x14ac:dyDescent="0.3">
      <c r="B45" s="5" t="s">
        <v>239</v>
      </c>
      <c r="C45" s="168">
        <f>C44*Data!C4/Common_Shares*Exchange_Rate</f>
        <v>4.2901215725107331</v>
      </c>
      <c r="D45" s="76" t="str">
        <f>Dashboard!I4</f>
        <v>HKD</v>
      </c>
      <c r="E45" s="170" t="s">
        <v>139</v>
      </c>
      <c r="F45" s="30">
        <f>C45/(Data!C25*Exchange_Rate*Data!C4/Common_Shares)</f>
        <v>1.1344391689241931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241</v>
      </c>
      <c r="D47" s="32" t="s">
        <v>242</v>
      </c>
      <c r="E47" s="178" t="s">
        <v>243</v>
      </c>
      <c r="F47" s="179" t="s">
        <v>244</v>
      </c>
      <c r="G47" s="178" t="s">
        <v>245</v>
      </c>
      <c r="I47" s="180" t="s">
        <v>209</v>
      </c>
    </row>
    <row r="48" spans="2:13" ht="15.75" hidden="1" customHeight="1" x14ac:dyDescent="0.3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3">
      <c r="B49" s="3" t="s">
        <v>246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4.2901215725107331</v>
      </c>
      <c r="G49" s="187">
        <f>IF(Data!F$3&lt;=0,"NNI",F49/((Data!F$3*Exchange_Rate)/(Common_Shares/Data!C$4)))</f>
        <v>14.737504429890146</v>
      </c>
      <c r="I49" s="134" t="s">
        <v>247</v>
      </c>
    </row>
    <row r="50" spans="1:12" ht="15.75" customHeight="1" x14ac:dyDescent="0.3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4.6541860138006408</v>
      </c>
      <c r="G50" s="188">
        <f>IF(Data!F$3&lt;=0,"NNI",F50/((Data!F$3*Exchange_Rate)/(Common_Shares/Data!C$4)))</f>
        <v>15.98814528600357</v>
      </c>
      <c r="I50" s="134"/>
    </row>
    <row r="51" spans="1:12" ht="15.75" customHeight="1" x14ac:dyDescent="0.3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5.4291603606290346</v>
      </c>
      <c r="G51" s="188">
        <f>IF(Data!F$3&lt;=0,"NNI",F51/((Data!F$3*Exchange_Rate)/(Common_Shares/Data!C$4)))</f>
        <v>18.650351397507908</v>
      </c>
      <c r="I51" s="134"/>
    </row>
    <row r="52" spans="1:12" ht="15.75" customHeight="1" x14ac:dyDescent="0.3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6.4564571931203014</v>
      </c>
      <c r="G52" s="188">
        <f>IF(Data!F$3&lt;=0,"NNI",F52/((Data!F$3*Exchange_Rate)/(Common_Shares/Data!C$4)))</f>
        <v>22.179340346600046</v>
      </c>
      <c r="I52" s="134" t="s">
        <v>248</v>
      </c>
    </row>
    <row r="53" spans="1:12" ht="15.75" customHeight="1" x14ac:dyDescent="0.3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7.2180563405280385</v>
      </c>
      <c r="G53" s="188">
        <f>IF(Data!F$3&lt;=0,"NNI",F53/((Data!F$3*Exchange_Rate)/(Common_Shares/Data!C$4)))</f>
        <v>24.795599727369378</v>
      </c>
      <c r="I53" s="134"/>
    </row>
    <row r="54" spans="1:12" ht="15.75" customHeight="1" x14ac:dyDescent="0.3">
      <c r="B54" s="3" t="s">
        <v>249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7.4418794499633529</v>
      </c>
      <c r="G54" s="190">
        <f>IF(Data!F$3&lt;=0,"NNI",F54/((Data!F$3*Exchange_Rate)/(Common_Shares/Data!C$4)))</f>
        <v>25.564480984243477</v>
      </c>
      <c r="I54" s="13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24</v>
      </c>
      <c r="C56" s="32" t="s">
        <v>247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250</v>
      </c>
      <c r="C57" s="195">
        <f>C37</f>
        <v>4.2728556985908011</v>
      </c>
      <c r="D57" s="26" t="str">
        <f>IF(C57&lt;E57,"&lt;",IF(C57=E57,"=","&gt;"))</f>
        <v>&lt;</v>
      </c>
      <c r="E57" s="196">
        <f>F54</f>
        <v>7.4418794499633529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251</v>
      </c>
      <c r="K58" s="276">
        <f>IRR(C60:G60)</f>
        <v>9.0522805997133693E-2</v>
      </c>
    </row>
    <row r="59" spans="1:12" ht="15.75" hidden="1" customHeight="1" x14ac:dyDescent="0.3">
      <c r="B59" s="3" t="s">
        <v>252</v>
      </c>
      <c r="C59" s="44" t="s">
        <v>253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254</v>
      </c>
      <c r="J59" s="277">
        <f>-Dashboard!H4+(C32+C33-C34-C35)/(Dashboard!H5/Data!C4)</f>
        <v>-5.4489811739524452</v>
      </c>
      <c r="K59" s="276">
        <f t="dataTable" ref="K59:K60" dt2D="0" dtr="0" r1="C60" ca="1"/>
        <v>9.0522805997133693E-2</v>
      </c>
    </row>
    <row r="60" spans="1:12" ht="15.75" hidden="1" customHeight="1" x14ac:dyDescent="0.3">
      <c r="B60" s="6"/>
      <c r="C60" s="186">
        <f>J59</f>
        <v>-5.4489811739524452</v>
      </c>
      <c r="D60" s="186">
        <f>D22/(Dashboard!H5/Data!C4)</f>
        <v>0.17245370694653439</v>
      </c>
      <c r="E60" s="186">
        <f>IF(E7="",I60,E22)/(Dashboard!H5/Data!C4)</f>
        <v>6.2920816185962938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6566991.9767935611</v>
      </c>
      <c r="J60" s="277">
        <f>-Dashboard!C22+(C32+C33-C34-C35)/(Dashboard!H5/Data!C4)</f>
        <v>-4.6189811739524451</v>
      </c>
      <c r="K60" s="276">
        <v>0.18596024250912602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284" t="s">
        <v>255</v>
      </c>
      <c r="D62" s="364"/>
      <c r="E62" s="44" t="s">
        <v>256</v>
      </c>
      <c r="F62" s="44" t="s">
        <v>257</v>
      </c>
      <c r="G62" s="44" t="s">
        <v>258</v>
      </c>
      <c r="H62" s="6"/>
    </row>
    <row r="63" spans="1:12" ht="15.75" customHeight="1" x14ac:dyDescent="0.3">
      <c r="B63" s="6" t="s">
        <v>259</v>
      </c>
      <c r="C63" s="197">
        <f>MIN(C57,E57)+(ABS(C57-E57)*'Qualitative Analysis'!E56)</f>
        <v>6.3092319161500825</v>
      </c>
      <c r="D63" s="262" t="str">
        <f>D45</f>
        <v>HKD</v>
      </c>
      <c r="E63" s="263">
        <f>IF(Data!F3&lt;=0,"NNI",C63/((Data!F3*Exchange_Rate)/(Common_Shares/Data!C4)))</f>
        <v>21.673589370813456</v>
      </c>
      <c r="F63" s="263">
        <f>C63/(Data!C25*Exchange_Rate*Data!C4/Common_Shares)</f>
        <v>1.6683536096900169</v>
      </c>
      <c r="G63" s="273">
        <f>IRR(C60:G60)</f>
        <v>9.0522805997133693E-2</v>
      </c>
      <c r="H63" s="6"/>
      <c r="I63" s="134" t="s">
        <v>260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6" x14ac:dyDescent="0.3">
      <c r="A2" s="4"/>
      <c r="B2" s="12" t="s">
        <v>261</v>
      </c>
      <c r="C2" s="199"/>
      <c r="D2" s="8"/>
      <c r="E2" s="8"/>
    </row>
    <row r="3" spans="1:6" ht="15" customHeight="1" x14ac:dyDescent="0.3">
      <c r="B3" s="5" t="s">
        <v>262</v>
      </c>
      <c r="C3" s="5"/>
      <c r="D3" s="200">
        <f t="shared" ref="D3:D6" si="0">IF(LEFT(E3,1)="H",1,IF(LEFT(E3,1)="C",-1,0))</f>
        <v>-1</v>
      </c>
      <c r="E3" s="46" t="s">
        <v>263</v>
      </c>
      <c r="F3" s="6"/>
    </row>
    <row r="4" spans="1:6" ht="15" customHeight="1" x14ac:dyDescent="0.3">
      <c r="B4" s="80" t="s">
        <v>264</v>
      </c>
      <c r="C4" s="80"/>
      <c r="D4" s="200">
        <f t="shared" si="0"/>
        <v>-1</v>
      </c>
      <c r="E4" s="45" t="s">
        <v>265</v>
      </c>
      <c r="F4" s="6"/>
    </row>
    <row r="5" spans="1:6" ht="15" customHeight="1" x14ac:dyDescent="0.3">
      <c r="B5" s="80" t="s">
        <v>266</v>
      </c>
      <c r="C5" s="80"/>
      <c r="D5" s="200">
        <f t="shared" si="0"/>
        <v>-1</v>
      </c>
      <c r="E5" s="45" t="s">
        <v>267</v>
      </c>
      <c r="F5" s="6"/>
    </row>
    <row r="6" spans="1:6" ht="15" customHeight="1" x14ac:dyDescent="0.3">
      <c r="B6" s="80" t="s">
        <v>268</v>
      </c>
      <c r="C6" s="80"/>
      <c r="D6" s="200">
        <f t="shared" si="0"/>
        <v>-1</v>
      </c>
      <c r="E6" s="45" t="s">
        <v>269</v>
      </c>
      <c r="F6" s="6"/>
    </row>
    <row r="7" spans="1:6" ht="15" customHeight="1" x14ac:dyDescent="0.3">
      <c r="B7" s="201" t="s">
        <v>270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271</v>
      </c>
      <c r="C8" s="80"/>
      <c r="D8" s="200">
        <f t="shared" ref="D8:D11" si="1">IF(LEFT(E8,1)="H",1,IF(LEFT(E8,1)="C",-1,0))</f>
        <v>-1</v>
      </c>
      <c r="E8" s="45" t="s">
        <v>272</v>
      </c>
      <c r="F8" s="6"/>
    </row>
    <row r="9" spans="1:6" ht="15" customHeight="1" x14ac:dyDescent="0.3">
      <c r="B9" s="80" t="s">
        <v>273</v>
      </c>
      <c r="C9" s="80"/>
      <c r="D9" s="200">
        <f t="shared" si="1"/>
        <v>-1</v>
      </c>
      <c r="E9" s="45" t="s">
        <v>274</v>
      </c>
      <c r="F9" s="6"/>
    </row>
    <row r="10" spans="1:6" ht="15" customHeight="1" x14ac:dyDescent="0.3">
      <c r="B10" s="80" t="s">
        <v>275</v>
      </c>
      <c r="C10" s="80"/>
      <c r="D10" s="200">
        <f t="shared" si="1"/>
        <v>0</v>
      </c>
      <c r="E10" s="45" t="s">
        <v>276</v>
      </c>
      <c r="F10" s="6"/>
    </row>
    <row r="11" spans="1:6" ht="15" customHeight="1" x14ac:dyDescent="0.3">
      <c r="B11" s="80" t="s">
        <v>277</v>
      </c>
      <c r="C11" s="80"/>
      <c r="D11" s="200">
        <f t="shared" si="1"/>
        <v>-1</v>
      </c>
      <c r="E11" s="45" t="s">
        <v>278</v>
      </c>
      <c r="F11" s="6"/>
    </row>
    <row r="12" spans="1:6" ht="15" customHeight="1" x14ac:dyDescent="0.3">
      <c r="B12" s="201" t="s">
        <v>279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280</v>
      </c>
      <c r="C13" s="80"/>
      <c r="D13" s="200">
        <f t="shared" ref="D13:D16" si="2">IF(LEFT(E13,1)="H",1,IF(LEFT(E13,1)="C",-1,0))</f>
        <v>-1</v>
      </c>
      <c r="E13" s="45" t="s">
        <v>281</v>
      </c>
      <c r="F13" s="6"/>
    </row>
    <row r="14" spans="1:6" ht="15" customHeight="1" x14ac:dyDescent="0.3">
      <c r="B14" s="80" t="s">
        <v>282</v>
      </c>
      <c r="C14" s="80"/>
      <c r="D14" s="200">
        <f t="shared" si="2"/>
        <v>-1</v>
      </c>
      <c r="E14" s="45" t="s">
        <v>283</v>
      </c>
      <c r="F14" s="6"/>
    </row>
    <row r="15" spans="1:6" ht="15" customHeight="1" x14ac:dyDescent="0.3">
      <c r="B15" s="80" t="s">
        <v>284</v>
      </c>
      <c r="C15" s="80"/>
      <c r="D15" s="200">
        <f t="shared" si="2"/>
        <v>-1</v>
      </c>
      <c r="E15" s="45" t="s">
        <v>285</v>
      </c>
      <c r="F15" s="6"/>
    </row>
    <row r="16" spans="1:6" ht="15" customHeight="1" x14ac:dyDescent="0.3">
      <c r="B16" s="80" t="s">
        <v>286</v>
      </c>
      <c r="C16" s="80"/>
      <c r="D16" s="200">
        <f t="shared" si="2"/>
        <v>-1</v>
      </c>
      <c r="E16" s="45" t="s">
        <v>287</v>
      </c>
      <c r="F16" s="6"/>
    </row>
    <row r="17" spans="1:6" ht="15" customHeight="1" x14ac:dyDescent="0.3">
      <c r="B17" s="201" t="s">
        <v>288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289</v>
      </c>
      <c r="C18" s="80"/>
      <c r="D18" s="200">
        <f t="shared" ref="D18:D21" si="3">IF(LEFT(E18,1)="H",1,IF(LEFT(E18,1)="C",-1,0))</f>
        <v>-1</v>
      </c>
      <c r="E18" s="45" t="s">
        <v>290</v>
      </c>
      <c r="F18" s="6"/>
    </row>
    <row r="19" spans="1:6" ht="15" customHeight="1" x14ac:dyDescent="0.3">
      <c r="B19" s="80" t="s">
        <v>291</v>
      </c>
      <c r="C19" s="80"/>
      <c r="D19" s="200">
        <f t="shared" si="3"/>
        <v>-1</v>
      </c>
      <c r="E19" s="45" t="s">
        <v>292</v>
      </c>
      <c r="F19" s="6"/>
    </row>
    <row r="20" spans="1:6" ht="15" customHeight="1" x14ac:dyDescent="0.3">
      <c r="B20" s="80" t="s">
        <v>293</v>
      </c>
      <c r="C20" s="80"/>
      <c r="D20" s="200">
        <f t="shared" si="3"/>
        <v>-1</v>
      </c>
      <c r="E20" s="45" t="s">
        <v>294</v>
      </c>
      <c r="F20" s="6"/>
    </row>
    <row r="21" spans="1:6" ht="15" customHeight="1" x14ac:dyDescent="0.3">
      <c r="B21" s="80" t="s">
        <v>295</v>
      </c>
      <c r="C21" s="80"/>
      <c r="D21" s="200">
        <f t="shared" si="3"/>
        <v>-1</v>
      </c>
      <c r="E21" s="45" t="s">
        <v>296</v>
      </c>
      <c r="F21" s="6"/>
    </row>
    <row r="22" spans="1:6" ht="15" customHeight="1" x14ac:dyDescent="0.3">
      <c r="B22" s="201" t="s">
        <v>297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298</v>
      </c>
      <c r="C24" s="203"/>
      <c r="D24" s="13"/>
      <c r="E24" s="13"/>
    </row>
    <row r="25" spans="1:6" ht="14" x14ac:dyDescent="0.3">
      <c r="B25" s="204" t="s">
        <v>299</v>
      </c>
      <c r="C25" s="205"/>
      <c r="D25" s="6"/>
      <c r="E25" s="6"/>
    </row>
    <row r="26" spans="1:6" ht="14" x14ac:dyDescent="0.3">
      <c r="B26" s="6" t="s">
        <v>300</v>
      </c>
      <c r="C26" s="205"/>
      <c r="D26" s="202">
        <f>IF(E26="Strongly disagree",0,IF(E26="disagree",1,IF(E26="unclear",2,IF(E26="agree",3,4))))</f>
        <v>4</v>
      </c>
      <c r="E26" s="45" t="s">
        <v>301</v>
      </c>
      <c r="F26" s="6"/>
    </row>
    <row r="27" spans="1:6" ht="14" x14ac:dyDescent="0.3">
      <c r="B27" s="6" t="s">
        <v>302</v>
      </c>
      <c r="C27" s="205"/>
      <c r="D27" s="202">
        <f t="shared" ref="D27:D28" si="4">IF(E27="Strongly disagree",0,IF(E27="disagree",1,IF(E27="unclear",2,IF(E27="agree",3,4))))</f>
        <v>3</v>
      </c>
      <c r="E27" s="45" t="s">
        <v>303</v>
      </c>
      <c r="F27" s="6"/>
    </row>
    <row r="28" spans="1:6" ht="14" x14ac:dyDescent="0.3">
      <c r="B28" s="6" t="s">
        <v>304</v>
      </c>
      <c r="C28" s="205"/>
      <c r="D28" s="202">
        <f t="shared" si="4"/>
        <v>4</v>
      </c>
      <c r="E28" s="45" t="s">
        <v>301</v>
      </c>
      <c r="F28" s="6"/>
    </row>
    <row r="29" spans="1:6" ht="14" x14ac:dyDescent="0.3">
      <c r="B29" s="206" t="s">
        <v>305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306</v>
      </c>
      <c r="C31" s="201"/>
    </row>
    <row r="32" spans="1:6" ht="14" x14ac:dyDescent="0.3">
      <c r="B32" s="201" t="s">
        <v>307</v>
      </c>
      <c r="C32" s="201"/>
      <c r="E32" s="6"/>
    </row>
    <row r="33" spans="2:6" ht="14" x14ac:dyDescent="0.3">
      <c r="B33" s="80" t="s">
        <v>308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3">
      <c r="B34" s="80" t="s">
        <v>309</v>
      </c>
      <c r="D34" s="209">
        <f>IF(E34="Strongly disagree",0,IF(E34="disagree",1,IF(E34="unclear",2,IF(E34="agree",3,4))))</f>
        <v>3</v>
      </c>
      <c r="E34" s="45" t="s">
        <v>303</v>
      </c>
      <c r="F34" s="6"/>
    </row>
    <row r="35" spans="2:6" ht="14" x14ac:dyDescent="0.3">
      <c r="B35" s="80" t="s">
        <v>310</v>
      </c>
      <c r="D35" s="209">
        <f>IF(E35="Strongly disagree",0,IF(E35="disagree",1,IF(E35="unclear",2,IF(E35="agree",3,4))))</f>
        <v>2</v>
      </c>
      <c r="E35" s="45" t="s">
        <v>311</v>
      </c>
      <c r="F35" s="6"/>
    </row>
    <row r="36" spans="2:6" ht="14" x14ac:dyDescent="0.3">
      <c r="B36" s="80" t="s">
        <v>312</v>
      </c>
      <c r="D36" s="209">
        <f>IF(E36="Strongly disagree",0,IF(E36="disagree",1,IF(E36="unclear",2,IF(E36="agree",3,4))))</f>
        <v>1</v>
      </c>
      <c r="E36" s="45" t="s">
        <v>313</v>
      </c>
      <c r="F36" s="6"/>
    </row>
    <row r="37" spans="2:6" ht="14" x14ac:dyDescent="0.3">
      <c r="B37" s="80" t="s">
        <v>314</v>
      </c>
      <c r="D37" s="209">
        <f>IF(E37="Strongly disagree",0,IF(E37="disagree",1,IF(E37="unclear",2,IF(E37="agree",3,4))))</f>
        <v>4</v>
      </c>
      <c r="E37" s="45" t="s">
        <v>301</v>
      </c>
      <c r="F37" s="6"/>
    </row>
    <row r="38" spans="2:6" ht="14" x14ac:dyDescent="0.3">
      <c r="B38" s="201" t="s">
        <v>315</v>
      </c>
      <c r="D38" s="54"/>
      <c r="E38" s="26"/>
    </row>
    <row r="39" spans="2:6" ht="14" x14ac:dyDescent="0.3">
      <c r="B39" s="80" t="s">
        <v>316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3">
      <c r="B40" s="80" t="s">
        <v>317</v>
      </c>
      <c r="D40" s="209">
        <f t="shared" ref="D40:D43" si="5">IF(E40="Strongly disagree",0,IF(E40="disagree",1,IF(E40="unclear",2,IF(E40="agree",3,4))))</f>
        <v>3</v>
      </c>
      <c r="E40" s="45" t="s">
        <v>303</v>
      </c>
      <c r="F40" s="6"/>
    </row>
    <row r="41" spans="2:6" ht="15" customHeight="1" x14ac:dyDescent="0.3">
      <c r="B41" s="80" t="s">
        <v>318</v>
      </c>
      <c r="D41" s="209">
        <f t="shared" si="5"/>
        <v>1</v>
      </c>
      <c r="E41" s="45" t="s">
        <v>313</v>
      </c>
      <c r="F41" s="6"/>
    </row>
    <row r="42" spans="2:6" ht="15" customHeight="1" x14ac:dyDescent="0.3">
      <c r="B42" s="80" t="s">
        <v>319</v>
      </c>
      <c r="D42" s="209">
        <f t="shared" si="5"/>
        <v>3</v>
      </c>
      <c r="E42" s="45" t="s">
        <v>303</v>
      </c>
      <c r="F42" s="6"/>
    </row>
    <row r="43" spans="2:6" ht="15" customHeight="1" x14ac:dyDescent="0.3">
      <c r="B43" s="80" t="s">
        <v>320</v>
      </c>
      <c r="D43" s="209">
        <f t="shared" si="5"/>
        <v>3</v>
      </c>
      <c r="E43" s="45" t="s">
        <v>303</v>
      </c>
      <c r="F43" s="6"/>
    </row>
    <row r="44" spans="2:6" ht="15" customHeight="1" x14ac:dyDescent="0.3">
      <c r="B44" s="201" t="s">
        <v>321</v>
      </c>
      <c r="D44" s="54"/>
      <c r="E44" s="26"/>
    </row>
    <row r="45" spans="2:6" ht="14" x14ac:dyDescent="0.3">
      <c r="B45" s="80" t="s">
        <v>322</v>
      </c>
      <c r="D45" s="209">
        <f t="shared" ref="D45:D49" si="6">IF(E45="Strongly disagree",0,IF(E45="disagree",1,IF(E45="unclear",2,IF(E45="agree",3,4))))</f>
        <v>4</v>
      </c>
      <c r="E45" s="45" t="s">
        <v>301</v>
      </c>
      <c r="F45" s="6"/>
    </row>
    <row r="46" spans="2:6" ht="15" customHeight="1" x14ac:dyDescent="0.3">
      <c r="B46" s="80" t="s">
        <v>323</v>
      </c>
      <c r="D46" s="209">
        <f t="shared" si="6"/>
        <v>3</v>
      </c>
      <c r="E46" s="45" t="s">
        <v>303</v>
      </c>
      <c r="F46" s="6"/>
    </row>
    <row r="47" spans="2:6" ht="15" customHeight="1" x14ac:dyDescent="0.3">
      <c r="B47" s="80" t="s">
        <v>324</v>
      </c>
      <c r="D47" s="209">
        <f t="shared" si="6"/>
        <v>4</v>
      </c>
      <c r="E47" s="45" t="s">
        <v>301</v>
      </c>
      <c r="F47" s="6"/>
    </row>
    <row r="48" spans="2:6" ht="15" customHeight="1" x14ac:dyDescent="0.3">
      <c r="B48" s="80" t="s">
        <v>325</v>
      </c>
      <c r="D48" s="209">
        <f t="shared" si="6"/>
        <v>2</v>
      </c>
      <c r="E48" s="45" t="s">
        <v>311</v>
      </c>
      <c r="F48" s="6"/>
    </row>
    <row r="49" spans="2:6" ht="14" x14ac:dyDescent="0.3">
      <c r="B49" s="80" t="s">
        <v>326</v>
      </c>
      <c r="D49" s="209">
        <f t="shared" si="6"/>
        <v>3</v>
      </c>
      <c r="E49" s="45" t="s">
        <v>303</v>
      </c>
      <c r="F49" s="6"/>
    </row>
    <row r="50" spans="2:6" ht="14" x14ac:dyDescent="0.3">
      <c r="B50" s="201" t="s">
        <v>327</v>
      </c>
      <c r="D50" s="54"/>
      <c r="E50" s="26"/>
    </row>
    <row r="51" spans="2:6" ht="14" x14ac:dyDescent="0.3">
      <c r="B51" s="80" t="s">
        <v>328</v>
      </c>
      <c r="D51" s="44"/>
      <c r="E51" s="75" t="str">
        <f>E67</f>
        <v>Medium</v>
      </c>
      <c r="F51" s="6"/>
    </row>
    <row r="52" spans="2:6" ht="14" x14ac:dyDescent="0.3">
      <c r="B52" s="80" t="s">
        <v>329</v>
      </c>
      <c r="D52" s="44"/>
      <c r="E52" s="75" t="str">
        <f>E77</f>
        <v>Very Low</v>
      </c>
      <c r="F52" s="6"/>
    </row>
    <row r="53" spans="2:6" ht="14" x14ac:dyDescent="0.3">
      <c r="B53" s="80" t="s">
        <v>330</v>
      </c>
      <c r="D53" s="44"/>
      <c r="E53" s="75" t="str">
        <f>E85</f>
        <v>Medium</v>
      </c>
      <c r="F53" s="6"/>
    </row>
    <row r="54" spans="2:6" ht="14" x14ac:dyDescent="0.3">
      <c r="B54" s="80" t="s">
        <v>331</v>
      </c>
      <c r="D54" s="44"/>
      <c r="E54" s="75" t="str">
        <f>E95</f>
        <v>Very High</v>
      </c>
      <c r="F54" s="6"/>
    </row>
    <row r="55" spans="2:6" ht="14" x14ac:dyDescent="0.3">
      <c r="B55" s="80" t="s">
        <v>332</v>
      </c>
      <c r="D55" s="44"/>
      <c r="E55" s="75" t="str">
        <f>E102</f>
        <v>Very High</v>
      </c>
      <c r="F55" s="6"/>
    </row>
    <row r="56" spans="2:6" ht="14" x14ac:dyDescent="0.3">
      <c r="B56" s="206" t="s">
        <v>333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3">
      <c r="E57" s="6"/>
    </row>
    <row r="58" spans="2:6" ht="14" x14ac:dyDescent="0.3">
      <c r="B58" s="208" t="s">
        <v>334</v>
      </c>
      <c r="C58" s="80"/>
      <c r="D58" s="54"/>
      <c r="E58" s="26"/>
    </row>
    <row r="59" spans="2:6" ht="14" x14ac:dyDescent="0.3">
      <c r="B59" s="3" t="s">
        <v>335</v>
      </c>
      <c r="D59" s="209">
        <f>IF(E59="Strongly disagree",0,IF(E59="disagree",1,IF(E59="unclear",2,IF(E59="agree",3,4))))</f>
        <v>4</v>
      </c>
      <c r="E59" s="45" t="s">
        <v>301</v>
      </c>
      <c r="F59" s="6"/>
    </row>
    <row r="60" spans="2:6" ht="14" x14ac:dyDescent="0.3">
      <c r="B60" s="3" t="s">
        <v>336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337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3">
      <c r="B62" s="3" t="s">
        <v>338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339</v>
      </c>
      <c r="D63" s="209"/>
      <c r="E63" s="207">
        <f>SUM(D59:D62)/12</f>
        <v>0.91666666666666663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340</v>
      </c>
      <c r="C65" s="22"/>
      <c r="D65" s="22"/>
      <c r="E65" s="13"/>
    </row>
    <row r="66" spans="1:6" ht="15" customHeight="1" x14ac:dyDescent="0.3">
      <c r="B66" s="5" t="s">
        <v>341</v>
      </c>
      <c r="C66" s="6"/>
      <c r="D66" s="26"/>
      <c r="E66" s="6"/>
    </row>
    <row r="67" spans="1:6" ht="15" customHeight="1" x14ac:dyDescent="0.3">
      <c r="B67" s="80" t="s">
        <v>342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3">
      <c r="B68" s="80" t="s">
        <v>343</v>
      </c>
      <c r="D68" s="209">
        <f t="shared" ref="D68:D75" si="8">IF(E68="Strongly disagree",0,IF(E68="disagree",1,IF(E68="unclear",2,IF(E68="agree",3,4))))</f>
        <v>0</v>
      </c>
      <c r="E68" s="45" t="s">
        <v>344</v>
      </c>
      <c r="F68" s="6"/>
    </row>
    <row r="69" spans="1:6" ht="15" customHeight="1" x14ac:dyDescent="0.3">
      <c r="B69" s="80" t="s">
        <v>345</v>
      </c>
      <c r="D69" s="209">
        <f t="shared" si="8"/>
        <v>3</v>
      </c>
      <c r="E69" s="45" t="s">
        <v>303</v>
      </c>
      <c r="F69" s="6"/>
    </row>
    <row r="70" spans="1:6" ht="15" customHeight="1" x14ac:dyDescent="0.3">
      <c r="B70" s="80" t="s">
        <v>346</v>
      </c>
      <c r="D70" s="209">
        <f t="shared" si="8"/>
        <v>4</v>
      </c>
      <c r="E70" s="45" t="s">
        <v>301</v>
      </c>
      <c r="F70" s="6"/>
    </row>
    <row r="71" spans="1:6" ht="15" customHeight="1" x14ac:dyDescent="0.3">
      <c r="B71" s="80" t="s">
        <v>347</v>
      </c>
      <c r="D71" s="209">
        <f t="shared" si="8"/>
        <v>0</v>
      </c>
      <c r="E71" s="45" t="s">
        <v>344</v>
      </c>
      <c r="F71" s="6"/>
    </row>
    <row r="72" spans="1:6" ht="15" customHeight="1" x14ac:dyDescent="0.3">
      <c r="B72" s="80" t="s">
        <v>348</v>
      </c>
      <c r="D72" s="209">
        <f t="shared" si="8"/>
        <v>0</v>
      </c>
      <c r="E72" s="45" t="s">
        <v>344</v>
      </c>
      <c r="F72" s="6"/>
    </row>
    <row r="73" spans="1:6" ht="15" customHeight="1" x14ac:dyDescent="0.3">
      <c r="B73" s="80" t="s">
        <v>349</v>
      </c>
      <c r="D73" s="209">
        <f t="shared" si="8"/>
        <v>2</v>
      </c>
      <c r="E73" s="45" t="s">
        <v>311</v>
      </c>
      <c r="F73" s="6"/>
    </row>
    <row r="74" spans="1:6" ht="15" customHeight="1" x14ac:dyDescent="0.3">
      <c r="B74" s="80" t="s">
        <v>350</v>
      </c>
      <c r="D74" s="209">
        <f t="shared" si="8"/>
        <v>4</v>
      </c>
      <c r="E74" s="45" t="s">
        <v>301</v>
      </c>
      <c r="F74" s="6"/>
    </row>
    <row r="75" spans="1:6" ht="15" customHeight="1" x14ac:dyDescent="0.3">
      <c r="B75" s="80" t="s">
        <v>351</v>
      </c>
      <c r="D75" s="209">
        <f t="shared" si="8"/>
        <v>0</v>
      </c>
      <c r="E75" s="45" t="s">
        <v>344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352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353</v>
      </c>
      <c r="D78" s="209">
        <f t="shared" ref="D78:D83" si="9">IF(E78="Strongly disagree",0,IF(E78="disagree",1,IF(E78="unclear",2,IF(E78="agree",3,4))))</f>
        <v>0</v>
      </c>
      <c r="E78" s="45" t="s">
        <v>344</v>
      </c>
      <c r="F78" s="6"/>
    </row>
    <row r="79" spans="1:6" ht="15" customHeight="1" x14ac:dyDescent="0.3">
      <c r="B79" s="80" t="s">
        <v>354</v>
      </c>
      <c r="D79" s="209">
        <f t="shared" si="9"/>
        <v>0</v>
      </c>
      <c r="E79" s="45" t="s">
        <v>344</v>
      </c>
      <c r="F79" s="6"/>
    </row>
    <row r="80" spans="1:6" ht="15" customHeight="1" x14ac:dyDescent="0.3">
      <c r="B80" s="80" t="s">
        <v>355</v>
      </c>
      <c r="D80" s="209">
        <f t="shared" si="9"/>
        <v>0</v>
      </c>
      <c r="E80" s="45" t="s">
        <v>344</v>
      </c>
      <c r="F80" s="6"/>
    </row>
    <row r="81" spans="2:6" ht="15" customHeight="1" x14ac:dyDescent="0.3">
      <c r="B81" s="80" t="s">
        <v>356</v>
      </c>
      <c r="D81" s="209">
        <f t="shared" si="9"/>
        <v>0</v>
      </c>
      <c r="E81" s="45" t="s">
        <v>344</v>
      </c>
      <c r="F81" s="6"/>
    </row>
    <row r="82" spans="2:6" ht="15" customHeight="1" x14ac:dyDescent="0.3">
      <c r="B82" s="80" t="s">
        <v>357</v>
      </c>
      <c r="D82" s="209">
        <f t="shared" si="9"/>
        <v>0</v>
      </c>
      <c r="E82" s="45" t="s">
        <v>344</v>
      </c>
      <c r="F82" s="6"/>
    </row>
    <row r="83" spans="2:6" ht="15" customHeight="1" x14ac:dyDescent="0.3">
      <c r="B83" s="80" t="s">
        <v>358</v>
      </c>
      <c r="D83" s="209">
        <f t="shared" si="9"/>
        <v>0</v>
      </c>
      <c r="E83" s="45" t="s">
        <v>344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359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360</v>
      </c>
      <c r="D86" s="209">
        <f t="shared" ref="D86:D93" si="10">IF(E86="Strongly disagree",0,IF(E86="disagree",1,IF(E86="unclear",2,IF(E86="agree",3,4))))</f>
        <v>0</v>
      </c>
      <c r="E86" s="45" t="s">
        <v>344</v>
      </c>
      <c r="F86" s="6"/>
    </row>
    <row r="87" spans="2:6" ht="15" customHeight="1" x14ac:dyDescent="0.3">
      <c r="B87" s="80" t="s">
        <v>361</v>
      </c>
      <c r="D87" s="209">
        <f t="shared" si="10"/>
        <v>1</v>
      </c>
      <c r="E87" s="45" t="s">
        <v>313</v>
      </c>
      <c r="F87" s="6"/>
    </row>
    <row r="88" spans="2:6" ht="15" customHeight="1" x14ac:dyDescent="0.3">
      <c r="B88" s="80" t="s">
        <v>362</v>
      </c>
      <c r="D88" s="209">
        <f t="shared" si="10"/>
        <v>4</v>
      </c>
      <c r="E88" s="45" t="s">
        <v>301</v>
      </c>
      <c r="F88" s="6"/>
    </row>
    <row r="89" spans="2:6" ht="15" customHeight="1" x14ac:dyDescent="0.3">
      <c r="B89" s="80" t="s">
        <v>363</v>
      </c>
      <c r="D89" s="209">
        <f t="shared" si="10"/>
        <v>0</v>
      </c>
      <c r="E89" s="45" t="s">
        <v>344</v>
      </c>
      <c r="F89" s="6"/>
    </row>
    <row r="90" spans="2:6" ht="15" customHeight="1" x14ac:dyDescent="0.3">
      <c r="B90" s="80" t="s">
        <v>364</v>
      </c>
      <c r="D90" s="209">
        <f t="shared" si="10"/>
        <v>0</v>
      </c>
      <c r="E90" s="45" t="s">
        <v>344</v>
      </c>
      <c r="F90" s="6"/>
    </row>
    <row r="91" spans="2:6" ht="15" customHeight="1" x14ac:dyDescent="0.3">
      <c r="B91" s="80" t="s">
        <v>365</v>
      </c>
      <c r="D91" s="209">
        <f t="shared" si="10"/>
        <v>2</v>
      </c>
      <c r="E91" s="45" t="s">
        <v>311</v>
      </c>
      <c r="F91" s="6"/>
    </row>
    <row r="92" spans="2:6" ht="15" customHeight="1" x14ac:dyDescent="0.3">
      <c r="B92" s="80" t="s">
        <v>366</v>
      </c>
      <c r="D92" s="209">
        <f t="shared" si="10"/>
        <v>4</v>
      </c>
      <c r="E92" s="45" t="s">
        <v>301</v>
      </c>
      <c r="F92" s="6"/>
    </row>
    <row r="93" spans="2:6" ht="15" customHeight="1" x14ac:dyDescent="0.3">
      <c r="B93" s="80" t="s">
        <v>367</v>
      </c>
      <c r="D93" s="209">
        <f t="shared" si="10"/>
        <v>4</v>
      </c>
      <c r="E93" s="45" t="s">
        <v>301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368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3">
      <c r="B96" s="80" t="s">
        <v>369</v>
      </c>
      <c r="D96" s="209">
        <f t="shared" ref="D96:D99" si="11">IF(E96="Strongly disagree",0,IF(E96="disagree",1,IF(E96="unclear",2,IF(E96="agree",3,4))))</f>
        <v>0</v>
      </c>
      <c r="E96" s="45" t="s">
        <v>344</v>
      </c>
      <c r="F96" s="6"/>
    </row>
    <row r="97" spans="2:6" ht="15" customHeight="1" x14ac:dyDescent="0.3">
      <c r="B97" s="80" t="s">
        <v>370</v>
      </c>
      <c r="D97" s="209">
        <f t="shared" si="11"/>
        <v>4</v>
      </c>
      <c r="E97" s="45" t="s">
        <v>301</v>
      </c>
      <c r="F97" s="6"/>
    </row>
    <row r="98" spans="2:6" ht="15" customHeight="1" x14ac:dyDescent="0.3">
      <c r="B98" s="80" t="s">
        <v>371</v>
      </c>
      <c r="D98" s="209">
        <f t="shared" si="11"/>
        <v>3</v>
      </c>
      <c r="E98" s="45" t="s">
        <v>303</v>
      </c>
      <c r="F98" s="6"/>
    </row>
    <row r="99" spans="2:6" ht="15" customHeight="1" x14ac:dyDescent="0.3">
      <c r="B99" s="80" t="s">
        <v>372</v>
      </c>
      <c r="D99" s="209">
        <f t="shared" si="11"/>
        <v>1</v>
      </c>
      <c r="E99" s="45" t="s">
        <v>313</v>
      </c>
      <c r="F99" s="6"/>
    </row>
    <row r="100" spans="2:6" ht="15" customHeight="1" x14ac:dyDescent="0.3">
      <c r="B100" s="80" t="s">
        <v>373</v>
      </c>
      <c r="D100" s="213">
        <f t="array" ref="D100">(1-INDEX(B118:E127,MATCH(E100,B118:B127,0),4))*4</f>
        <v>1.9455782312925169</v>
      </c>
      <c r="E100" s="45" t="s">
        <v>374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375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376</v>
      </c>
      <c r="D103" s="209">
        <f t="shared" ref="D103:D110" si="12">IF(E103="Strongly disagree",0,IF(E103="disagree",1,IF(E103="unclear",2,IF(E103="agree",3,4))))</f>
        <v>4</v>
      </c>
      <c r="E103" s="45" t="s">
        <v>301</v>
      </c>
      <c r="F103" s="6"/>
    </row>
    <row r="104" spans="2:6" ht="15" customHeight="1" x14ac:dyDescent="0.3">
      <c r="B104" s="80" t="s">
        <v>377</v>
      </c>
      <c r="D104" s="209">
        <f t="shared" si="12"/>
        <v>4</v>
      </c>
      <c r="E104" s="45" t="s">
        <v>301</v>
      </c>
      <c r="F104" s="6"/>
    </row>
    <row r="105" spans="2:6" ht="15" customHeight="1" x14ac:dyDescent="0.3">
      <c r="B105" s="80" t="s">
        <v>378</v>
      </c>
      <c r="D105" s="209">
        <f t="shared" si="12"/>
        <v>4</v>
      </c>
      <c r="E105" s="45" t="s">
        <v>301</v>
      </c>
      <c r="F105" s="6"/>
    </row>
    <row r="106" spans="2:6" ht="15" customHeight="1" x14ac:dyDescent="0.3">
      <c r="B106" s="80" t="s">
        <v>379</v>
      </c>
      <c r="D106" s="209">
        <f t="shared" si="12"/>
        <v>4</v>
      </c>
      <c r="E106" s="45" t="s">
        <v>301</v>
      </c>
      <c r="F106" s="6"/>
    </row>
    <row r="107" spans="2:6" ht="15" customHeight="1" x14ac:dyDescent="0.3">
      <c r="B107" s="80" t="s">
        <v>380</v>
      </c>
      <c r="D107" s="209">
        <f t="shared" si="12"/>
        <v>4</v>
      </c>
      <c r="E107" s="45" t="s">
        <v>301</v>
      </c>
      <c r="F107" s="6"/>
    </row>
    <row r="108" spans="2:6" ht="15" customHeight="1" x14ac:dyDescent="0.3">
      <c r="B108" s="80" t="s">
        <v>381</v>
      </c>
      <c r="D108" s="209">
        <f t="shared" si="12"/>
        <v>3</v>
      </c>
      <c r="E108" s="45" t="s">
        <v>303</v>
      </c>
      <c r="F108" s="6"/>
    </row>
    <row r="109" spans="2:6" ht="15" customHeight="1" x14ac:dyDescent="0.3">
      <c r="B109" s="80" t="s">
        <v>382</v>
      </c>
      <c r="D109" s="209">
        <f t="shared" si="12"/>
        <v>4</v>
      </c>
      <c r="E109" s="45" t="s">
        <v>301</v>
      </c>
      <c r="F109" s="6"/>
    </row>
    <row r="110" spans="2:6" ht="15" customHeight="1" x14ac:dyDescent="0.3">
      <c r="B110" s="80" t="s">
        <v>383</v>
      </c>
      <c r="D110" s="209">
        <f t="shared" si="12"/>
        <v>4</v>
      </c>
      <c r="E110" s="45" t="s">
        <v>301</v>
      </c>
      <c r="F110" s="6"/>
    </row>
    <row r="111" spans="2:6" ht="15" customHeight="1" x14ac:dyDescent="0.3">
      <c r="B111" s="80" t="s">
        <v>384</v>
      </c>
      <c r="D111" s="209">
        <f>IF(E111="Strongly disagree",0,IF(E111="disagree",1,IF(E111="non-perishable",2,IF(E111="agree",3,4))))</f>
        <v>3</v>
      </c>
      <c r="E111" s="45" t="s">
        <v>303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385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386</v>
      </c>
      <c r="D114" s="6"/>
      <c r="E114" s="37">
        <f>1-AVERAGE(D67,D77,D85,D95,D102)</f>
        <v>0.47035147392290244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387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388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389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390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391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392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393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394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395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396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397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398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2022-12-08T03:16:13Z</dcterms:modified>
  <cp:category/>
  <cp:contentStatus/>
</cp:coreProperties>
</file>