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8_{7C25AF15-A435-B741-864F-65AF02E06D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F60" i="4" l="1"/>
  <c r="D8" i="4"/>
  <c r="H25" i="1" l="1"/>
  <c r="C25" i="1"/>
  <c r="E4" i="4"/>
  <c r="D11" i="1"/>
  <c r="D13" i="1"/>
  <c r="C23" i="1"/>
  <c r="I13" i="1"/>
  <c r="E5" i="1"/>
  <c r="D52" i="3"/>
  <c r="E4" i="2"/>
  <c r="E8" i="4"/>
  <c r="E9" i="4" s="1"/>
  <c r="E10" i="3"/>
  <c r="L31" i="2"/>
  <c r="L32" i="2" s="1"/>
  <c r="M31" i="2"/>
  <c r="M32" i="2" s="1"/>
  <c r="G29" i="2"/>
  <c r="H29" i="2"/>
  <c r="I29" i="2"/>
  <c r="J29" i="2"/>
  <c r="K29" i="2"/>
  <c r="L29" i="2"/>
  <c r="M29" i="2"/>
  <c r="M30" i="2"/>
  <c r="L30" i="2"/>
  <c r="K30" i="2"/>
  <c r="K31" i="2" s="1"/>
  <c r="J30" i="2"/>
  <c r="J31" i="2" s="1"/>
  <c r="I30" i="2"/>
  <c r="I31" i="2" s="1"/>
  <c r="H30" i="2"/>
  <c r="H31" i="2" s="1"/>
  <c r="G30" i="2"/>
  <c r="G31" i="2" s="1"/>
  <c r="F30" i="2"/>
  <c r="E30" i="2"/>
  <c r="D30" i="2"/>
  <c r="C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E11" i="4" l="1"/>
  <c r="E13" i="4"/>
  <c r="C31" i="2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M13" i="2" s="1"/>
  <c r="K14" i="2"/>
  <c r="K16" i="2" s="1"/>
  <c r="K32" i="2" s="1"/>
  <c r="M12" i="2"/>
  <c r="C13" i="4"/>
  <c r="M10" i="2"/>
  <c r="L10" i="2"/>
  <c r="K10" i="2"/>
  <c r="H10" i="2"/>
  <c r="G10" i="2"/>
  <c r="D10" i="2"/>
  <c r="L14" i="2"/>
  <c r="J14" i="2"/>
  <c r="J16" i="2" s="1"/>
  <c r="J32" i="2" s="1"/>
  <c r="I10" i="2"/>
  <c r="H14" i="2"/>
  <c r="H16" i="2" s="1"/>
  <c r="H32" i="2" s="1"/>
  <c r="G14" i="2"/>
  <c r="G16" i="2" s="1"/>
  <c r="G32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F51" i="3"/>
  <c r="C39" i="3"/>
  <c r="D51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M43" i="2"/>
  <c r="L39" i="2"/>
  <c r="M44" i="2"/>
  <c r="G43" i="2"/>
  <c r="E23" i="4"/>
  <c r="F24" i="4" s="1"/>
  <c r="E14" i="2"/>
  <c r="E16" i="2" s="1"/>
  <c r="E32" i="2" s="1"/>
  <c r="I14" i="2"/>
  <c r="I16" i="2" s="1"/>
  <c r="I32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K46" i="2" l="1"/>
  <c r="K43" i="2"/>
  <c r="J39" i="2"/>
  <c r="E61" i="5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4" l="1"/>
  <c r="H20" i="3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l="1"/>
  <c r="F51" i="4" s="1"/>
  <c r="G51" i="4" s="1"/>
  <c r="C31" i="4"/>
  <c r="C30" i="4"/>
  <c r="C36" i="4" s="1"/>
  <c r="C37" i="4" s="1"/>
  <c r="C57" i="4" s="1"/>
  <c r="F53" i="4"/>
  <c r="F52" i="4"/>
  <c r="G52" i="4" s="1"/>
  <c r="F54" i="4"/>
  <c r="E57" i="4" s="1"/>
  <c r="F49" i="4"/>
  <c r="G49" i="4" s="1"/>
  <c r="G18" i="4"/>
  <c r="D4" i="4"/>
  <c r="F50" i="4" l="1"/>
  <c r="G50" i="4" s="1"/>
  <c r="G53" i="4"/>
  <c r="C63" i="4"/>
  <c r="G54" i="4"/>
  <c r="G22" i="4"/>
  <c r="C41" i="4" s="1"/>
  <c r="I60" i="4" l="1"/>
  <c r="C42" i="4"/>
  <c r="D57" i="4"/>
  <c r="E56" i="4" s="1"/>
  <c r="E60" i="4" l="1"/>
  <c r="G60" i="4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G63" i="4" l="1"/>
  <c r="H22" i="1" s="1"/>
  <c r="H24" i="1" s="1"/>
  <c r="K58" i="4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<sst xmlns="http://schemas.openxmlformats.org/spreadsheetml/2006/main" count="476" uniqueCount="405">
  <si>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</si>
  <si>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</si>
  <si>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</si>
  <si>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</si>
  <si>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</si>
  <si>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</si>
  <si>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</si>
  <si>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</si>
  <si>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</si>
  <si>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</si>
  <si>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</si>
  <si>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</si>
  <si>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</si>
  <si>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</si>
  <si>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</si>
  <si>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</si>
  <si>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</si>
  <si>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</si>
  <si>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</si>
  <si>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</si>
  <si>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</si>
  <si>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</si>
  <si>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</si>
  <si>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</si>
  <si>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</si>
  <si>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</si>
  <si>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</si>
  <si>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</si>
  <si>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</si>
  <si>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</si>
  <si>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</si>
  <si>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</si>
  <si>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</si>
  <si>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</si>
  <si>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</si>
  <si>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</si>
  <si>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</si>
  <si>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</si>
  <si>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</si>
  <si>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</si>
  <si>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</si>
  <si>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</si>
  <si>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</si>
  <si>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</si>
  <si>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</si>
  <si>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</si>
  <si>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</si>
  <si>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</si>
  <si>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</si>
  <si>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</si>
  <si>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</si>
  <si>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</si>
  <si>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</si>
  <si>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</si>
  <si>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</si>
  <si>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</si>
  <si>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</si>
  <si>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</si>
  <si>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</si>
  <si>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</si>
  <si>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</si>
  <si>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</si>
  <si>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</si>
  <si>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</si>
  <si>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</si>
  <si>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</si>
  <si>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</si>
  <si>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</si>
  <si>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</si>
  <si>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</si>
  <si>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</si>
  <si>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</si>
  <si>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</si>
  <si>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</si>
  <si>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</si>
  <si>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</si>
  <si>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</si>
  <si>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</si>
  <si>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</si>
  <si>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</si>
  <si>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</si>
  <si>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</si>
  <si>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</si>
  <si>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</si>
  <si>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</si>
  <si>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</si>
  <si>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</si>
  <si>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</si>
  <si>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</si>
  <si>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</si>
  <si>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</si>
  <si>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</si>
  <si>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</si>
  <si>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</si>
  <si>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</si>
  <si>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</si>
  <si>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</si>
  <si>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</si>
  <si>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</si>
  <si>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</si>
  <si>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</si>
  <si>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</si>
  <si>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</si>
  <si>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</si>
  <si>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</si>
  <si>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</si>
  <si>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</si>
  <si>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</si>
  <si>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</si>
  <si>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</si>
  <si>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</si>
  <si>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</si>
  <si>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</si>
  <si>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</si>
  <si>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</si>
  <si>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</si>
  <si>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</si>
  <si>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</si>
  <si>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</si>
  <si>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</si>
  <si>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</si>
  <si>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</si>
  <si>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</si>
  <si>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</si>
  <si>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</si>
  <si>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</si>
  <si>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</si>
  <si>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</si>
  <si>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</si>
  <si>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</si>
  <si>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</si>
  <si>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</si>
  <si>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</si>
  <si>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</si>
  <si>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</si>
  <si>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</si>
  <si>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</si>
  <si>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</si>
  <si>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</si>
  <si>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</si>
  <si>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</si>
  <si>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</si>
  <si>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</si>
  <si>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</si>
  <si>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</si>
  <si>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</si>
  <si>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</si>
  <si>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</si>
  <si>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</si>
  <si>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</si>
  <si>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</si>
  <si>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</si>
  <si>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</si>
  <si>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</si>
  <si>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</si>
  <si>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</si>
  <si>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</si>
  <si>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</si>
  <si>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</si>
  <si>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</si>
  <si>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</si>
  <si>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</si>
  <si>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</si>
  <si>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</si>
  <si>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</si>
  <si>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</si>
  <si>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</si>
  <si>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</si>
  <si>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</si>
  <si>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</si>
  <si>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</si>
  <si>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</si>
  <si>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</si>
  <si>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</si>
  <si>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</si>
  <si>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</si>
  <si>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</si>
  <si>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</si>
  <si>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</si>
  <si>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</si>
  <si>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</si>
  <si>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</si>
  <si>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</si>
  <si>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</si>
  <si>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</si>
  <si>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</si>
  <si>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</si>
  <si>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</si>
  <si>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</si>
  <si>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</si>
  <si>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</si>
  <si>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</si>
  <si>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</si>
  <si>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</si>
  <si>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</si>
  <si>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</si>
  <si>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</si>
  <si>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</si>
  <si>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</si>
  <si>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</si>
  <si>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</si>
  <si>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</si>
  <si>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</si>
  <si>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</si>
  <si>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</si>
  <si>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</si>
  <si>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</si>
  <si>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</si>
  <si>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</si>
  <si>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</si>
  <si>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</si>
  <si>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</si>
  <si>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</si>
  <si>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</si>
  <si>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</si>
  <si>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</si>
  <si>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</si>
  <si>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</si>
  <si>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</si>
  <si>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</si>
  <si>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</si>
  <si>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</si>
  <si>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</si>
  <si>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</si>
  <si>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</si>
  <si>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</si>
  <si>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</si>
  <si>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</si>
  <si>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</si>
  <si>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</si>
  <si>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</si>
  <si>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</si>
  <si>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</si>
  <si>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</si>
  <si>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</si>
  <si>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</si>
  <si>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</si>
  <si>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</si>
  <si>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</si>
  <si>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</si>
  <si>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</si>
  <si>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</si>
  <si>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</si>
  <si>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</si>
  <si>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</si>
  <si>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</si>
  <si>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</si>
  <si>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</si>
  <si>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</si>
  <si>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</si>
  <si>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</si>
  <si>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</si>
  <si>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</si>
  <si>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</si>
  <si>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</si>
  <si>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</si>
  <si>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</si>
  <si>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</si>
  <si>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</si>
  <si>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</si>
  <si>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</si>
  <si>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</si>
  <si>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</si>
  <si>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</si>
  <si>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</si>
  <si>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</si>
  <si>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</si>
  <si>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</si>
  <si>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</si>
  <si>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</si>
  <si>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</si>
  <si>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</si>
  <si>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</si>
  <si>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</si>
  <si>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</si>
  <si>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</si>
  <si>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</si>
  <si>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</si>
  <si>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</si>
  <si>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</si>
  <si>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</si>
  <si>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</si>
  <si>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</si>
  <si>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</si>
  <si>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</si>
  <si>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</si>
  <si>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</si>
  <si>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</si>
  <si>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</si>
  <si>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</si>
  <si>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</si>
  <si>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</si>
  <si>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</si>
  <si>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</si>
  <si>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</si>
  <si>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</si>
  <si>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</si>
  <si>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</si>
  <si>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</si>
  <si>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</si>
  <si>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</si>
  <si>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</si>
  <si>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</si>
  <si>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</si>
  <si>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</si>
  <si>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</si>
  <si>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</si>
  <si>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</si>
  <si>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</si>
  <si>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</si>
  <si>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</si>
  <si>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</si>
  <si>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</si>
  <si>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</si>
  <si>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</si>
  <si>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</si>
  <si>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</si>
  <si>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</si>
  <si>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</si>
  <si>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</si>
  <si>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</si>
  <si>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</si>
  <si>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</si>
  <si>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</si>
  <si>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</si>
  <si>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</si>
  <si>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</si>
  <si>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</si>
  <si>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</si>
  <si>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</si>
  <si>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</si>
  <si>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</si>
  <si>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</si>
  <si>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</si>
  <si>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</si>
  <si>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</si>
  <si>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</si>
  <si>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</si>
  <si>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</si>
  <si>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</si>
  <si>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</si>
  <si>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</si>
  <si>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</si>
  <si>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</si>
  <si>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</si>
  <si>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</si>
  <si>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</si>
  <si>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</si>
  <si>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</si>
  <si>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</si>
  <si>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</si>
  <si>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</si>
  <si>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</si>
  <si>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</si>
  <si>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</si>
  <si>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</si>
  <si>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</si>
  <si>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</si>
  <si>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</si>
  <si>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</si>
  <si>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</si>
  <si>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</si>
  <si>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</si>
  <si>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</si>
  <si>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</si>
  <si>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</si>
  <si>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</si>
  <si>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</si>
  <si>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</si>
  <si>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</si>
  <si>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</si>
  <si>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</si>
  <si>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</si>
  <si>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</si>
  <si>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</si>
  <si>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</si>
  <si>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</si>
  <si>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</si>
  <si>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</si>
  <si>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</si>
  <si>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</si>
  <si>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</si>
  <si>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</si>
  <si>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</si>
  <si>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</si>
  <si>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</si>
  <si>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</si>
  <si>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</si>
  <si>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</si>
  <si>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</si>
  <si>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</si>
  <si>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</si>
  <si>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</si>
  <si>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</si>
  <si>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</si>
  <si>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VALUE PARTNERS</t>
  </si>
  <si>
    <t>0806.HK</t>
  </si>
  <si>
    <t>HKG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</si>
  <si>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</si>
  <si>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</si>
  <si>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</si>
  <si>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</si>
  <si>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</si>
  <si>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Information Technology Like, 6.6y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</si>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</sst>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="103" workbookViewId="0">
      <selection activeCell="C22" sqref="C22:D22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8" t="str">
        <f>C3&amp;" : "&amp;C4</f>
        <v>0806.HK : VALUE PARTNERS</v>
      </c>
      <c r="D2" s="331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2" t="s">
        <v>396</v>
      </c>
      <c r="D3" s="333"/>
      <c r="E3" s="16"/>
      <c r="G3" s="7" t="s">
        <v>2</v>
      </c>
      <c r="H3" s="337" t="s">
        <v>397</v>
      </c>
      <c r="I3" s="338"/>
    </row>
    <row r="4" spans="1:11" ht="15.75" customHeight="1" x14ac:dyDescent="0.15">
      <c r="B4" s="5" t="s">
        <v>3</v>
      </c>
      <c r="C4" s="334" t="s">
        <v>395</v>
      </c>
      <c r="D4" s="335"/>
      <c r="E4" s="6"/>
      <c r="G4" s="5" t="s">
        <v>4</v>
      </c>
      <c r="H4" s="47">
        <v>2.6</v>
      </c>
      <c r="I4" s="48" t="s">
        <v>5</v>
      </c>
    </row>
    <row r="5" spans="1:11" ht="15.75" customHeight="1" x14ac:dyDescent="0.15">
      <c r="B5" s="5" t="s">
        <v>6</v>
      </c>
      <c r="C5" s="336">
        <v>44771</v>
      </c>
      <c r="D5" s="335"/>
      <c r="E5" s="268" t="str">
        <f ca="1">IF(C5+30&gt;=TODAY(),"Patience Premium","")</f>
        <v/>
      </c>
      <c r="G5" s="5" t="s">
        <v>7</v>
      </c>
      <c r="H5" s="339">
        <v>1837549831</v>
      </c>
      <c r="I5" s="340"/>
    </row>
    <row r="6" spans="1:11" ht="15.75" customHeight="1" x14ac:dyDescent="0.15">
      <c r="B6" s="13" t="s">
        <v>8</v>
      </c>
      <c r="C6" s="345">
        <v>44925</v>
      </c>
      <c r="D6" s="325"/>
      <c r="E6" s="268"/>
      <c r="G6" s="8" t="s">
        <v>9</v>
      </c>
      <c r="H6" s="346">
        <f>H4*H5/1000000</f>
        <v>4777.6295606000003</v>
      </c>
      <c r="I6" s="347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15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10.43576648238473</v>
      </c>
      <c r="I9" s="72">
        <f>IF(H9="NNI","NNI",1/H9)</f>
        <v>9.5824298261940874E-2</v>
      </c>
    </row>
    <row r="10" spans="1:11" ht="15.75" customHeight="1" x14ac:dyDescent="0.15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8" t="str">
        <f>IF('FCF Model'!C4&lt;=0,"Negative PEG",IFERROR(H9/('FCF Model'!C4*100),"NNI"))</f>
        <v>Negative PEG</v>
      </c>
      <c r="I10" s="349"/>
    </row>
    <row r="11" spans="1:11" ht="15.75" customHeight="1" x14ac:dyDescent="0.15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1.027620697386548</v>
      </c>
      <c r="I11" s="43">
        <f>IF('Asset Model'!D53/'FCF Model'!C16&lt;0,"Negative EV",'Asset Model'!D53/'FCF Model'!C16)</f>
        <v>4.5016155398655933</v>
      </c>
    </row>
    <row r="12" spans="1:11" ht="15.75" customHeight="1" x14ac:dyDescent="0.15">
      <c r="B12" s="20" t="s">
        <v>17</v>
      </c>
      <c r="C12" s="248"/>
      <c r="D12" s="15">
        <v>4.4999999999999998E-2</v>
      </c>
      <c r="E12" s="5"/>
      <c r="G12" s="7" t="s">
        <v>18</v>
      </c>
      <c r="H12" s="337" t="s">
        <v>5</v>
      </c>
      <c r="I12" s="338"/>
    </row>
    <row r="13" spans="1:11" ht="15.75" customHeight="1" x14ac:dyDescent="0.15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15"/>
    <row r="15" spans="1:11" ht="15.75" customHeight="1" x14ac:dyDescent="0.15">
      <c r="A15" s="11"/>
      <c r="B15" s="22" t="s">
        <v>21</v>
      </c>
      <c r="C15" s="318" t="s">
        <v>22</v>
      </c>
      <c r="D15" s="319"/>
      <c r="E15" s="318" t="s">
        <v>23</v>
      </c>
      <c r="F15" s="319"/>
      <c r="G15" s="13"/>
      <c r="H15" s="13"/>
      <c r="I15" s="8"/>
    </row>
    <row r="16" spans="1:11" ht="15.75" customHeight="1" x14ac:dyDescent="0.15">
      <c r="A16" s="6"/>
      <c r="B16" s="20" t="s">
        <v>24</v>
      </c>
      <c r="C16" s="320">
        <f>'FCF Model'!C63</f>
        <v>2.5587085594071994</v>
      </c>
      <c r="D16" s="311"/>
      <c r="E16" s="320">
        <f>'Asset Model'!D6</f>
        <v>1.9495043288434226</v>
      </c>
      <c r="F16" s="311"/>
      <c r="G16" s="36" t="s">
        <v>25</v>
      </c>
      <c r="H16" s="341">
        <f>C22/E16-1</f>
        <v>8.7455907962885604E-2</v>
      </c>
      <c r="I16" s="342"/>
      <c r="J16" s="6"/>
      <c r="K16" s="6"/>
    </row>
    <row r="17" spans="1:12" ht="15.75" customHeight="1" x14ac:dyDescent="0.15">
      <c r="B17" s="21" t="s">
        <v>26</v>
      </c>
      <c r="C17" s="33">
        <f>'FCF Model'!E63</f>
        <v>10.270032700943295</v>
      </c>
      <c r="D17" s="33">
        <f>'FCF Model'!F63</f>
        <v>1.0113007208565215</v>
      </c>
      <c r="E17" s="33">
        <f>'Asset Model'!H5</f>
        <v>7.8248353585415877</v>
      </c>
      <c r="F17" s="33">
        <f>'Asset Model'!H6</f>
        <v>0.77051961460160467</v>
      </c>
      <c r="G17" s="10" t="s">
        <v>27</v>
      </c>
      <c r="H17" s="343">
        <f ca="1">AVERAGE((1-'Qualitative Analysis'!E29),(1-'Qualitative Analysis'!E63),H16)+IF(C5+30&gt;=TODAY(),20%,0)</f>
        <v>0.41804085820985071</v>
      </c>
      <c r="I17" s="344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28</v>
      </c>
      <c r="C19" s="284">
        <v>0</v>
      </c>
      <c r="D19" s="284"/>
      <c r="E19" s="6"/>
      <c r="F19" s="6"/>
      <c r="G19" s="24" t="s">
        <v>28</v>
      </c>
      <c r="H19" s="330">
        <v>3</v>
      </c>
      <c r="I19" s="330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15">
      <c r="B22" s="26" t="s">
        <v>31</v>
      </c>
      <c r="C22" s="321">
        <v>2.12</v>
      </c>
      <c r="D22" s="322"/>
      <c r="E22" s="278" t="s">
        <v>32</v>
      </c>
      <c r="F22" s="270">
        <f>IF(Data!F3&lt;=0,"NNI",C22/((Data!F3*H13)/(H5/Data!C4)))</f>
        <v>8.5091634394829345</v>
      </c>
      <c r="G22" s="44" t="s">
        <v>33</v>
      </c>
      <c r="H22" s="303">
        <f>'FCF Model'!G63</f>
        <v>5.7459512467880058E-2</v>
      </c>
      <c r="I22" s="303"/>
      <c r="J22" s="6"/>
      <c r="L22" s="6"/>
    </row>
    <row r="23" spans="1:12" ht="15.75" customHeight="1" x14ac:dyDescent="0.15">
      <c r="B23" s="36" t="s">
        <v>34</v>
      </c>
      <c r="C23" s="300">
        <f>'FCF Model'!K60</f>
        <v>0.25402341861980759</v>
      </c>
      <c r="D23" s="301"/>
      <c r="E23" s="279" t="s">
        <v>35</v>
      </c>
      <c r="F23" s="33">
        <f>C22/(Data!C25*H13*Data!C4/Common_Shares)</f>
        <v>0.83790610709980073</v>
      </c>
      <c r="G23" s="44" t="s">
        <v>36</v>
      </c>
      <c r="H23" s="304">
        <f ca="1">D10+D12*(1+H17)</f>
        <v>9.3811838619443283E-2</v>
      </c>
      <c r="I23" s="304"/>
      <c r="J23" s="6"/>
      <c r="L23" s="6"/>
    </row>
    <row r="24" spans="1:12" ht="15.75" customHeight="1" x14ac:dyDescent="0.15">
      <c r="B24" s="10" t="s">
        <v>37</v>
      </c>
      <c r="C24" s="298">
        <f ca="1">C23-H23</f>
        <v>0.16021158000036431</v>
      </c>
      <c r="D24" s="299"/>
      <c r="E24" s="6"/>
      <c r="F24" s="6"/>
      <c r="G24" s="269" t="s">
        <v>38</v>
      </c>
      <c r="H24" s="289">
        <f ca="1">H22-H23</f>
        <v>-3.6352326151563225E-2</v>
      </c>
      <c r="I24" s="289"/>
      <c r="J24" s="6"/>
      <c r="L24" s="6"/>
    </row>
    <row r="25" spans="1:12" ht="15.75" customHeight="1" x14ac:dyDescent="0.15">
      <c r="B25" s="10" t="s">
        <v>39</v>
      </c>
      <c r="C25" s="285">
        <f>C19/C22</f>
        <v>0</v>
      </c>
      <c r="D25" s="286"/>
      <c r="E25" s="6"/>
      <c r="F25" s="6"/>
      <c r="G25" s="269" t="s">
        <v>40</v>
      </c>
      <c r="H25" s="287">
        <f>C19/H4</f>
        <v>0</v>
      </c>
      <c r="I25" s="288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42</v>
      </c>
      <c r="C28" s="315" t="s">
        <v>398</v>
      </c>
      <c r="D28" s="316"/>
      <c r="E28" s="316"/>
      <c r="F28" s="316"/>
      <c r="G28" s="316"/>
      <c r="H28" s="316"/>
      <c r="I28" s="317"/>
      <c r="J28" s="6"/>
    </row>
    <row r="29" spans="1:12" ht="52.5" customHeight="1" x14ac:dyDescent="0.15">
      <c r="A29" s="6"/>
      <c r="B29" s="27" t="s">
        <v>43</v>
      </c>
      <c r="C29" s="323" t="s">
        <v>399</v>
      </c>
      <c r="D29" s="297"/>
      <c r="E29" s="297"/>
      <c r="F29" s="297"/>
      <c r="G29" s="323" t="s">
        <v>400</v>
      </c>
      <c r="H29" s="297"/>
      <c r="I29" s="297"/>
      <c r="J29" s="6"/>
    </row>
    <row r="30" spans="1:12" ht="52.5" customHeight="1" x14ac:dyDescent="0.15">
      <c r="A30" s="6"/>
      <c r="B30" s="28" t="s">
        <v>44</v>
      </c>
      <c r="C30" s="324" t="s">
        <v>401</v>
      </c>
      <c r="D30" s="325"/>
      <c r="E30" s="325"/>
      <c r="F30" s="325"/>
      <c r="G30" s="324" t="s">
        <v>402</v>
      </c>
      <c r="H30" s="325"/>
      <c r="I30" s="325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47</v>
      </c>
      <c r="C33" s="327">
        <v>44784</v>
      </c>
      <c r="D33" s="328"/>
      <c r="E33" s="327"/>
      <c r="F33" s="328"/>
      <c r="G33" s="256"/>
      <c r="H33" s="302" t="s">
        <v>48</v>
      </c>
      <c r="I33" s="302"/>
      <c r="J33" s="6"/>
    </row>
    <row r="34" spans="2:10" ht="15.75" customHeight="1" x14ac:dyDescent="0.15">
      <c r="B34" s="26" t="s">
        <v>49</v>
      </c>
      <c r="C34" s="294">
        <f>C38/D32</f>
        <v>7.2285714285714273E-2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7.2285714285714273E-2</v>
      </c>
      <c r="I34" s="290"/>
      <c r="J34" s="6"/>
    </row>
    <row r="35" spans="2:10" ht="15.75" customHeight="1" x14ac:dyDescent="0.15">
      <c r="B35" s="26" t="s">
        <v>50</v>
      </c>
      <c r="C35" s="296">
        <v>22000</v>
      </c>
      <c r="D35" s="297"/>
      <c r="E35" s="296"/>
      <c r="F35" s="297"/>
      <c r="G35" s="255"/>
      <c r="H35" s="291">
        <f>C35+E35+G35</f>
        <v>22000</v>
      </c>
      <c r="I35" s="291"/>
      <c r="J35" s="6"/>
    </row>
    <row r="36" spans="2:10" ht="15.75" customHeight="1" x14ac:dyDescent="0.15">
      <c r="B36" s="26" t="s">
        <v>51</v>
      </c>
      <c r="C36" s="326">
        <v>2.2999999999999998</v>
      </c>
      <c r="D36" s="297"/>
      <c r="E36" s="326"/>
      <c r="F36" s="297"/>
      <c r="G36" s="258"/>
      <c r="H36" s="292"/>
      <c r="I36" s="292"/>
      <c r="J36" s="6"/>
    </row>
    <row r="37" spans="2:10" ht="15.75" customHeight="1" x14ac:dyDescent="0.15">
      <c r="B37" s="26" t="s">
        <v>52</v>
      </c>
      <c r="C37" s="309">
        <f>C36*$H$5/1000000</f>
        <v>4226.3646112999995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15">
      <c r="B38" s="2" t="s">
        <v>53</v>
      </c>
      <c r="C38" s="283">
        <f>C35*C36</f>
        <v>50599.999999999993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50599.999999999993</v>
      </c>
      <c r="I38" s="283"/>
      <c r="J38" s="6"/>
    </row>
    <row r="39" spans="2:10" ht="15.75" customHeight="1" x14ac:dyDescent="0.15">
      <c r="B39" s="1" t="s">
        <v>54</v>
      </c>
      <c r="C39" s="305"/>
      <c r="D39" s="306"/>
      <c r="E39" s="314">
        <f>IF(C38=0,"-",(C38+E38)/(C35+E35))</f>
        <v>2.2999999999999998</v>
      </c>
      <c r="F39" s="295"/>
      <c r="G39" s="250"/>
      <c r="H39" s="253"/>
      <c r="I39" s="35">
        <f>IF(H38=0,"",H38/H35)</f>
        <v>2.2999999999999998</v>
      </c>
      <c r="J39" s="6"/>
    </row>
    <row r="40" spans="2:10" ht="15.75" customHeight="1" x14ac:dyDescent="0.15">
      <c r="B40" s="1" t="s">
        <v>55</v>
      </c>
      <c r="C40" s="307"/>
      <c r="D40" s="308"/>
      <c r="E40" s="309">
        <f>IF(E39="-","-",E39*$H$5/1000000)</f>
        <v>4226.3646112999995</v>
      </c>
      <c r="F40" s="310"/>
      <c r="G40" s="251"/>
      <c r="H40" s="253"/>
      <c r="I40" s="252">
        <f>IF(I39="","",I39*$H$5/1000000)</f>
        <v>4226.3646112999995</v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D31" sqref="D31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-0.25253844224365607</v>
      </c>
      <c r="K3" s="6"/>
      <c r="L3" s="6"/>
      <c r="M3" s="6"/>
    </row>
    <row r="4" spans="1:14" ht="15.75" customHeight="1" x14ac:dyDescent="0.15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176439.75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-7.3199641347883149E-2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59</v>
      </c>
      <c r="C7" s="51">
        <v>1281649</v>
      </c>
      <c r="D7" s="51">
        <v>2561449</v>
      </c>
      <c r="E7" s="51">
        <v>1603918</v>
      </c>
      <c r="F7" s="51">
        <v>1641365</v>
      </c>
      <c r="G7" s="51">
        <v>4105950</v>
      </c>
      <c r="H7" s="51">
        <v>1398604</v>
      </c>
      <c r="I7" s="51">
        <v>1768257</v>
      </c>
      <c r="J7" s="51">
        <v>1599445</v>
      </c>
      <c r="K7" s="51">
        <v>1027581</v>
      </c>
      <c r="L7" s="51">
        <v>651576</v>
      </c>
      <c r="M7" s="51"/>
      <c r="N7" s="6"/>
    </row>
    <row r="8" spans="1:14" ht="15.75" customHeight="1" x14ac:dyDescent="0.15">
      <c r="A8" s="9"/>
      <c r="B8" s="67" t="s">
        <v>60</v>
      </c>
      <c r="C8" s="15">
        <f t="shared" ref="C8:L8" si="0">IF(D7="","",C7/D7-1)</f>
        <v>-0.49963907147868258</v>
      </c>
      <c r="D8" s="15">
        <f t="shared" si="0"/>
        <v>0.59699498353407088</v>
      </c>
      <c r="E8" s="15">
        <f t="shared" si="0"/>
        <v>-2.2814547647841854E-2</v>
      </c>
      <c r="F8" s="15">
        <f t="shared" si="0"/>
        <v>-0.60024720223090888</v>
      </c>
      <c r="G8" s="15">
        <f t="shared" si="0"/>
        <v>1.9357487895072514</v>
      </c>
      <c r="H8" s="15">
        <f t="shared" si="0"/>
        <v>-0.20904936329956558</v>
      </c>
      <c r="I8" s="15">
        <f t="shared" si="0"/>
        <v>0.10554411061336899</v>
      </c>
      <c r="J8" s="15">
        <f t="shared" si="0"/>
        <v>0.55651476623254026</v>
      </c>
      <c r="K8" s="15">
        <f t="shared" si="0"/>
        <v>0.57707005782901755</v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61</v>
      </c>
      <c r="C9" s="51">
        <v>915778</v>
      </c>
      <c r="D9" s="51">
        <v>1183731</v>
      </c>
      <c r="E9" s="51">
        <v>1208113</v>
      </c>
      <c r="F9" s="51">
        <v>1190164</v>
      </c>
      <c r="G9" s="51">
        <v>1800063</v>
      </c>
      <c r="H9" s="51">
        <v>1118652</v>
      </c>
      <c r="I9" s="51">
        <v>1138302</v>
      </c>
      <c r="J9" s="51">
        <v>772953</v>
      </c>
      <c r="K9" s="51">
        <v>520308</v>
      </c>
      <c r="L9" s="51">
        <v>376017</v>
      </c>
      <c r="M9" s="51"/>
      <c r="N9" s="6"/>
    </row>
    <row r="10" spans="1:14" ht="15.75" customHeight="1" x14ac:dyDescent="0.15">
      <c r="A10" s="9"/>
      <c r="B10" s="67" t="s">
        <v>62</v>
      </c>
      <c r="C10" s="15">
        <f t="shared" ref="C10:M10" si="1">IF(C7="","",(C7-C9)/C7)</f>
        <v>0.28546895444852688</v>
      </c>
      <c r="D10" s="15">
        <f t="shared" si="1"/>
        <v>0.53786665282033719</v>
      </c>
      <c r="E10" s="15">
        <f t="shared" si="1"/>
        <v>0.24677383756526206</v>
      </c>
      <c r="F10" s="15">
        <f t="shared" si="1"/>
        <v>0.27489376220401923</v>
      </c>
      <c r="G10" s="15">
        <f t="shared" si="1"/>
        <v>0.56159646366857852</v>
      </c>
      <c r="H10" s="15">
        <f t="shared" si="1"/>
        <v>0.20016530769252769</v>
      </c>
      <c r="I10" s="15">
        <f t="shared" si="1"/>
        <v>0.35625760282583357</v>
      </c>
      <c r="J10" s="15">
        <f t="shared" si="1"/>
        <v>0.51673674305774819</v>
      </c>
      <c r="K10" s="15">
        <f t="shared" si="1"/>
        <v>0.49365743430444897</v>
      </c>
      <c r="L10" s="15">
        <f t="shared" si="1"/>
        <v>0.42291152528638254</v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63</v>
      </c>
      <c r="C11" s="51">
        <v>130618</v>
      </c>
      <c r="D11" s="51">
        <v>151504</v>
      </c>
      <c r="E11" s="51">
        <v>152501</v>
      </c>
      <c r="F11" s="51">
        <v>155688</v>
      </c>
      <c r="G11" s="51">
        <v>137809</v>
      </c>
      <c r="H11" s="51">
        <v>123295</v>
      </c>
      <c r="I11" s="51">
        <v>150977</v>
      </c>
      <c r="J11" s="51">
        <v>106938</v>
      </c>
      <c r="K11" s="51">
        <v>84316</v>
      </c>
      <c r="L11" s="51">
        <v>75325</v>
      </c>
      <c r="M11" s="51"/>
      <c r="N11" s="6"/>
    </row>
    <row r="12" spans="1:14" ht="15.75" customHeight="1" x14ac:dyDescent="0.15">
      <c r="A12" s="9"/>
      <c r="B12" s="67" t="s">
        <v>64</v>
      </c>
      <c r="C12" s="15">
        <f t="shared" ref="C12:M12" si="2">IF(C7="","",C10-C13)</f>
        <v>0.10191401858075028</v>
      </c>
      <c r="D12" s="15">
        <f t="shared" si="2"/>
        <v>5.9147771437182584E-2</v>
      </c>
      <c r="E12" s="15">
        <f t="shared" si="2"/>
        <v>9.508029712242147E-2</v>
      </c>
      <c r="F12" s="15">
        <f t="shared" si="2"/>
        <v>9.4852759745699483E-2</v>
      </c>
      <c r="G12" s="15">
        <f t="shared" si="2"/>
        <v>3.3563243585528313E-2</v>
      </c>
      <c r="H12" s="15">
        <f t="shared" si="2"/>
        <v>8.8155761030284482E-2</v>
      </c>
      <c r="I12" s="15">
        <f t="shared" si="2"/>
        <v>8.538181949795759E-2</v>
      </c>
      <c r="J12" s="15">
        <f t="shared" si="2"/>
        <v>6.6859441868898306E-2</v>
      </c>
      <c r="K12" s="15">
        <f t="shared" si="2"/>
        <v>8.2052898992877432E-2</v>
      </c>
      <c r="L12" s="15">
        <f t="shared" si="2"/>
        <v>0.11560431937333476</v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65</v>
      </c>
      <c r="C13" s="15">
        <f t="shared" ref="C13:M13" si="3">IF(C14="","",C14/C7)</f>
        <v>0.1835549358677766</v>
      </c>
      <c r="D13" s="15">
        <f t="shared" si="3"/>
        <v>0.4787188813831546</v>
      </c>
      <c r="E13" s="15">
        <f t="shared" si="3"/>
        <v>0.15169354044284059</v>
      </c>
      <c r="F13" s="15">
        <f t="shared" si="3"/>
        <v>0.18004100245831975</v>
      </c>
      <c r="G13" s="15">
        <f t="shared" si="3"/>
        <v>0.5280332200830502</v>
      </c>
      <c r="H13" s="15">
        <f t="shared" si="3"/>
        <v>0.11200954666224321</v>
      </c>
      <c r="I13" s="15">
        <f t="shared" si="3"/>
        <v>0.27087578332787599</v>
      </c>
      <c r="J13" s="15">
        <f t="shared" si="3"/>
        <v>0.44987730118884989</v>
      </c>
      <c r="K13" s="15">
        <f t="shared" si="3"/>
        <v>0.41160453531157154</v>
      </c>
      <c r="L13" s="15">
        <f t="shared" si="3"/>
        <v>0.30730720591304778</v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66</v>
      </c>
      <c r="C14" s="34">
        <f t="shared" ref="C14:M14" si="4">IF(C7="","",C7-C9-C11)</f>
        <v>235253</v>
      </c>
      <c r="D14" s="34">
        <f t="shared" si="4"/>
        <v>1226214</v>
      </c>
      <c r="E14" s="34">
        <f t="shared" si="4"/>
        <v>243304</v>
      </c>
      <c r="F14" s="34">
        <f t="shared" si="4"/>
        <v>295513</v>
      </c>
      <c r="G14" s="34">
        <f t="shared" si="4"/>
        <v>2168078</v>
      </c>
      <c r="H14" s="34">
        <f t="shared" si="4"/>
        <v>156657</v>
      </c>
      <c r="I14" s="34">
        <f t="shared" si="4"/>
        <v>478978</v>
      </c>
      <c r="J14" s="34">
        <f t="shared" si="4"/>
        <v>719554</v>
      </c>
      <c r="K14" s="34">
        <f t="shared" si="4"/>
        <v>422957</v>
      </c>
      <c r="L14" s="34">
        <f t="shared" si="4"/>
        <v>200234</v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67</v>
      </c>
      <c r="C15" s="15">
        <f>IF(D14="","",IF(ABS(C14+D14)=ABS(C14)+ABS(D14),IF(C14&lt;0,-1,1)*(C14-D14)/D14,"Turn"))</f>
        <v>-0.80814686506596722</v>
      </c>
      <c r="D15" s="15">
        <f t="shared" ref="D15:M15" si="5">IF(E14="","",IF(ABS(D14+E14)=ABS(D14)+ABS(E14),IF(D14&lt;0,-1,1)*(D14-E14)/E14,"Turn"))</f>
        <v>4.0398431591753523</v>
      </c>
      <c r="E15" s="15">
        <f t="shared" si="5"/>
        <v>-0.17667243065448898</v>
      </c>
      <c r="F15" s="15">
        <f t="shared" si="5"/>
        <v>-0.86369816953080103</v>
      </c>
      <c r="G15" s="15">
        <f t="shared" si="5"/>
        <v>12.839649680512203</v>
      </c>
      <c r="H15" s="15">
        <f t="shared" si="5"/>
        <v>-0.67293487383554151</v>
      </c>
      <c r="I15" s="15">
        <f t="shared" si="5"/>
        <v>-0.33434043866061475</v>
      </c>
      <c r="J15" s="15">
        <f t="shared" si="5"/>
        <v>0.7012462259756902</v>
      </c>
      <c r="K15" s="15">
        <f t="shared" si="5"/>
        <v>1.1123135930960777</v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68</v>
      </c>
      <c r="C16" s="34">
        <f>IF(C14="","",C14*(1-'FCF Model'!$D$17))</f>
        <v>176439.75</v>
      </c>
      <c r="D16" s="34">
        <f>IF(D14="","",D14*(1-'FCF Model'!$D$17))</f>
        <v>919660.5</v>
      </c>
      <c r="E16" s="34">
        <f>IF(E14="","",E14*(1-'FCF Model'!$D$17))</f>
        <v>182478</v>
      </c>
      <c r="F16" s="34">
        <f>IF(F14="","",F14*(1-'FCF Model'!$D$17))</f>
        <v>221634.75</v>
      </c>
      <c r="G16" s="34">
        <f>IF(G14="","",G14*(1-'FCF Model'!$D$17))</f>
        <v>1626058.5</v>
      </c>
      <c r="H16" s="34">
        <f>IF(H14="","",H14*(1-'FCF Model'!$D$17))</f>
        <v>117492.75</v>
      </c>
      <c r="I16" s="34">
        <f>IF(I14="","",I14*(1-'FCF Model'!$D$17))</f>
        <v>359233.5</v>
      </c>
      <c r="J16" s="34">
        <f>IF(J14="","",J14*(1-'FCF Model'!$D$17))</f>
        <v>539665.5</v>
      </c>
      <c r="K16" s="34">
        <f>IF(K14="","",K14*(1-'FCF Model'!$D$17))</f>
        <v>317217.75</v>
      </c>
      <c r="L16" s="34">
        <f>IF(L14="","",L14*(1-'FCF Model'!$D$17))</f>
        <v>150175.5</v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69</v>
      </c>
      <c r="C17" s="51">
        <v>3968</v>
      </c>
      <c r="D17" s="51">
        <v>3450</v>
      </c>
      <c r="E17" s="51">
        <v>5627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/>
      <c r="N17" s="6"/>
    </row>
    <row r="18" spans="1:14" ht="15.75" customHeight="1" x14ac:dyDescent="0.15">
      <c r="A18" s="9"/>
      <c r="B18" s="67" t="s">
        <v>70</v>
      </c>
      <c r="C18" s="51">
        <v>457813</v>
      </c>
      <c r="D18" s="51">
        <v>1379475</v>
      </c>
      <c r="E18" s="51">
        <v>513409</v>
      </c>
      <c r="F18" s="51">
        <v>229453</v>
      </c>
      <c r="G18" s="51">
        <v>2086564</v>
      </c>
      <c r="H18" s="51">
        <v>146020</v>
      </c>
      <c r="I18" s="51">
        <v>270788</v>
      </c>
      <c r="J18" s="51">
        <v>801401</v>
      </c>
      <c r="K18" s="51">
        <v>381246</v>
      </c>
      <c r="L18" s="51">
        <v>369478</v>
      </c>
      <c r="M18" s="51"/>
      <c r="N18" s="6"/>
    </row>
    <row r="19" spans="1:14" ht="15.75" customHeight="1" x14ac:dyDescent="0.15">
      <c r="A19" s="9"/>
      <c r="B19" s="67" t="s">
        <v>71</v>
      </c>
      <c r="C19" s="15">
        <f t="shared" ref="C19:M19" si="6">IF(C7="","",C18/C7)</f>
        <v>0.35720622416901976</v>
      </c>
      <c r="D19" s="15">
        <f t="shared" si="6"/>
        <v>0.53855259269265165</v>
      </c>
      <c r="E19" s="15">
        <f t="shared" si="6"/>
        <v>0.32009678799040847</v>
      </c>
      <c r="F19" s="15">
        <f t="shared" si="6"/>
        <v>0.1397940129099865</v>
      </c>
      <c r="G19" s="15">
        <f t="shared" si="6"/>
        <v>0.50818056722561156</v>
      </c>
      <c r="H19" s="15">
        <f t="shared" si="6"/>
        <v>0.10440410580836319</v>
      </c>
      <c r="I19" s="15">
        <f t="shared" si="6"/>
        <v>0.15313837298537486</v>
      </c>
      <c r="J19" s="15">
        <f t="shared" si="6"/>
        <v>0.50104942651982409</v>
      </c>
      <c r="K19" s="15">
        <f t="shared" si="6"/>
        <v>0.37101308801933863</v>
      </c>
      <c r="L19" s="15">
        <f t="shared" si="6"/>
        <v>0.56705280734710917</v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72</v>
      </c>
      <c r="C20" s="68">
        <f>'Asset Model'!C21</f>
        <v>2002346</v>
      </c>
      <c r="D20" s="51">
        <v>3670507</v>
      </c>
      <c r="E20" s="51">
        <v>2865345</v>
      </c>
      <c r="F20" s="51">
        <v>2527686</v>
      </c>
      <c r="G20" s="51">
        <v>5106235</v>
      </c>
      <c r="H20" s="51">
        <v>3106308</v>
      </c>
      <c r="I20" s="51">
        <v>3051307</v>
      </c>
      <c r="J20" s="51">
        <v>3170680</v>
      </c>
      <c r="K20" s="51">
        <v>1921903</v>
      </c>
      <c r="L20" s="51">
        <v>1751952</v>
      </c>
      <c r="M20" s="51"/>
      <c r="N20" s="6"/>
    </row>
    <row r="21" spans="1:14" ht="15.75" customHeight="1" x14ac:dyDescent="0.15">
      <c r="A21" s="9"/>
      <c r="B21" s="67" t="s">
        <v>73</v>
      </c>
      <c r="C21" s="68">
        <f>'Asset Model'!H21</f>
        <v>182527</v>
      </c>
      <c r="D21" s="51">
        <v>828810</v>
      </c>
      <c r="E21" s="51">
        <v>420078</v>
      </c>
      <c r="F21" s="51">
        <v>315633</v>
      </c>
      <c r="G21" s="51">
        <v>1218726</v>
      </c>
      <c r="H21" s="51">
        <v>2910215</v>
      </c>
      <c r="I21" s="51">
        <v>404572</v>
      </c>
      <c r="J21" s="51">
        <v>475871</v>
      </c>
      <c r="K21" s="51">
        <v>251770</v>
      </c>
      <c r="L21" s="51">
        <v>265414</v>
      </c>
      <c r="M21" s="51"/>
      <c r="N21" s="6"/>
    </row>
    <row r="22" spans="1:14" ht="15.75" customHeight="1" x14ac:dyDescent="0.15">
      <c r="A22" s="9"/>
      <c r="B22" s="67" t="s">
        <v>74</v>
      </c>
      <c r="C22" s="68">
        <f>'Asset Model'!H10+'Asset Model'!H12</f>
        <v>19158</v>
      </c>
      <c r="D22" s="51">
        <v>98956</v>
      </c>
      <c r="E22" s="51">
        <v>28056</v>
      </c>
      <c r="F22" s="51">
        <v>0</v>
      </c>
      <c r="G22" s="51">
        <v>0</v>
      </c>
      <c r="H22" s="51">
        <v>0</v>
      </c>
      <c r="I22" s="51">
        <v>59800</v>
      </c>
      <c r="J22" s="51">
        <v>62420</v>
      </c>
      <c r="K22" s="51">
        <v>0</v>
      </c>
      <c r="L22" s="51">
        <v>0</v>
      </c>
      <c r="M22" s="51"/>
      <c r="N22" s="6"/>
    </row>
    <row r="23" spans="1:14" ht="15.75" customHeight="1" x14ac:dyDescent="0.15">
      <c r="A23" s="9"/>
      <c r="B23" s="67" t="s">
        <v>75</v>
      </c>
      <c r="C23" s="68">
        <f>'Asset Model'!H23+'Asset Model'!H24</f>
        <v>96197</v>
      </c>
      <c r="D23" s="51">
        <v>775</v>
      </c>
      <c r="E23" s="51">
        <v>92873</v>
      </c>
      <c r="F23" s="51">
        <v>83168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/>
      <c r="N23" s="6"/>
    </row>
    <row r="24" spans="1:14" ht="15.75" customHeight="1" x14ac:dyDescent="0.15">
      <c r="A24" s="9"/>
      <c r="B24" s="67" t="s">
        <v>76</v>
      </c>
      <c r="C24" s="34">
        <f t="shared" ref="C24:M24" si="7">IF(C7="","",C22+C23)</f>
        <v>115355</v>
      </c>
      <c r="D24" s="34">
        <f t="shared" si="7"/>
        <v>99731</v>
      </c>
      <c r="E24" s="34">
        <f t="shared" si="7"/>
        <v>120929</v>
      </c>
      <c r="F24" s="34">
        <f t="shared" si="7"/>
        <v>83168</v>
      </c>
      <c r="G24" s="34">
        <f t="shared" si="7"/>
        <v>0</v>
      </c>
      <c r="H24" s="34">
        <f t="shared" si="7"/>
        <v>0</v>
      </c>
      <c r="I24" s="34">
        <f t="shared" si="7"/>
        <v>59800</v>
      </c>
      <c r="J24" s="34">
        <f t="shared" si="7"/>
        <v>62420</v>
      </c>
      <c r="K24" s="34">
        <f t="shared" si="7"/>
        <v>0</v>
      </c>
      <c r="L24" s="34">
        <f t="shared" si="7"/>
        <v>0</v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77</v>
      </c>
      <c r="C25" s="68">
        <f>'Asset Model'!D3</f>
        <v>4649215</v>
      </c>
      <c r="D25" s="51">
        <v>5418042</v>
      </c>
      <c r="E25" s="51">
        <v>4389444</v>
      </c>
      <c r="F25" s="51">
        <v>3978461</v>
      </c>
      <c r="G25" s="51">
        <v>5640023</v>
      </c>
      <c r="H25" s="51">
        <v>3760569</v>
      </c>
      <c r="I25" s="51">
        <v>3860461</v>
      </c>
      <c r="J25" s="51">
        <v>3886205</v>
      </c>
      <c r="K25" s="51">
        <v>2828665</v>
      </c>
      <c r="L25" s="51">
        <v>2717178</v>
      </c>
      <c r="M25" s="51"/>
      <c r="N25" s="6"/>
    </row>
    <row r="26" spans="1:14" ht="15.75" customHeight="1" x14ac:dyDescent="0.15">
      <c r="A26" s="9"/>
      <c r="B26" s="67" t="s">
        <v>78</v>
      </c>
      <c r="C26" s="68">
        <f>'Asset Model'!C43</f>
        <v>0</v>
      </c>
      <c r="D26" s="51">
        <v>0</v>
      </c>
      <c r="E26" s="51">
        <v>0</v>
      </c>
      <c r="F26" s="51">
        <v>0</v>
      </c>
      <c r="G26" s="51">
        <v>0</v>
      </c>
      <c r="H26" s="51">
        <v>62853</v>
      </c>
      <c r="I26" s="51">
        <v>70262</v>
      </c>
      <c r="J26" s="51">
        <v>76617</v>
      </c>
      <c r="K26" s="51">
        <v>81590</v>
      </c>
      <c r="L26" s="51">
        <v>84753</v>
      </c>
      <c r="M26" s="51"/>
      <c r="N26" s="6"/>
    </row>
    <row r="27" spans="1:14" ht="15.75" customHeight="1" x14ac:dyDescent="0.15">
      <c r="A27" s="9"/>
      <c r="B27" s="67" t="s">
        <v>79</v>
      </c>
      <c r="C27" s="68">
        <f>'Asset Model'!D52</f>
        <v>1603645</v>
      </c>
      <c r="D27" s="51">
        <v>1974408</v>
      </c>
      <c r="E27" s="51">
        <v>2200778</v>
      </c>
      <c r="F27" s="51">
        <v>1629166</v>
      </c>
      <c r="G27" s="51">
        <v>2204704</v>
      </c>
      <c r="H27" s="51">
        <v>2629131</v>
      </c>
      <c r="I27" s="51">
        <v>2228784</v>
      </c>
      <c r="J27" s="51">
        <v>1551001</v>
      </c>
      <c r="K27" s="51">
        <v>692116</v>
      </c>
      <c r="L27" s="51">
        <v>888090</v>
      </c>
      <c r="M27" s="51"/>
      <c r="N27" s="6"/>
    </row>
    <row r="28" spans="1:14" ht="15.75" customHeight="1" x14ac:dyDescent="0.15">
      <c r="A28" s="9"/>
      <c r="B28" s="67" t="s">
        <v>80</v>
      </c>
      <c r="C28" s="68">
        <f>'Asset Model'!C23+'Asset Model'!C24+'Asset Model'!C27</f>
        <v>232020</v>
      </c>
      <c r="D28" s="51">
        <v>208555</v>
      </c>
      <c r="E28" s="51">
        <v>235491</v>
      </c>
      <c r="F28" s="51">
        <v>26543</v>
      </c>
      <c r="G28" s="51">
        <v>26543</v>
      </c>
      <c r="H28" s="51">
        <v>7710</v>
      </c>
      <c r="I28" s="51">
        <v>16461</v>
      </c>
      <c r="J28" s="51">
        <v>13753</v>
      </c>
      <c r="K28" s="51">
        <v>4332</v>
      </c>
      <c r="L28" s="51">
        <v>7747</v>
      </c>
      <c r="M28" s="51"/>
      <c r="N28" s="6"/>
    </row>
    <row r="29" spans="1:14" ht="15.75" customHeight="1" x14ac:dyDescent="0.15">
      <c r="A29" s="9"/>
      <c r="B29" s="67" t="s">
        <v>81</v>
      </c>
      <c r="C29" s="15">
        <f t="shared" ref="C29:M29" si="8">IF(D7="","",(C28-D28)/C28)</f>
        <v>0.10113352297215757</v>
      </c>
      <c r="D29" s="15">
        <f t="shared" si="8"/>
        <v>-0.12915537867708757</v>
      </c>
      <c r="E29" s="15">
        <f t="shared" si="8"/>
        <v>0.88728656296843611</v>
      </c>
      <c r="F29" s="15">
        <f t="shared" si="8"/>
        <v>0</v>
      </c>
      <c r="G29" s="15">
        <f t="shared" si="8"/>
        <v>0.70952793580228313</v>
      </c>
      <c r="H29" s="15">
        <f t="shared" si="8"/>
        <v>-1.1350194552529183</v>
      </c>
      <c r="I29" s="15">
        <f t="shared" si="8"/>
        <v>0.1645100540671891</v>
      </c>
      <c r="J29" s="15">
        <f t="shared" si="8"/>
        <v>0.68501417872464188</v>
      </c>
      <c r="K29" s="15">
        <f t="shared" si="8"/>
        <v>-0.78831948291782084</v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82</v>
      </c>
      <c r="C30" s="34">
        <f>IF(D7="","",(C7-D7)*$D$49)</f>
        <v>0</v>
      </c>
      <c r="D30" s="34">
        <f t="shared" ref="D30:M30" si="9">IF(E7="","",(D7-E7)*$D$49)</f>
        <v>0</v>
      </c>
      <c r="E30" s="34">
        <f t="shared" si="9"/>
        <v>0</v>
      </c>
      <c r="F30" s="34">
        <f t="shared" si="9"/>
        <v>0</v>
      </c>
      <c r="G30" s="34">
        <f t="shared" si="9"/>
        <v>0</v>
      </c>
      <c r="H30" s="34">
        <f t="shared" si="9"/>
        <v>0</v>
      </c>
      <c r="I30" s="34">
        <f t="shared" si="9"/>
        <v>0</v>
      </c>
      <c r="J30" s="34">
        <f t="shared" si="9"/>
        <v>0</v>
      </c>
      <c r="K30" s="34">
        <f t="shared" si="9"/>
        <v>0</v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83</v>
      </c>
      <c r="C31" s="34">
        <f t="shared" ref="C31:M31" si="10">IF(D7="","",C28-D28+C30)</f>
        <v>23465</v>
      </c>
      <c r="D31" s="34">
        <f t="shared" si="10"/>
        <v>-26936</v>
      </c>
      <c r="E31" s="34">
        <f t="shared" si="10"/>
        <v>208948</v>
      </c>
      <c r="F31" s="34">
        <f t="shared" si="10"/>
        <v>0</v>
      </c>
      <c r="G31" s="34">
        <f t="shared" si="10"/>
        <v>18833</v>
      </c>
      <c r="H31" s="34">
        <f t="shared" si="10"/>
        <v>-8751</v>
      </c>
      <c r="I31" s="34">
        <f t="shared" si="10"/>
        <v>2708</v>
      </c>
      <c r="J31" s="34">
        <f t="shared" si="10"/>
        <v>9421</v>
      </c>
      <c r="K31" s="34">
        <f t="shared" si="10"/>
        <v>-3415</v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84</v>
      </c>
      <c r="C32" s="15">
        <f t="shared" ref="C32:M32" si="11">IF(C31="","",C31/C16)</f>
        <v>0.13299157361082181</v>
      </c>
      <c r="D32" s="15">
        <f t="shared" si="11"/>
        <v>-2.9289069172808879E-2</v>
      </c>
      <c r="E32" s="15">
        <f t="shared" si="11"/>
        <v>1.1450585824044541</v>
      </c>
      <c r="F32" s="15">
        <f t="shared" si="11"/>
        <v>0</v>
      </c>
      <c r="G32" s="15">
        <f t="shared" si="11"/>
        <v>1.1581994128747521E-2</v>
      </c>
      <c r="H32" s="15">
        <f t="shared" si="11"/>
        <v>-7.4481191392660392E-2</v>
      </c>
      <c r="I32" s="15">
        <f t="shared" si="11"/>
        <v>7.5382724606697319E-3</v>
      </c>
      <c r="J32" s="15">
        <f t="shared" si="11"/>
        <v>1.7457110006105635E-2</v>
      </c>
      <c r="K32" s="15">
        <f t="shared" si="11"/>
        <v>-1.0765475765463944E-2</v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85</v>
      </c>
      <c r="C33" s="70">
        <f t="shared" ref="C33:M33" si="12">IF(C25="","",C25-C27+C24)</f>
        <v>3160925</v>
      </c>
      <c r="D33" s="70">
        <f t="shared" si="12"/>
        <v>3543365</v>
      </c>
      <c r="E33" s="70">
        <f t="shared" si="12"/>
        <v>2309595</v>
      </c>
      <c r="F33" s="70">
        <f t="shared" si="12"/>
        <v>2432463</v>
      </c>
      <c r="G33" s="70">
        <f t="shared" si="12"/>
        <v>3435319</v>
      </c>
      <c r="H33" s="70">
        <f t="shared" si="12"/>
        <v>1131438</v>
      </c>
      <c r="I33" s="70">
        <f t="shared" si="12"/>
        <v>1691477</v>
      </c>
      <c r="J33" s="70">
        <f t="shared" si="12"/>
        <v>2397624</v>
      </c>
      <c r="K33" s="70">
        <f t="shared" si="12"/>
        <v>2136549</v>
      </c>
      <c r="L33" s="70">
        <f t="shared" si="12"/>
        <v>1829088</v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87</v>
      </c>
      <c r="C35" s="72">
        <f>IF(C16="","",(C16*$C$4)/(Dashboard!$H$6*1000000))</f>
        <v>3.6930395662120308E-2</v>
      </c>
      <c r="D35" s="72">
        <f>IF(D16="","",(D16*$C$4)/(Dashboard!$H$6*1000000))</f>
        <v>0.19249305295333616</v>
      </c>
      <c r="E35" s="72">
        <f>IF(E16="","",(E16*$C$4)/(Dashboard!$H$6*1000000))</f>
        <v>3.8194254637248064E-2</v>
      </c>
      <c r="F35" s="72">
        <f>IF(F16="","",(F16*$C$4)/(Dashboard!$H$6*1000000))</f>
        <v>4.6390107727851113E-2</v>
      </c>
      <c r="G35" s="72">
        <f>IF(G16="","",(G16*$C$4)/(Dashboard!$H$6*1000000))</f>
        <v>0.34034838393703148</v>
      </c>
      <c r="H35" s="72">
        <f>IF(H16="","",(H16*$C$4)/(Dashboard!$H$6*1000000))</f>
        <v>2.459226872023218E-2</v>
      </c>
      <c r="I35" s="72">
        <f>IF(I16="","",(I16*$C$4)/(Dashboard!$H$6*1000000))</f>
        <v>7.5190739558904929E-2</v>
      </c>
      <c r="J35" s="72">
        <f>IF(J16="","",(J16*$C$4)/(Dashboard!$H$6*1000000))</f>
        <v>0.11295674835288526</v>
      </c>
      <c r="K35" s="72">
        <f>IF(K16="","",(K16*$C$4)/(Dashboard!$H$6*1000000))</f>
        <v>6.6396472555348571E-2</v>
      </c>
      <c r="L35" s="72">
        <f>IF(L16="","",(L16*$C$4)/(Dashboard!$H$6*1000000))</f>
        <v>3.1433056517914747E-2</v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88</v>
      </c>
      <c r="C36" s="73">
        <f>IF(C18="","",(C18*$C$4)/(Dashboard!$H$6*1000000))</f>
        <v>9.5824298261940888E-2</v>
      </c>
      <c r="D36" s="73">
        <f>IF(D18="","",(D18*$C$4)/(Dashboard!$H$6*1000000))</f>
        <v>0.28873628281610808</v>
      </c>
      <c r="E36" s="73">
        <f>IF(E18="","",(E18*$C$4)/(Dashboard!$H$6*1000000))</f>
        <v>0.10746103135202541</v>
      </c>
      <c r="F36" s="73">
        <f>IF(F18="","",(F18*$C$4)/(Dashboard!$H$6*1000000))</f>
        <v>4.8026536400445428E-2</v>
      </c>
      <c r="G36" s="73">
        <f>IF(G18="","",(G18*$C$4)/(Dashboard!$H$6*1000000))</f>
        <v>0.43673624619359525</v>
      </c>
      <c r="H36" s="73">
        <f>IF(H18="","",(H18*$C$4)/(Dashboard!$H$6*1000000))</f>
        <v>3.0563273721385387E-2</v>
      </c>
      <c r="I36" s="73">
        <f>IF(I18="","",(I18*$C$4)/(Dashboard!$H$6*1000000))</f>
        <v>5.6678316425602698E-2</v>
      </c>
      <c r="J36" s="73">
        <f>IF(J18="","",(J18*$C$4)/(Dashboard!$H$6*1000000))</f>
        <v>0.16774029669628798</v>
      </c>
      <c r="K36" s="73">
        <f>IF(K18="","",(K18*$C$4)/(Dashboard!$H$6*1000000))</f>
        <v>7.9798149932771484E-2</v>
      </c>
      <c r="L36" s="73">
        <f>IF(L18="","",(L18*$C$4)/(Dashboard!$H$6*1000000))</f>
        <v>7.7335003753116208E-2</v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90</v>
      </c>
      <c r="C38" s="72">
        <f t="shared" ref="C38:M38" si="13">IF(C7="","",C16/C7)</f>
        <v>0.13766620190083245</v>
      </c>
      <c r="D38" s="72">
        <f t="shared" si="13"/>
        <v>0.35903916103736594</v>
      </c>
      <c r="E38" s="72">
        <f t="shared" si="13"/>
        <v>0.11377015533213045</v>
      </c>
      <c r="F38" s="72">
        <f t="shared" si="13"/>
        <v>0.1350307518437398</v>
      </c>
      <c r="G38" s="72">
        <f t="shared" si="13"/>
        <v>0.39602491506228765</v>
      </c>
      <c r="H38" s="72">
        <f t="shared" si="13"/>
        <v>8.4007159996682401E-2</v>
      </c>
      <c r="I38" s="72">
        <f t="shared" si="13"/>
        <v>0.20315683749590699</v>
      </c>
      <c r="J38" s="72">
        <f t="shared" si="13"/>
        <v>0.3374079758916374</v>
      </c>
      <c r="K38" s="72">
        <f t="shared" si="13"/>
        <v>0.30870340148367864</v>
      </c>
      <c r="L38" s="72">
        <f t="shared" si="13"/>
        <v>0.23048040443478582</v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91</v>
      </c>
      <c r="C39" s="74">
        <f t="shared" ref="C39:L39" si="14">IF(D33="","",C7/D33)</f>
        <v>0.36170391703931148</v>
      </c>
      <c r="D39" s="74">
        <f t="shared" si="14"/>
        <v>1.1090468242267584</v>
      </c>
      <c r="E39" s="74">
        <f t="shared" si="14"/>
        <v>0.65938022489961823</v>
      </c>
      <c r="F39" s="74">
        <f t="shared" si="14"/>
        <v>0.47779114545112111</v>
      </c>
      <c r="G39" s="74">
        <f t="shared" si="14"/>
        <v>3.6289659707381228</v>
      </c>
      <c r="H39" s="74">
        <f t="shared" si="14"/>
        <v>0.82685369059112246</v>
      </c>
      <c r="I39" s="74">
        <f t="shared" si="14"/>
        <v>0.73750387884005164</v>
      </c>
      <c r="J39" s="74">
        <f t="shared" si="14"/>
        <v>0.74861142899133137</v>
      </c>
      <c r="K39" s="74">
        <f t="shared" si="14"/>
        <v>0.56179965097359996</v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92</v>
      </c>
      <c r="C40" s="73">
        <f t="shared" ref="C40:L40" si="15">IF(D33="","",C16/D33)</f>
        <v>4.9794404471455805E-2</v>
      </c>
      <c r="D40" s="73">
        <f t="shared" si="15"/>
        <v>0.39819124132153039</v>
      </c>
      <c r="E40" s="73">
        <f t="shared" si="15"/>
        <v>7.501779060976467E-2</v>
      </c>
      <c r="F40" s="73">
        <f t="shared" si="15"/>
        <v>6.4516497594546529E-2</v>
      </c>
      <c r="G40" s="73">
        <f t="shared" si="15"/>
        <v>1.4371609403254972</v>
      </c>
      <c r="H40" s="73">
        <f t="shared" si="15"/>
        <v>6.9461630279335745E-2</v>
      </c>
      <c r="I40" s="73">
        <f t="shared" si="15"/>
        <v>0.14982895566610946</v>
      </c>
      <c r="J40" s="73">
        <f t="shared" si="15"/>
        <v>0.25258746698531137</v>
      </c>
      <c r="K40" s="73">
        <f t="shared" si="15"/>
        <v>0.17342946320789376</v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94</v>
      </c>
      <c r="C42" s="72">
        <f t="shared" ref="C42:M42" si="16">IF(C33="","",C23/C25)</f>
        <v>2.0691019881851021E-2</v>
      </c>
      <c r="D42" s="72">
        <f t="shared" si="16"/>
        <v>1.4304060396726345E-4</v>
      </c>
      <c r="E42" s="72">
        <f t="shared" si="16"/>
        <v>2.1158260590635171E-2</v>
      </c>
      <c r="F42" s="72">
        <f t="shared" si="16"/>
        <v>2.0904565861020127E-2</v>
      </c>
      <c r="G42" s="72">
        <f t="shared" si="16"/>
        <v>0</v>
      </c>
      <c r="H42" s="72">
        <f t="shared" si="16"/>
        <v>0</v>
      </c>
      <c r="I42" s="72">
        <f t="shared" si="16"/>
        <v>0</v>
      </c>
      <c r="J42" s="72">
        <f t="shared" si="16"/>
        <v>0</v>
      </c>
      <c r="K42" s="72">
        <f t="shared" si="16"/>
        <v>0</v>
      </c>
      <c r="L42" s="72">
        <f t="shared" si="16"/>
        <v>0</v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95</v>
      </c>
      <c r="C43" s="15">
        <f t="shared" ref="C43:M43" si="17">IF(C33="","",C24/C25)</f>
        <v>2.4811715526169471E-2</v>
      </c>
      <c r="D43" s="15">
        <f t="shared" si="17"/>
        <v>1.8407203192592453E-2</v>
      </c>
      <c r="E43" s="15">
        <f t="shared" si="17"/>
        <v>2.7549958491326007E-2</v>
      </c>
      <c r="F43" s="15">
        <f t="shared" si="17"/>
        <v>2.0904565861020127E-2</v>
      </c>
      <c r="G43" s="15">
        <f t="shared" si="17"/>
        <v>0</v>
      </c>
      <c r="H43" s="15">
        <f t="shared" si="17"/>
        <v>0</v>
      </c>
      <c r="I43" s="15">
        <f t="shared" si="17"/>
        <v>1.5490377962631923E-2</v>
      </c>
      <c r="J43" s="15">
        <f t="shared" si="17"/>
        <v>1.6061942177522801E-2</v>
      </c>
      <c r="K43" s="15">
        <f t="shared" si="17"/>
        <v>0</v>
      </c>
      <c r="L43" s="15">
        <f t="shared" si="17"/>
        <v>0</v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96</v>
      </c>
      <c r="C44" s="77">
        <f t="shared" ref="C44:M44" si="18">IF(C33="","",IF(C24&lt;=0,"-",C14/C24))</f>
        <v>2.0393827749122275</v>
      </c>
      <c r="D44" s="77">
        <f t="shared" si="18"/>
        <v>12.295214125998937</v>
      </c>
      <c r="E44" s="77">
        <f t="shared" si="18"/>
        <v>2.0119574295661091</v>
      </c>
      <c r="F44" s="77">
        <f t="shared" si="18"/>
        <v>3.5532055598307042</v>
      </c>
      <c r="G44" s="77" t="str">
        <f t="shared" si="18"/>
        <v>-</v>
      </c>
      <c r="H44" s="77" t="str">
        <f t="shared" si="18"/>
        <v>-</v>
      </c>
      <c r="I44" s="77">
        <f t="shared" si="18"/>
        <v>8.0096655518394648</v>
      </c>
      <c r="J44" s="77">
        <f t="shared" si="18"/>
        <v>11.527619352771547</v>
      </c>
      <c r="K44" s="77" t="str">
        <f t="shared" si="18"/>
        <v>-</v>
      </c>
      <c r="L44" s="77" t="str">
        <f t="shared" si="18"/>
        <v>-</v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97</v>
      </c>
      <c r="C45" s="77">
        <f t="shared" ref="C45:M45" si="19">IF(C31="","",IF(C17&lt;=0,"-",C17/C16))</f>
        <v>2.2489263332100617E-2</v>
      </c>
      <c r="D45" s="77">
        <f t="shared" si="19"/>
        <v>3.7513843423741698E-3</v>
      </c>
      <c r="E45" s="77">
        <f t="shared" si="19"/>
        <v>3.0836594000372648E-2</v>
      </c>
      <c r="F45" s="77" t="str">
        <f t="shared" si="19"/>
        <v>-</v>
      </c>
      <c r="G45" s="77" t="str">
        <f t="shared" si="19"/>
        <v>-</v>
      </c>
      <c r="H45" s="77" t="str">
        <f t="shared" si="19"/>
        <v>-</v>
      </c>
      <c r="I45" s="77" t="str">
        <f t="shared" si="19"/>
        <v>-</v>
      </c>
      <c r="J45" s="77" t="str">
        <f t="shared" si="19"/>
        <v>-</v>
      </c>
      <c r="K45" s="77" t="str">
        <f t="shared" si="19"/>
        <v>-</v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98</v>
      </c>
      <c r="C46" s="78">
        <f t="shared" ref="C46:M46" si="20">IF(C33="","",C20/C21)</f>
        <v>10.970135925096013</v>
      </c>
      <c r="D46" s="78">
        <f t="shared" si="20"/>
        <v>4.4286470964394731</v>
      </c>
      <c r="E46" s="78">
        <f t="shared" si="20"/>
        <v>6.8209832459686055</v>
      </c>
      <c r="F46" s="78">
        <f t="shared" si="20"/>
        <v>8.0083071161760646</v>
      </c>
      <c r="G46" s="78">
        <f t="shared" si="20"/>
        <v>4.1898137891535914</v>
      </c>
      <c r="H46" s="78">
        <f t="shared" si="20"/>
        <v>1.0673809323366144</v>
      </c>
      <c r="I46" s="78">
        <f t="shared" si="20"/>
        <v>7.5420617343760812</v>
      </c>
      <c r="J46" s="78">
        <f t="shared" si="20"/>
        <v>6.6628981383610268</v>
      </c>
      <c r="K46" s="78">
        <f t="shared" si="20"/>
        <v>7.6335663502402991</v>
      </c>
      <c r="L46" s="78">
        <f t="shared" si="20"/>
        <v>6.600827386648783</v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99</v>
      </c>
      <c r="C48" s="79"/>
      <c r="D48" s="79"/>
      <c r="E48" s="79"/>
      <c r="F48" s="79"/>
    </row>
    <row r="49" spans="1:6" ht="15.75" customHeight="1" x14ac:dyDescent="0.15">
      <c r="A49" s="9"/>
      <c r="B49" s="6" t="s">
        <v>100</v>
      </c>
      <c r="C49" s="6"/>
      <c r="D49" s="355">
        <v>0</v>
      </c>
      <c r="E49" s="356"/>
      <c r="F49" s="6"/>
    </row>
    <row r="50" spans="1:6" ht="15" customHeight="1" x14ac:dyDescent="0.15">
      <c r="A50" s="9"/>
      <c r="B50" s="80" t="s">
        <v>101</v>
      </c>
      <c r="C50" s="6"/>
      <c r="D50" s="350" t="s">
        <v>102</v>
      </c>
      <c r="E50" s="297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15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15">
      <c r="A69" s="9"/>
      <c r="B69" s="93" t="s">
        <v>114</v>
      </c>
      <c r="C69" s="99">
        <f>C14</f>
        <v>235253</v>
      </c>
      <c r="D69" s="99">
        <f>C69+C54-F66</f>
        <v>235253</v>
      </c>
      <c r="E69" s="80" t="s">
        <v>115</v>
      </c>
      <c r="F69" s="94" t="s">
        <v>116</v>
      </c>
    </row>
    <row r="70" spans="1:6" ht="15.75" customHeight="1" x14ac:dyDescent="0.15">
      <c r="A70" s="9"/>
      <c r="B70" s="93" t="s">
        <v>117</v>
      </c>
      <c r="C70" s="100">
        <f t="shared" ref="C70:D70" si="25">C69/$C$7</f>
        <v>0.1835549358677766</v>
      </c>
      <c r="D70" s="100">
        <f t="shared" si="25"/>
        <v>0.1835549358677766</v>
      </c>
      <c r="E70" s="80" t="s">
        <v>118</v>
      </c>
      <c r="F70" s="94" t="s">
        <v>119</v>
      </c>
    </row>
    <row r="71" spans="1:6" ht="15.75" customHeight="1" x14ac:dyDescent="0.15">
      <c r="A71" s="9"/>
      <c r="B71" s="93" t="s">
        <v>120</v>
      </c>
      <c r="C71" s="99">
        <f>C31</f>
        <v>23465</v>
      </c>
      <c r="D71" s="99">
        <f>C71+E65-F66</f>
        <v>23465</v>
      </c>
      <c r="E71" s="80" t="s">
        <v>121</v>
      </c>
      <c r="F71" s="94" t="s">
        <v>122</v>
      </c>
    </row>
    <row r="72" spans="1:6" ht="15.75" customHeight="1" x14ac:dyDescent="0.15">
      <c r="A72" s="9"/>
      <c r="B72" s="93" t="s">
        <v>123</v>
      </c>
      <c r="C72" s="99">
        <f>C16</f>
        <v>176439.75</v>
      </c>
      <c r="D72" s="99">
        <f>C72+C55</f>
        <v>176439.75</v>
      </c>
      <c r="E72" s="80" t="s">
        <v>124</v>
      </c>
      <c r="F72" s="94" t="s">
        <v>125</v>
      </c>
    </row>
    <row r="73" spans="1:6" ht="15.75" customHeight="1" x14ac:dyDescent="0.15">
      <c r="A73" s="9"/>
      <c r="B73" s="93" t="s">
        <v>126</v>
      </c>
      <c r="C73" s="99">
        <f>F3</f>
        <v>457813</v>
      </c>
      <c r="D73" s="99">
        <f>C73+C54-F66</f>
        <v>457813</v>
      </c>
      <c r="E73" s="80" t="s">
        <v>127</v>
      </c>
      <c r="F73" s="94" t="s">
        <v>125</v>
      </c>
    </row>
    <row r="74" spans="1:6" ht="15.75" customHeight="1" x14ac:dyDescent="0.15">
      <c r="A74" s="9"/>
      <c r="B74" s="101" t="s">
        <v>128</v>
      </c>
      <c r="C74" s="102">
        <f>C33</f>
        <v>3160925</v>
      </c>
      <c r="D74" s="102">
        <f>C74+E65</f>
        <v>3160925</v>
      </c>
      <c r="E74" s="8" t="s">
        <v>129</v>
      </c>
      <c r="F74" s="103" t="s">
        <v>125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C44" sqref="C44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15">
      <c r="B3" s="5" t="s">
        <v>131</v>
      </c>
      <c r="C3" s="6"/>
      <c r="D3" s="106">
        <f>C39-H39</f>
        <v>4649215</v>
      </c>
      <c r="E3" s="6"/>
      <c r="F3" s="6"/>
      <c r="G3" s="6"/>
      <c r="H3" s="6"/>
    </row>
    <row r="4" spans="1:9" ht="15" customHeight="1" x14ac:dyDescent="0.15">
      <c r="D4" s="6"/>
      <c r="E4" s="26" t="s">
        <v>132</v>
      </c>
      <c r="H4" s="6"/>
    </row>
    <row r="5" spans="1:9" ht="15" customHeight="1" x14ac:dyDescent="0.15">
      <c r="B5" s="107" t="s">
        <v>133</v>
      </c>
      <c r="C5" s="6"/>
      <c r="D5" s="108">
        <f>E39-H39-E43</f>
        <v>3582311.3499999996</v>
      </c>
      <c r="E5" s="15">
        <f>1-D5/D3</f>
        <v>0.22948038539839533</v>
      </c>
      <c r="F5" s="6"/>
      <c r="G5" s="109" t="s">
        <v>134</v>
      </c>
      <c r="H5" s="30">
        <f>IF(Data!F3&lt;=0,"NNI",D6/((Data!F3*Dashboard!H13)/(Dashboard!H5/Data!C4)))</f>
        <v>7.8248353585415877</v>
      </c>
      <c r="I5" s="6"/>
    </row>
    <row r="6" spans="1:9" ht="15" customHeight="1" x14ac:dyDescent="0.15">
      <c r="B6" s="80" t="s">
        <v>135</v>
      </c>
      <c r="D6" s="110">
        <f>(D5*Dashboard!H13*Data!C4)/Dashboard!H5</f>
        <v>1.9495043288434226</v>
      </c>
      <c r="E6" s="111"/>
      <c r="G6" s="109" t="s">
        <v>136</v>
      </c>
      <c r="H6" s="30">
        <f>D6/(Data!C25*Dashboard!H13*Data!C4/Common_Shares)</f>
        <v>0.77051961460160467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15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15">
      <c r="B10" s="5" t="s">
        <v>143</v>
      </c>
      <c r="C10" s="113">
        <v>1603645</v>
      </c>
      <c r="D10" s="114">
        <v>1</v>
      </c>
      <c r="E10" s="34">
        <f>C10*D10</f>
        <v>1603645</v>
      </c>
      <c r="F10" s="6"/>
      <c r="G10" s="5" t="s">
        <v>144</v>
      </c>
      <c r="H10" s="113">
        <v>0</v>
      </c>
      <c r="I10" s="6"/>
    </row>
    <row r="11" spans="1:9" ht="14" x14ac:dyDescent="0.15">
      <c r="B11" s="5" t="s">
        <v>145</v>
      </c>
      <c r="C11" s="113">
        <v>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0</v>
      </c>
      <c r="I11" s="6"/>
    </row>
    <row r="12" spans="1:9" ht="14" x14ac:dyDescent="0.15">
      <c r="B12" s="5" t="s">
        <v>147</v>
      </c>
      <c r="C12" s="113">
        <v>198277</v>
      </c>
      <c r="D12" s="114">
        <v>0.7</v>
      </c>
      <c r="E12" s="34">
        <f t="shared" si="0"/>
        <v>138793.9</v>
      </c>
      <c r="F12" s="6"/>
      <c r="G12" s="5" t="s">
        <v>148</v>
      </c>
      <c r="H12" s="113">
        <v>19158</v>
      </c>
      <c r="I12" s="6"/>
    </row>
    <row r="13" spans="1:9" ht="14" x14ac:dyDescent="0.15">
      <c r="B13" s="5" t="s">
        <v>149</v>
      </c>
      <c r="C13" s="113">
        <v>78011</v>
      </c>
      <c r="D13" s="114">
        <v>0.9</v>
      </c>
      <c r="E13" s="34">
        <f t="shared" si="0"/>
        <v>70209.900000000009</v>
      </c>
      <c r="F13" s="6"/>
      <c r="G13" s="5" t="s">
        <v>150</v>
      </c>
      <c r="H13" s="113">
        <v>163369</v>
      </c>
      <c r="I13" s="6"/>
    </row>
    <row r="14" spans="1:9" ht="14" x14ac:dyDescent="0.15">
      <c r="B14" s="5" t="s">
        <v>151</v>
      </c>
      <c r="C14" s="113">
        <v>26103</v>
      </c>
      <c r="D14" s="114">
        <v>0.8</v>
      </c>
      <c r="E14" s="34">
        <f t="shared" si="0"/>
        <v>20882.400000000001</v>
      </c>
      <c r="F14" s="6"/>
      <c r="G14" s="5" t="s">
        <v>152</v>
      </c>
      <c r="H14" s="113">
        <v>0</v>
      </c>
      <c r="I14" s="6"/>
    </row>
    <row r="15" spans="1:9" ht="14" x14ac:dyDescent="0.15">
      <c r="B15" s="5" t="s">
        <v>153</v>
      </c>
      <c r="C15" s="113">
        <v>96310</v>
      </c>
      <c r="D15" s="114">
        <v>0</v>
      </c>
      <c r="E15" s="34">
        <f t="shared" si="0"/>
        <v>0</v>
      </c>
      <c r="F15" s="6"/>
      <c r="G15" s="5" t="s">
        <v>154</v>
      </c>
      <c r="H15" s="113">
        <v>0</v>
      </c>
      <c r="I15" s="6"/>
    </row>
    <row r="16" spans="1:9" ht="14" x14ac:dyDescent="0.15">
      <c r="B16" s="5" t="s">
        <v>155</v>
      </c>
      <c r="C16" s="113">
        <v>0</v>
      </c>
      <c r="D16" s="114">
        <v>0</v>
      </c>
      <c r="E16" s="34">
        <f t="shared" si="0"/>
        <v>0</v>
      </c>
      <c r="F16" s="6"/>
      <c r="G16" s="5" t="s">
        <v>156</v>
      </c>
      <c r="H16" s="113">
        <v>0</v>
      </c>
      <c r="I16" s="6"/>
    </row>
    <row r="17" spans="2:9" ht="14" x14ac:dyDescent="0.15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158</v>
      </c>
      <c r="C19" s="116">
        <f>SUM(C10:C12)+C14</f>
        <v>1828025</v>
      </c>
      <c r="D19" s="117">
        <f t="shared" ref="D19:D21" si="1">E19/C19</f>
        <v>0.96460458691757489</v>
      </c>
      <c r="E19" s="118">
        <f>SUM(E10:E12)+E14</f>
        <v>1763321.2999999998</v>
      </c>
      <c r="F19" s="6"/>
      <c r="G19" s="115" t="s">
        <v>159</v>
      </c>
      <c r="H19" s="119">
        <f t="shared" ref="H19:H20" si="2">E19/$H$21</f>
        <v>9.6606052803146927</v>
      </c>
      <c r="I19" s="14" t="str">
        <f>IF(H19&lt;1,"Liquidity Problem!","")</f>
        <v/>
      </c>
    </row>
    <row r="20" spans="2:9" ht="15" customHeight="1" x14ac:dyDescent="0.15">
      <c r="B20" s="115" t="s">
        <v>160</v>
      </c>
      <c r="C20" s="116">
        <f>C19+C13</f>
        <v>1906036</v>
      </c>
      <c r="D20" s="117">
        <f t="shared" si="1"/>
        <v>0.96196042467193676</v>
      </c>
      <c r="E20" s="34">
        <f>E19+E13</f>
        <v>1833531.1999999997</v>
      </c>
      <c r="F20" s="6"/>
      <c r="G20" s="115" t="s">
        <v>161</v>
      </c>
      <c r="H20" s="119">
        <f t="shared" si="2"/>
        <v>10.045260153292388</v>
      </c>
      <c r="I20" s="14"/>
    </row>
    <row r="21" spans="2:9" ht="15" customHeight="1" x14ac:dyDescent="0.15">
      <c r="B21" s="5" t="s">
        <v>162</v>
      </c>
      <c r="C21" s="116">
        <f>SUM(C10:C17)</f>
        <v>2002346</v>
      </c>
      <c r="D21" s="15">
        <f t="shared" si="1"/>
        <v>0.91569149387768134</v>
      </c>
      <c r="E21" s="34">
        <f>SUM(E10:E17)</f>
        <v>1833531.1999999997</v>
      </c>
      <c r="F21" s="6"/>
      <c r="G21" s="5" t="s">
        <v>73</v>
      </c>
      <c r="H21" s="116">
        <f>SUM(H10:H16)</f>
        <v>182527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163</v>
      </c>
      <c r="C23" s="113">
        <v>179825</v>
      </c>
      <c r="D23" s="114">
        <v>0.2</v>
      </c>
      <c r="E23" s="34">
        <f t="shared" ref="E23:E31" si="3">C23*D23</f>
        <v>35965</v>
      </c>
      <c r="F23" s="6"/>
      <c r="G23" s="5" t="s">
        <v>164</v>
      </c>
      <c r="H23" s="113">
        <v>77075</v>
      </c>
      <c r="I23" s="6"/>
    </row>
    <row r="24" spans="2:9" ht="15" customHeight="1" x14ac:dyDescent="0.15">
      <c r="B24" s="5" t="s">
        <v>165</v>
      </c>
      <c r="C24" s="113">
        <v>38764</v>
      </c>
      <c r="D24" s="114">
        <v>0.5</v>
      </c>
      <c r="E24" s="34">
        <f t="shared" si="3"/>
        <v>19382</v>
      </c>
      <c r="F24" s="6"/>
      <c r="G24" s="5" t="s">
        <v>166</v>
      </c>
      <c r="H24" s="113">
        <v>19122</v>
      </c>
      <c r="I24" s="6"/>
    </row>
    <row r="25" spans="2:9" ht="15" customHeight="1" x14ac:dyDescent="0.15">
      <c r="B25" s="5" t="s">
        <v>167</v>
      </c>
      <c r="C25" s="113">
        <v>193495</v>
      </c>
      <c r="D25" s="114">
        <v>0.85</v>
      </c>
      <c r="E25" s="34">
        <f t="shared" si="3"/>
        <v>164470.75</v>
      </c>
      <c r="F25" s="6"/>
      <c r="G25" s="5" t="s">
        <v>168</v>
      </c>
      <c r="H25" s="113">
        <v>3972</v>
      </c>
      <c r="I25" s="6"/>
    </row>
    <row r="26" spans="2:9" ht="15" customHeight="1" x14ac:dyDescent="0.15">
      <c r="B26" s="5" t="s">
        <v>169</v>
      </c>
      <c r="C26" s="113">
        <v>654635</v>
      </c>
      <c r="D26" s="114">
        <v>0.8</v>
      </c>
      <c r="E26" s="34">
        <f t="shared" si="3"/>
        <v>523708</v>
      </c>
      <c r="F26" s="6"/>
      <c r="G26" s="5" t="s">
        <v>170</v>
      </c>
      <c r="H26" s="113">
        <v>0</v>
      </c>
      <c r="I26" s="6"/>
    </row>
    <row r="27" spans="2:9" ht="14" x14ac:dyDescent="0.15">
      <c r="B27" s="5" t="s">
        <v>171</v>
      </c>
      <c r="C27" s="113">
        <v>13431</v>
      </c>
      <c r="D27" s="114">
        <v>0.1</v>
      </c>
      <c r="E27" s="34">
        <f t="shared" si="3"/>
        <v>1343.1000000000001</v>
      </c>
      <c r="F27" s="6"/>
      <c r="G27" s="5" t="s">
        <v>172</v>
      </c>
      <c r="H27" s="113">
        <v>377</v>
      </c>
      <c r="I27" s="6"/>
    </row>
    <row r="28" spans="2:9" ht="14" x14ac:dyDescent="0.15">
      <c r="B28" s="5" t="s">
        <v>173</v>
      </c>
      <c r="C28" s="113">
        <v>1838549</v>
      </c>
      <c r="D28" s="114">
        <v>0.7</v>
      </c>
      <c r="E28" s="34">
        <f t="shared" si="3"/>
        <v>1286984.2999999998</v>
      </c>
      <c r="F28" s="6"/>
      <c r="G28" s="5" t="s">
        <v>174</v>
      </c>
      <c r="H28" s="113">
        <v>0</v>
      </c>
      <c r="I28" s="6"/>
    </row>
    <row r="29" spans="2:9" ht="14" x14ac:dyDescent="0.15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176</v>
      </c>
      <c r="C30" s="113">
        <v>1788</v>
      </c>
      <c r="D30" s="114">
        <v>0</v>
      </c>
      <c r="E30" s="34">
        <f t="shared" si="3"/>
        <v>0</v>
      </c>
      <c r="F30" s="6"/>
    </row>
    <row r="31" spans="2:9" ht="14" x14ac:dyDescent="0.15">
      <c r="B31" s="5" t="s">
        <v>177</v>
      </c>
      <c r="C31" s="113">
        <v>0</v>
      </c>
      <c r="D31" s="114">
        <v>0</v>
      </c>
      <c r="E31" s="34">
        <f t="shared" si="3"/>
        <v>0</v>
      </c>
      <c r="F31" s="6"/>
    </row>
    <row r="32" spans="2:9" ht="15" customHeight="1" x14ac:dyDescent="0.15">
      <c r="B32" s="5" t="s">
        <v>178</v>
      </c>
      <c r="C32" s="113">
        <v>0</v>
      </c>
      <c r="D32" s="114">
        <v>0</v>
      </c>
      <c r="E32" s="34">
        <v>0</v>
      </c>
      <c r="F32" s="6"/>
    </row>
    <row r="33" spans="2:9" ht="15" customHeight="1" x14ac:dyDescent="0.15">
      <c r="B33" s="5" t="s">
        <v>179</v>
      </c>
      <c r="C33" s="113">
        <v>9455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180</v>
      </c>
      <c r="C35" s="116">
        <f>SUM(C23:C33)</f>
        <v>2929942</v>
      </c>
      <c r="D35" s="15">
        <f>E35/C35</f>
        <v>0.69347896647783469</v>
      </c>
      <c r="E35" s="34">
        <f>SUM(E23:E33)</f>
        <v>2031853.15</v>
      </c>
      <c r="F35" s="6"/>
      <c r="G35" s="5" t="s">
        <v>181</v>
      </c>
      <c r="H35" s="116">
        <f>SUM(H23:H28)</f>
        <v>100546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182</v>
      </c>
      <c r="C37" s="116">
        <f>C19+(C28+C29)+C32</f>
        <v>3666574</v>
      </c>
      <c r="D37" s="117">
        <f>E37/C37</f>
        <v>0.83192255222450162</v>
      </c>
      <c r="E37" s="118">
        <f>E19+(E28+E29)+E32</f>
        <v>3050305.5999999996</v>
      </c>
      <c r="F37" s="6"/>
      <c r="G37" s="115" t="s">
        <v>183</v>
      </c>
      <c r="H37" s="119">
        <f>E37/$H$39</f>
        <v>10.775685423901255</v>
      </c>
      <c r="I37" s="14" t="str">
        <f>IF(H37&lt;1,"Liquidity Problem!","")</f>
        <v/>
      </c>
    </row>
    <row r="38" spans="2:9" ht="15" customHeight="1" x14ac:dyDescent="0.15">
      <c r="B38" s="115" t="s">
        <v>184</v>
      </c>
      <c r="C38" s="120">
        <f>C37+C31</f>
        <v>3666574</v>
      </c>
      <c r="D38" s="117">
        <f>E38/C38</f>
        <v>0.83192255222450162</v>
      </c>
      <c r="E38" s="34">
        <f>E37+E31</f>
        <v>3050305.5999999996</v>
      </c>
      <c r="F38" s="6"/>
      <c r="G38" s="115" t="s">
        <v>185</v>
      </c>
      <c r="H38" s="119">
        <f>E38/$H$39</f>
        <v>10.775685423901255</v>
      </c>
      <c r="I38" s="6"/>
    </row>
    <row r="39" spans="2:9" ht="15" customHeight="1" x14ac:dyDescent="0.15">
      <c r="B39" s="5" t="s">
        <v>186</v>
      </c>
      <c r="C39" s="120">
        <f>C21+C35</f>
        <v>4932288</v>
      </c>
      <c r="D39" s="15">
        <f>E39/C39</f>
        <v>0.78368991226789664</v>
      </c>
      <c r="E39" s="34">
        <f>E21+E35</f>
        <v>3865384.3499999996</v>
      </c>
      <c r="F39" s="6"/>
      <c r="G39" s="5" t="s">
        <v>187</v>
      </c>
      <c r="H39" s="120">
        <f>H21+H35</f>
        <v>283073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188</v>
      </c>
      <c r="C41" s="24"/>
      <c r="D41" s="79"/>
    </row>
    <row r="42" spans="2:9" ht="14" x14ac:dyDescent="0.15">
      <c r="B42" s="121" t="s">
        <v>189</v>
      </c>
      <c r="C42" s="5"/>
      <c r="D42" s="359"/>
      <c r="E42" s="359"/>
    </row>
    <row r="43" spans="2:9" ht="14" x14ac:dyDescent="0.15">
      <c r="B43" s="5" t="s">
        <v>190</v>
      </c>
      <c r="C43" s="122">
        <v>0</v>
      </c>
      <c r="D43" s="75" t="str">
        <f>IF(E43=C43,"BV of the MI","P/B Approach")</f>
        <v>BV of the MI</v>
      </c>
      <c r="E43" s="34">
        <f>MAX(C43,C43*Dashboard!H11)</f>
        <v>0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191</v>
      </c>
      <c r="C45" s="5"/>
      <c r="D45" s="359"/>
      <c r="E45" s="359"/>
      <c r="F45" s="80"/>
    </row>
    <row r="46" spans="2:9" ht="14" x14ac:dyDescent="0.15">
      <c r="B46" s="107" t="s">
        <v>192</v>
      </c>
      <c r="C46" s="6"/>
      <c r="D46" s="360">
        <v>0</v>
      </c>
      <c r="E46" s="297"/>
      <c r="F46" s="5"/>
    </row>
    <row r="47" spans="2:9" ht="14" x14ac:dyDescent="0.15">
      <c r="B47" s="107" t="s">
        <v>193</v>
      </c>
      <c r="C47" s="6"/>
      <c r="D47" s="360">
        <v>0</v>
      </c>
      <c r="E47" s="297"/>
      <c r="F47" s="6" t="s">
        <v>194</v>
      </c>
    </row>
    <row r="48" spans="2:9" ht="12.75" customHeight="1" x14ac:dyDescent="0.15">
      <c r="B48" s="80" t="s">
        <v>195</v>
      </c>
      <c r="C48" s="6"/>
      <c r="D48" s="291">
        <f>Data!C24+D46+D47</f>
        <v>115355</v>
      </c>
      <c r="E48" s="357"/>
      <c r="F48" s="5" t="s">
        <v>196</v>
      </c>
    </row>
    <row r="49" spans="2:7" ht="15" customHeight="1" x14ac:dyDescent="0.15">
      <c r="D49" s="6"/>
      <c r="E49" s="6"/>
    </row>
    <row r="50" spans="2:7" ht="14" x14ac:dyDescent="0.15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15">
      <c r="B51" s="80" t="s">
        <v>199</v>
      </c>
      <c r="C51" s="6"/>
      <c r="D51" s="361">
        <f>E11+E12+E25+E28+E29</f>
        <v>1590248.9499999997</v>
      </c>
      <c r="E51" s="362"/>
      <c r="F51" s="15">
        <f>1-(E12+E25+E28+E29)/(C12+C25+C28+C29)</f>
        <v>0.28698651449724066</v>
      </c>
      <c r="G51" s="6"/>
    </row>
    <row r="52" spans="2:7" ht="14" x14ac:dyDescent="0.15">
      <c r="B52" s="80" t="s">
        <v>143</v>
      </c>
      <c r="C52" s="6"/>
      <c r="D52" s="291">
        <f>C10+C32</f>
        <v>1603645</v>
      </c>
      <c r="E52" s="357"/>
      <c r="F52" s="6"/>
    </row>
    <row r="53" spans="2:7" ht="14" x14ac:dyDescent="0.15">
      <c r="B53" s="80" t="s">
        <v>200</v>
      </c>
      <c r="C53" s="6"/>
      <c r="D53" s="291">
        <f>((Dashboard!H6*1000)+D48+E43-(C12+C25+C28+C29)-D52)</f>
        <v>1059018.5606000004</v>
      </c>
      <c r="E53" s="357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opLeftCell="A32" zoomScale="125" workbookViewId="0">
      <selection activeCell="C54" sqref="C5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202</v>
      </c>
      <c r="C3" s="124">
        <v>4</v>
      </c>
      <c r="D3" s="125" t="str">
        <f>IF(E7="","next 1 years","next 3 years")</f>
        <v>next 3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67</v>
      </c>
      <c r="C4" s="127">
        <f>Data!J4</f>
        <v>-7.3199641347883149E-2</v>
      </c>
      <c r="D4" s="128">
        <f>IF(E7="",D16/C16-1,(G16/C16)^(1/4)-1)</f>
        <v>7.1389764242409726E-2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>3 (Normalized)</v>
      </c>
      <c r="G6" s="38" t="s">
        <v>205</v>
      </c>
      <c r="I6" s="131" t="s">
        <v>206</v>
      </c>
    </row>
    <row r="7" spans="1:13" ht="15.75" customHeight="1" x14ac:dyDescent="0.15">
      <c r="B7" s="5" t="s">
        <v>207</v>
      </c>
      <c r="C7" s="59">
        <f>Data!C8</f>
        <v>-0.49963907147868258</v>
      </c>
      <c r="D7" s="132">
        <f>D8/C8-1</f>
        <v>-0.53653457381857272</v>
      </c>
      <c r="E7" s="133">
        <v>0.2</v>
      </c>
      <c r="F7" s="236"/>
      <c r="G7" s="224"/>
      <c r="H7" s="6"/>
      <c r="I7" s="134"/>
    </row>
    <row r="8" spans="1:13" ht="15.75" customHeight="1" x14ac:dyDescent="0.15">
      <c r="B8" s="5" t="s">
        <v>208</v>
      </c>
      <c r="C8" s="135">
        <f>Data!C7</f>
        <v>1281649</v>
      </c>
      <c r="D8" s="242">
        <f>330000*1.8</f>
        <v>594000</v>
      </c>
      <c r="E8" s="234">
        <f>IF(E7="","",D8*(1+E7))</f>
        <v>712800</v>
      </c>
      <c r="F8" s="237"/>
      <c r="G8" s="224"/>
      <c r="H8" s="6"/>
      <c r="I8" s="134"/>
      <c r="M8" s="105"/>
    </row>
    <row r="9" spans="1:13" ht="15.75" customHeight="1" x14ac:dyDescent="0.15">
      <c r="B9" s="8" t="s">
        <v>209</v>
      </c>
      <c r="C9" s="70">
        <f>Data!C9</f>
        <v>915778</v>
      </c>
      <c r="D9" s="243">
        <f>D8*(1-D10)</f>
        <v>641520</v>
      </c>
      <c r="E9" s="235">
        <f>IF(E7="","",E8*(1-E10))</f>
        <v>513216</v>
      </c>
      <c r="F9" s="237"/>
      <c r="G9" s="224"/>
      <c r="H9" s="6"/>
      <c r="I9" s="238"/>
      <c r="M9" s="1"/>
    </row>
    <row r="10" spans="1:13" ht="15.75" customHeight="1" x14ac:dyDescent="0.15">
      <c r="B10" s="137" t="s">
        <v>210</v>
      </c>
      <c r="C10" s="59">
        <f>Data!C10</f>
        <v>0.28546895444852688</v>
      </c>
      <c r="D10" s="138">
        <v>-0.08</v>
      </c>
      <c r="E10" s="138">
        <v>0.28000000000000003</v>
      </c>
      <c r="F10" s="239"/>
      <c r="G10" s="224"/>
      <c r="H10" s="6"/>
      <c r="I10" s="134"/>
    </row>
    <row r="11" spans="1:13" ht="15.75" customHeight="1" x14ac:dyDescent="0.15">
      <c r="B11" s="5" t="s">
        <v>211</v>
      </c>
      <c r="C11" s="34">
        <f t="shared" ref="C11" si="0">C8-C9</f>
        <v>365871</v>
      </c>
      <c r="D11" s="68">
        <f>D8-D9</f>
        <v>-47520</v>
      </c>
      <c r="E11" s="68">
        <f>IF(E7="","",E8-E9)</f>
        <v>199584</v>
      </c>
      <c r="F11" s="240"/>
      <c r="G11" s="224"/>
      <c r="H11" s="6"/>
      <c r="I11" s="134"/>
    </row>
    <row r="12" spans="1:13" ht="15.75" customHeight="1" x14ac:dyDescent="0.15">
      <c r="B12" s="137" t="s">
        <v>64</v>
      </c>
      <c r="C12" s="62">
        <f>Data!C12</f>
        <v>0.10191401858075028</v>
      </c>
      <c r="D12" s="139">
        <f>D13/D8</f>
        <v>0.24156228956228956</v>
      </c>
      <c r="E12" s="140">
        <v>0.14000000000000001</v>
      </c>
      <c r="F12" s="239"/>
      <c r="G12" s="224"/>
      <c r="H12" s="6"/>
      <c r="I12" s="134"/>
    </row>
    <row r="13" spans="1:13" ht="15.75" customHeight="1" x14ac:dyDescent="0.15">
      <c r="B13" s="8" t="s">
        <v>212</v>
      </c>
      <c r="C13" s="141">
        <f>Data!C11</f>
        <v>130618</v>
      </c>
      <c r="D13" s="142">
        <v>143488</v>
      </c>
      <c r="E13" s="136">
        <f>IF(E7="","",E8*E12)</f>
        <v>99792.000000000015</v>
      </c>
      <c r="F13" s="240"/>
      <c r="G13" s="224"/>
      <c r="H13" s="6"/>
      <c r="I13" s="134"/>
    </row>
    <row r="14" spans="1:13" ht="15.75" customHeight="1" x14ac:dyDescent="0.15">
      <c r="B14" s="137" t="s">
        <v>213</v>
      </c>
      <c r="C14" s="19">
        <f>Data!C13</f>
        <v>0.1835549358677766</v>
      </c>
      <c r="D14" s="132">
        <f>D16/D8</f>
        <v>-0.32156228956228955</v>
      </c>
      <c r="E14" s="132">
        <f>IF(E7="","",E16/E8)</f>
        <v>0.13999999999999999</v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214</v>
      </c>
      <c r="C15" s="15">
        <f>Data!C15</f>
        <v>-0.80814686506596722</v>
      </c>
      <c r="D15" s="139" t="str">
        <f>IF(ABS(C16+D16)=ABS(C16)+ABS(D16),IF(D16&lt;0,-1,1)*(D16-C16)/C16,"Turn")</f>
        <v>Turn</v>
      </c>
      <c r="E15" s="139" t="str">
        <f>IF(E7="","",IF(ABS(D16+E16)=ABS(D16)+ABS(E16),IF(E16&lt;0,-1,1)*(E16-D16)/D16,"Turn"))</f>
        <v>Turn</v>
      </c>
      <c r="F15" s="244">
        <v>2</v>
      </c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15">
      <c r="B16" s="5" t="s">
        <v>66</v>
      </c>
      <c r="C16" s="34">
        <f>IF(Data!D50="No",Data!C69,Data!D69)</f>
        <v>235253</v>
      </c>
      <c r="D16" s="68">
        <f>D11-D13</f>
        <v>-191008</v>
      </c>
      <c r="E16" s="68">
        <f>IF(E7="","",E11-E13)</f>
        <v>99791.999999999985</v>
      </c>
      <c r="F16" s="68">
        <f>IF(F15="","",E16*(1+F15))</f>
        <v>299375.99999999994</v>
      </c>
      <c r="G16" s="34">
        <f>IF(F15="",IF(E15="",C28,E16*(1+G15)),F16*(1+G15))</f>
        <v>309973.91039999999</v>
      </c>
      <c r="H16" s="6"/>
      <c r="I16" s="147"/>
      <c r="K16" s="104"/>
      <c r="M16" s="104"/>
    </row>
    <row r="17" spans="2:13" ht="15.75" customHeight="1" x14ac:dyDescent="0.15">
      <c r="B17" s="21" t="s">
        <v>216</v>
      </c>
      <c r="C17" s="225"/>
      <c r="D17" s="148">
        <v>0.25</v>
      </c>
      <c r="E17" s="40">
        <f>IF(E7="","",D17)</f>
        <v>0.25</v>
      </c>
      <c r="F17" s="40">
        <f>IF(F15="","",D17)</f>
        <v>0.25</v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123</v>
      </c>
      <c r="C18" s="149">
        <f>IF(Data!D50="No",Data!C72,Data!D72)</f>
        <v>176439.75</v>
      </c>
      <c r="D18" s="150">
        <f>IF(D16&lt;=0,D16,D16*(1-D17))</f>
        <v>-191008</v>
      </c>
      <c r="E18" s="150">
        <f>IF(E7="","",IF(E16&lt;=0,E16,E16*(1-E17)))</f>
        <v>74843.999999999985</v>
      </c>
      <c r="F18" s="150">
        <f>IF(F15="","",IF(F16&lt;=0,F16,F16*(1-F17)))</f>
        <v>224531.99999999994</v>
      </c>
      <c r="G18" s="149">
        <f>G16*(1-G17)</f>
        <v>232480.43280000001</v>
      </c>
      <c r="H18" s="6"/>
      <c r="I18" s="151"/>
      <c r="K18" s="104"/>
      <c r="M18" s="104"/>
    </row>
    <row r="19" spans="2:13" ht="15.75" hidden="1" customHeight="1" x14ac:dyDescent="0.15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15">
      <c r="B20" s="18" t="s">
        <v>84</v>
      </c>
      <c r="C20" s="15">
        <f t="shared" ref="C20" si="1">C21/C18</f>
        <v>0.13299157361082181</v>
      </c>
      <c r="D20" s="37">
        <f>IF(E7="",G20,D21/D18)</f>
        <v>-4.7118445300720388E-2</v>
      </c>
      <c r="E20" s="114">
        <v>0.14000000000000001</v>
      </c>
      <c r="F20" s="37">
        <f>IF(F15="","",G15/G19)</f>
        <v>0.44029850746268656</v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2">
      <c r="B21" s="153" t="s">
        <v>120</v>
      </c>
      <c r="C21" s="154">
        <f>IF(Data!D50="No",Data!C71,Data!D71)</f>
        <v>23465</v>
      </c>
      <c r="D21" s="155">
        <v>9000</v>
      </c>
      <c r="E21" s="156">
        <f>IF(E7="","",IF(F15="",E18*G20,E20*E18))</f>
        <v>10478.16</v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220</v>
      </c>
      <c r="C22" s="247"/>
      <c r="D22" s="158">
        <f>IF(D18="","",IF(E7="",D18*(1-D20),D18-D21))</f>
        <v>-200008</v>
      </c>
      <c r="E22" s="158">
        <f>IF(E7="","",E18-E21)</f>
        <v>64365.839999999982</v>
      </c>
      <c r="F22" s="158">
        <f>IF(F15="","",F18*(1-F20))</f>
        <v>125670.89552238802</v>
      </c>
      <c r="G22" s="159">
        <f>G18*(1-G20)</f>
        <v>130119.64522388059</v>
      </c>
      <c r="H22" s="157"/>
      <c r="I22" s="104"/>
      <c r="M22" s="104"/>
    </row>
    <row r="23" spans="2:13" ht="15.75" customHeight="1" x14ac:dyDescent="0.15">
      <c r="B23" s="18" t="s">
        <v>221</v>
      </c>
      <c r="C23" s="229"/>
      <c r="D23" s="227">
        <f>Dashboard!D11</f>
        <v>6.54E-2</v>
      </c>
      <c r="E23" s="132">
        <f>IF(E7="","",D23)</f>
        <v>6.54E-2</v>
      </c>
      <c r="F23" s="132">
        <f>IF(F15="","",D23)</f>
        <v>6.54E-2</v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222</v>
      </c>
      <c r="C24" s="228"/>
      <c r="D24" s="230">
        <f>IF(D16="","",1+D23)</f>
        <v>1.0653999999999999</v>
      </c>
      <c r="E24" s="161">
        <f>IF(E7="","",(1+D23)*(1+E23))</f>
        <v>1.1350771599999998</v>
      </c>
      <c r="F24" s="161">
        <f>IF(F15="","",(1+D23)*(1+E23)*(1+F23))</f>
        <v>1.2093112062639997</v>
      </c>
      <c r="G24" s="162">
        <f>IF(F15="",IF(E7="",D24,E24),F24)*(1+G23)</f>
        <v>1.3065398272476252</v>
      </c>
      <c r="H24" s="111"/>
      <c r="I24" s="105"/>
      <c r="M24" s="105"/>
    </row>
    <row r="25" spans="2:13" ht="15.75" customHeight="1" thickTop="1" x14ac:dyDescent="0.15">
      <c r="B25" s="8" t="s">
        <v>223</v>
      </c>
      <c r="C25" s="226"/>
      <c r="D25" s="231">
        <f>IF(D16="","",D22/D24)</f>
        <v>-187730.42988548902</v>
      </c>
      <c r="E25" s="246">
        <f>IF(E7="","",E22/E24)</f>
        <v>56706.136171394719</v>
      </c>
      <c r="F25" s="246">
        <f>IF(F15="","",F22/F24)</f>
        <v>103919.40045824178</v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224</v>
      </c>
      <c r="C27" s="134" t="s">
        <v>225</v>
      </c>
      <c r="G27" s="6"/>
    </row>
    <row r="28" spans="2:13" ht="15.75" customHeight="1" x14ac:dyDescent="0.15">
      <c r="B28" s="3" t="s">
        <v>226</v>
      </c>
      <c r="C28" s="163">
        <f>IF(OR(E15="",F15=""),D16,E16)*(1+G15)</f>
        <v>103324.63679999999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228</v>
      </c>
      <c r="C29" s="164">
        <f>(C28*(1-G17))/F28</f>
        <v>963849.22388059704</v>
      </c>
      <c r="G29" s="6"/>
    </row>
    <row r="30" spans="2:13" ht="15.75" customHeight="1" thickTop="1" x14ac:dyDescent="0.15">
      <c r="B30" s="107" t="s">
        <v>229</v>
      </c>
      <c r="C30" s="163">
        <f>C29/(IF(OR(E15="",F15=""),D24,E24)*(1+G23))</f>
        <v>785957.64301011618</v>
      </c>
      <c r="G30" s="6"/>
    </row>
    <row r="31" spans="2:13" ht="15.75" customHeight="1" x14ac:dyDescent="0.15">
      <c r="B31" s="107" t="s">
        <v>230</v>
      </c>
      <c r="C31" s="163">
        <f>IF(OR(E15="",F15=""),D18*0.5/D24,D25+E25)</f>
        <v>-131024.2937140943</v>
      </c>
    </row>
    <row r="32" spans="2:13" ht="15.75" customHeight="1" x14ac:dyDescent="0.15">
      <c r="B32" s="107" t="s">
        <v>231</v>
      </c>
      <c r="C32" s="163">
        <f>'Asset Model'!D51</f>
        <v>1590248.9499999997</v>
      </c>
    </row>
    <row r="33" spans="2:13" ht="15.75" customHeight="1" x14ac:dyDescent="0.15">
      <c r="B33" s="107" t="s">
        <v>232</v>
      </c>
      <c r="C33" s="163">
        <f>Data!C27</f>
        <v>1603645</v>
      </c>
    </row>
    <row r="34" spans="2:13" ht="15.75" customHeight="1" x14ac:dyDescent="0.15">
      <c r="B34" s="80" t="s">
        <v>233</v>
      </c>
      <c r="C34" s="163">
        <f>'Asset Model'!D48</f>
        <v>115355</v>
      </c>
    </row>
    <row r="35" spans="2:13" ht="15.75" customHeight="1" thickBot="1" x14ac:dyDescent="0.2">
      <c r="B35" s="165" t="s">
        <v>234</v>
      </c>
      <c r="C35" s="163">
        <f>'Asset Model'!E43</f>
        <v>0</v>
      </c>
    </row>
    <row r="36" spans="2:13" ht="15.75" customHeight="1" thickTop="1" x14ac:dyDescent="0.15">
      <c r="B36" s="5" t="s">
        <v>235</v>
      </c>
      <c r="C36" s="166">
        <f>C30+C31+(C32+C33-C34-C35)</f>
        <v>3733472.2992960215</v>
      </c>
      <c r="D36" s="167" t="str">
        <f>Dashboard!H12</f>
        <v>HKD</v>
      </c>
      <c r="E36" s="6"/>
    </row>
    <row r="37" spans="2:13" ht="15.75" customHeight="1" x14ac:dyDescent="0.15">
      <c r="B37" s="5" t="s">
        <v>236</v>
      </c>
      <c r="C37" s="168">
        <f>C36*Data!C4/Common_Shares*Exchange_Rate</f>
        <v>2.0317665601831623</v>
      </c>
      <c r="D37" s="76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237</v>
      </c>
      <c r="C39" s="169"/>
      <c r="D39" s="26"/>
      <c r="E39" s="170"/>
      <c r="F39" s="171"/>
    </row>
    <row r="40" spans="2:13" ht="15.75" customHeight="1" x14ac:dyDescent="0.15">
      <c r="B40" s="3" t="s">
        <v>226</v>
      </c>
      <c r="C40" s="163">
        <f>G16</f>
        <v>309973.91039999999</v>
      </c>
      <c r="D40" s="26"/>
      <c r="E40" s="170"/>
      <c r="F40" s="171"/>
    </row>
    <row r="41" spans="2:13" ht="15.75" customHeight="1" thickBot="1" x14ac:dyDescent="0.2">
      <c r="B41" s="80" t="s">
        <v>228</v>
      </c>
      <c r="C41" s="164">
        <f>G22/(G23-G15)</f>
        <v>2891547.6716417912</v>
      </c>
      <c r="D41" s="172"/>
      <c r="E41" s="6" t="s">
        <v>227</v>
      </c>
      <c r="F41" s="15">
        <f>G18/C41</f>
        <v>8.0399999999999999E-2</v>
      </c>
      <c r="G41" s="6"/>
      <c r="M41" s="1"/>
    </row>
    <row r="42" spans="2:13" ht="15.75" customHeight="1" thickTop="1" x14ac:dyDescent="0.15">
      <c r="B42" s="107" t="s">
        <v>229</v>
      </c>
      <c r="C42" s="163">
        <f>C41/G24</f>
        <v>2213133.9675524207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2">
      <c r="B43" s="107" t="s">
        <v>230</v>
      </c>
      <c r="C43" s="163">
        <f>SUM(D25:F25)</f>
        <v>-27104.893255852512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235</v>
      </c>
      <c r="C44" s="166">
        <f>C43+C42+(C32+C33-C34-C35)</f>
        <v>5264568.0242965678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11.49938517319641</v>
      </c>
      <c r="G44" s="6"/>
      <c r="H44" s="176"/>
      <c r="I44" s="6"/>
    </row>
    <row r="45" spans="2:13" ht="15.75" customHeight="1" x14ac:dyDescent="0.15">
      <c r="B45" s="5" t="s">
        <v>236</v>
      </c>
      <c r="C45" s="168">
        <f>C44*Data!C4/Common_Shares*Exchange_Rate</f>
        <v>2.8649933381298154</v>
      </c>
      <c r="D45" s="76" t="str">
        <f>Dashboard!I4</f>
        <v>HKD</v>
      </c>
      <c r="E45" s="170" t="s">
        <v>136</v>
      </c>
      <c r="F45" s="30">
        <f>C45/(Data!C25*Exchange_Rate*Data!C4/Common_Shares)</f>
        <v>1.1323563277449133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15">
      <c r="C48" s="6"/>
      <c r="D48" s="6"/>
      <c r="E48" s="181">
        <f>G18/F41</f>
        <v>2891547.6716417912</v>
      </c>
      <c r="F48" s="182"/>
      <c r="I48" s="183"/>
    </row>
    <row r="49" spans="1:12" ht="15.75" customHeight="1" x14ac:dyDescent="0.15">
      <c r="B49" s="3" t="s">
        <v>243</v>
      </c>
      <c r="C49" s="184">
        <f>1/D49</f>
        <v>12.437810945273633</v>
      </c>
      <c r="D49" s="15">
        <f>F41</f>
        <v>8.0399999999999999E-2</v>
      </c>
      <c r="E49" s="185">
        <f t="dataTable" ref="E49:E54" dt2D="0" dtr="0" r1="F41" ca="1"/>
        <v>2891547.6716417912</v>
      </c>
      <c r="F49" s="186">
        <f>(E49/G24+C43+(C32+C33-C34-C35))*Data!C$4/Common_Shares*Exchange_Rate</f>
        <v>2.8649933381298154</v>
      </c>
      <c r="G49" s="187">
        <f>IF(Data!F$3&lt;=0,"NNI",F49/((Data!F$3*Exchange_Rate)/(Common_Shares/Data!C$4)))</f>
        <v>11.49938517319641</v>
      </c>
      <c r="I49" s="134" t="s">
        <v>244</v>
      </c>
    </row>
    <row r="50" spans="1:12" ht="15.75" customHeight="1" x14ac:dyDescent="0.15">
      <c r="C50" s="188">
        <f>1/D50</f>
        <v>12.450199203187251</v>
      </c>
      <c r="D50" s="15">
        <f>D49-((D$49-D$54)/5)</f>
        <v>8.0320000000000003E-2</v>
      </c>
      <c r="E50" s="189">
        <v>2894427.6992031871</v>
      </c>
      <c r="F50" s="186">
        <f>(E50/G24+C43+(C32+C33-C34-C35))*Data!C$4/Common_Shares*Exchange_Rate</f>
        <v>2.8661929337345509</v>
      </c>
      <c r="G50" s="188">
        <f>IF(Data!F$3&lt;=0,"NNI",F50/((Data!F$3*Exchange_Rate)/(Common_Shares/Data!C$4)))</f>
        <v>11.504200057659608</v>
      </c>
      <c r="I50" s="134"/>
    </row>
    <row r="51" spans="1:12" ht="15.75" customHeight="1" x14ac:dyDescent="0.15">
      <c r="C51" s="188">
        <f>1/D51</f>
        <v>12.462612163509471</v>
      </c>
      <c r="D51" s="15">
        <f>D50-((D$49-D$54)/5)</f>
        <v>8.0240000000000006E-2</v>
      </c>
      <c r="E51" s="189">
        <v>2899047.6955307261</v>
      </c>
      <c r="F51" s="186">
        <f>(E51/G24+C43+(C32+C33-C34-C35))*Data!C$4/Common_Shares*Exchange_Rate</f>
        <v>2.8681172650717546</v>
      </c>
      <c r="G51" s="188">
        <f>IF(Data!F$3&lt;=0,"NNI",F51/((Data!F$3*Exchange_Rate)/(Common_Shares/Data!C$4)))</f>
        <v>11.511923854763374</v>
      </c>
      <c r="I51" s="134"/>
    </row>
    <row r="52" spans="1:12" ht="15.75" customHeight="1" x14ac:dyDescent="0.15">
      <c r="C52" s="188">
        <f t="shared" ref="C52:C53" si="2">1/D52</f>
        <v>12.475049900199599</v>
      </c>
      <c r="D52" s="15">
        <f>D51-((D$49-D$54)/5)</f>
        <v>8.0160000000000009E-2</v>
      </c>
      <c r="E52" s="189">
        <v>2903218.3204124044</v>
      </c>
      <c r="F52" s="186">
        <f>(E52/G24+C43+(C32+C33-C34-C35))*Data!C$4/Common_Shares*Exchange_Rate</f>
        <v>2.8698544231962542</v>
      </c>
      <c r="G52" s="188">
        <f>IF(Data!F$3&lt;=0,"NNI",F52/((Data!F$3*Exchange_Rate)/(Common_Shares/Data!C$4)))</f>
        <v>11.518896384198088</v>
      </c>
      <c r="I52" s="134" t="s">
        <v>245</v>
      </c>
    </row>
    <row r="53" spans="1:12" ht="15.75" customHeight="1" x14ac:dyDescent="0.15">
      <c r="C53" s="188">
        <f t="shared" si="2"/>
        <v>12.487512487512486</v>
      </c>
      <c r="D53" s="15">
        <f>D52-((D$49-D$54)/5)</f>
        <v>8.0080000000000012E-2</v>
      </c>
      <c r="E53" s="189">
        <v>2905447.5640676985</v>
      </c>
      <c r="F53" s="186">
        <f>(E53/G24+C43+(C32+C33-C34-C35))*Data!C$4/Common_Shares*Exchange_Rate</f>
        <v>2.8707829528140323</v>
      </c>
      <c r="G53" s="188">
        <f>IF(Data!F$3&lt;=0,"NNI",F53/((Data!F$3*Exchange_Rate)/(Common_Shares/Data!C$4)))</f>
        <v>11.522623275837747</v>
      </c>
      <c r="I53" s="134"/>
    </row>
    <row r="54" spans="1:12" ht="15.75" customHeight="1" x14ac:dyDescent="0.15">
      <c r="B54" s="3" t="s">
        <v>246</v>
      </c>
      <c r="C54" s="190">
        <f>1/D54</f>
        <v>12.5</v>
      </c>
      <c r="D54" s="148">
        <v>0.08</v>
      </c>
      <c r="E54" s="191">
        <v>2906005.41</v>
      </c>
      <c r="F54" s="192">
        <f>(E54/G24+C43+(C32+C33-C34-C35))*Data!C$4/Common_Shares*Exchange_Rate</f>
        <v>2.8710153080655862</v>
      </c>
      <c r="G54" s="190">
        <f>IF(Data!F$3&lt;=0,"NNI",F54/((Data!F$3*Exchange_Rate)/(Common_Shares/Data!C$4)))</f>
        <v>11.523555893201658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247</v>
      </c>
      <c r="C57" s="195">
        <f>C37</f>
        <v>2.0317665601831623</v>
      </c>
      <c r="D57" s="26" t="str">
        <f>IF(C57&lt;E57,"&lt;",IF(C57=E57,"=","&gt;"))</f>
        <v>&lt;</v>
      </c>
      <c r="E57" s="196">
        <f>F54</f>
        <v>2.8710153080655862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5.7459512467880058E-2</v>
      </c>
    </row>
    <row r="59" spans="1:12" ht="15.75" hidden="1" customHeight="1" x14ac:dyDescent="0.15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-0.9246500867273626</v>
      </c>
      <c r="K59" s="276">
        <f t="dataTable" ref="K59:K60" dt2D="0" dtr="0" r1="C60" ca="1"/>
        <v>5.7459512467880058E-2</v>
      </c>
    </row>
    <row r="60" spans="1:12" ht="15.75" hidden="1" customHeight="1" x14ac:dyDescent="0.15">
      <c r="B60" s="6"/>
      <c r="C60" s="186">
        <f>J59</f>
        <v>-0.9246500867273626</v>
      </c>
      <c r="D60" s="186">
        <f>D22/(Dashboard!H5/Data!C4)</f>
        <v>-0.10884493940017674</v>
      </c>
      <c r="E60" s="186">
        <f>IF(E7="",I60,E22)/(Dashboard!H5/Data!C4)</f>
        <v>3.5028078648061428E-2</v>
      </c>
      <c r="F60" s="264">
        <f>IF(E7="","",IF(F15="",I60,F22)/(Dashboard!H5/Data!C4))</f>
        <v>6.8390469418724578E-2</v>
      </c>
      <c r="G60" s="265">
        <f>IF(OR(E7&lt;&gt;"",F15&lt;&gt;""),I60/(Dashboard!H5/Data!C4),"")</f>
        <v>1.1734154500335643</v>
      </c>
      <c r="H60" s="6"/>
      <c r="I60" s="274">
        <f>(C63*Dashboard!H5/Data!C4-(C32+C33-C34-C35)-C43)*G24</f>
        <v>2156209.361901965</v>
      </c>
      <c r="J60" s="277">
        <f>-Dashboard!C22+(C32+C33-C34-C35)/(Dashboard!H5/Data!C4)</f>
        <v>-0.44465008672736261</v>
      </c>
      <c r="K60" s="276">
        <v>0.25402341861980759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318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15">
      <c r="B63" s="6" t="s">
        <v>256</v>
      </c>
      <c r="C63" s="197">
        <f>MIN(C57,E57)+(ABS(C57-E57)*'Qualitative Analysis'!E56)</f>
        <v>2.5587085594071994</v>
      </c>
      <c r="D63" s="262" t="str">
        <f>D45</f>
        <v>HKD</v>
      </c>
      <c r="E63" s="263">
        <f>IF(Data!F3&lt;=0,"NNI",C63/((Data!F3*Exchange_Rate)/(Common_Shares/Data!C4)))</f>
        <v>10.270032700943295</v>
      </c>
      <c r="F63" s="263">
        <f>C63/(Data!C25*Exchange_Rate*Data!C4/Common_Shares)</f>
        <v>1.0113007208565215</v>
      </c>
      <c r="G63" s="273">
        <f>IRR(C60:G60)</f>
        <v>5.7459512467880058E-2</v>
      </c>
      <c r="H63" s="6"/>
      <c r="I63" s="134" t="s">
        <v>257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88" workbookViewId="0">
      <selection activeCell="F108" sqref="F108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258</v>
      </c>
      <c r="C2" s="199"/>
      <c r="D2" s="8"/>
      <c r="E2" s="8"/>
    </row>
    <row r="3" spans="1:6" ht="15" customHeight="1" x14ac:dyDescent="0.15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15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15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15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15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15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15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15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15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15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15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15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15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15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15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15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15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295</v>
      </c>
      <c r="C24" s="203"/>
      <c r="D24" s="13"/>
      <c r="E24" s="13"/>
    </row>
    <row r="25" spans="1:6" ht="14" x14ac:dyDescent="0.15">
      <c r="B25" s="204" t="s">
        <v>296</v>
      </c>
      <c r="C25" s="205"/>
      <c r="D25" s="6"/>
      <c r="E25" s="6"/>
    </row>
    <row r="26" spans="1:6" ht="14" x14ac:dyDescent="0.15">
      <c r="B26" s="6" t="s">
        <v>297</v>
      </c>
      <c r="C26" s="205"/>
      <c r="D26" s="202">
        <f>IF(E26="Strongly disagree",0,IF(E26="disagree",1,IF(E26="unclear",2,IF(E26="agree",3,4))))</f>
        <v>0</v>
      </c>
      <c r="E26" s="45" t="s">
        <v>341</v>
      </c>
      <c r="F26" s="6"/>
    </row>
    <row r="27" spans="1:6" ht="14" x14ac:dyDescent="0.15">
      <c r="B27" s="6" t="s">
        <v>299</v>
      </c>
      <c r="C27" s="205"/>
      <c r="D27" s="202">
        <f t="shared" ref="D27:D28" si="4">IF(E27="Strongly disagree",0,IF(E27="disagree",1,IF(E27="unclear",2,IF(E27="agree",3,4))))</f>
        <v>0</v>
      </c>
      <c r="E27" s="45" t="s">
        <v>341</v>
      </c>
      <c r="F27" s="6"/>
    </row>
    <row r="28" spans="1:6" ht="14" x14ac:dyDescent="0.15">
      <c r="B28" s="6" t="s">
        <v>301</v>
      </c>
      <c r="C28" s="205"/>
      <c r="D28" s="202">
        <f t="shared" si="4"/>
        <v>3</v>
      </c>
      <c r="E28" s="45" t="s">
        <v>300</v>
      </c>
      <c r="F28" s="6"/>
    </row>
    <row r="29" spans="1:6" ht="14" x14ac:dyDescent="0.15">
      <c r="B29" s="206" t="s">
        <v>302</v>
      </c>
      <c r="C29" s="205"/>
      <c r="D29" s="202">
        <f>AVERAGE(D26:D28)</f>
        <v>1</v>
      </c>
      <c r="E29" s="207">
        <f>D29/4</f>
        <v>0.25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303</v>
      </c>
      <c r="C31" s="201"/>
    </row>
    <row r="32" spans="1:6" ht="14" x14ac:dyDescent="0.15">
      <c r="B32" s="201" t="s">
        <v>304</v>
      </c>
      <c r="C32" s="201"/>
      <c r="E32" s="6"/>
    </row>
    <row r="33" spans="2:6" ht="14" x14ac:dyDescent="0.15">
      <c r="B33" s="80" t="s">
        <v>305</v>
      </c>
      <c r="D33" s="209">
        <f>IF(E33="Strongly disagree",0,IF(E33="disagree",1,IF(E33="unclear",2,IF(E33="agree",3,4))))</f>
        <v>1</v>
      </c>
      <c r="E33" s="210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15">
      <c r="B34" s="80" t="s">
        <v>306</v>
      </c>
      <c r="D34" s="209">
        <f>IF(E34="Strongly disagree",0,IF(E34="disagree",1,IF(E34="unclear",2,IF(E34="agree",3,4))))</f>
        <v>2</v>
      </c>
      <c r="E34" s="45" t="s">
        <v>308</v>
      </c>
      <c r="F34" s="6"/>
    </row>
    <row r="35" spans="2:6" ht="14" x14ac:dyDescent="0.15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15">
      <c r="B36" s="80" t="s">
        <v>309</v>
      </c>
      <c r="D36" s="209">
        <f>IF(E36="Strongly disagree",0,IF(E36="disagree",1,IF(E36="unclear",2,IF(E36="agree",3,4))))</f>
        <v>4</v>
      </c>
      <c r="E36" s="45" t="s">
        <v>298</v>
      </c>
      <c r="F36" s="6"/>
    </row>
    <row r="37" spans="2:6" ht="14" x14ac:dyDescent="0.15">
      <c r="B37" s="80" t="s">
        <v>311</v>
      </c>
      <c r="D37" s="209">
        <f>IF(E37="Strongly disagree",0,IF(E37="disagree",1,IF(E37="unclear",2,IF(E37="agree",3,4))))</f>
        <v>3</v>
      </c>
      <c r="E37" s="45" t="s">
        <v>300</v>
      </c>
      <c r="F37" s="6"/>
    </row>
    <row r="38" spans="2:6" ht="14" x14ac:dyDescent="0.15">
      <c r="B38" s="201" t="s">
        <v>312</v>
      </c>
      <c r="D38" s="54"/>
      <c r="E38" s="26"/>
    </row>
    <row r="39" spans="2:6" ht="14" x14ac:dyDescent="0.15">
      <c r="B39" s="80" t="s">
        <v>313</v>
      </c>
      <c r="D39" s="209">
        <f>IF(E39="Strongly disagree",0,IF(E39="disagree",1,IF(E39="unclear",2,IF(E39="agree",3,4))))</f>
        <v>4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39" s="6"/>
    </row>
    <row r="40" spans="2:6" ht="14" x14ac:dyDescent="0.15">
      <c r="B40" s="80" t="s">
        <v>314</v>
      </c>
      <c r="D40" s="209">
        <f t="shared" ref="D40:D43" si="5">IF(E40="Strongly disagree",0,IF(E40="disagree",1,IF(E40="unclear",2,IF(E40="agree",3,4))))</f>
        <v>2</v>
      </c>
      <c r="E40" s="45" t="s">
        <v>308</v>
      </c>
      <c r="F40" s="6"/>
    </row>
    <row r="41" spans="2:6" ht="15" customHeight="1" x14ac:dyDescent="0.15">
      <c r="B41" s="80" t="s">
        <v>315</v>
      </c>
      <c r="D41" s="209">
        <f t="shared" si="5"/>
        <v>2</v>
      </c>
      <c r="E41" s="45" t="s">
        <v>308</v>
      </c>
      <c r="F41" s="6"/>
    </row>
    <row r="42" spans="2:6" ht="15" customHeight="1" x14ac:dyDescent="0.15">
      <c r="B42" s="80" t="s">
        <v>316</v>
      </c>
      <c r="D42" s="209">
        <f t="shared" si="5"/>
        <v>2</v>
      </c>
      <c r="E42" s="45" t="s">
        <v>308</v>
      </c>
      <c r="F42" s="6"/>
    </row>
    <row r="43" spans="2:6" ht="15" customHeight="1" x14ac:dyDescent="0.15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15">
      <c r="B44" s="201" t="s">
        <v>318</v>
      </c>
      <c r="D44" s="54"/>
      <c r="E44" s="26"/>
    </row>
    <row r="45" spans="2:6" ht="14" x14ac:dyDescent="0.15">
      <c r="B45" s="80" t="s">
        <v>319</v>
      </c>
      <c r="D45" s="209">
        <f t="shared" ref="D45:D49" si="6">IF(E45="Strongly disagree",0,IF(E45="disagree",1,IF(E45="unclear",2,IF(E45="agree",3,4))))</f>
        <v>3</v>
      </c>
      <c r="E45" s="45" t="s">
        <v>300</v>
      </c>
      <c r="F45" s="6"/>
    </row>
    <row r="46" spans="2:6" ht="15" customHeight="1" x14ac:dyDescent="0.15">
      <c r="B46" s="80" t="s">
        <v>320</v>
      </c>
      <c r="D46" s="209">
        <f t="shared" si="6"/>
        <v>2</v>
      </c>
      <c r="E46" s="45" t="s">
        <v>308</v>
      </c>
      <c r="F46" s="6"/>
    </row>
    <row r="47" spans="2:6" ht="15" customHeight="1" x14ac:dyDescent="0.15">
      <c r="B47" s="80" t="s">
        <v>321</v>
      </c>
      <c r="D47" s="209">
        <f t="shared" si="6"/>
        <v>3</v>
      </c>
      <c r="E47" s="45" t="s">
        <v>300</v>
      </c>
      <c r="F47" s="6"/>
    </row>
    <row r="48" spans="2:6" ht="15" customHeight="1" x14ac:dyDescent="0.15">
      <c r="B48" s="80" t="s">
        <v>322</v>
      </c>
      <c r="D48" s="209">
        <f t="shared" si="6"/>
        <v>3</v>
      </c>
      <c r="E48" s="45" t="s">
        <v>300</v>
      </c>
      <c r="F48" s="6"/>
    </row>
    <row r="49" spans="2:6" ht="14" x14ac:dyDescent="0.15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15">
      <c r="B50" s="201" t="s">
        <v>324</v>
      </c>
      <c r="D50" s="54"/>
      <c r="E50" s="26"/>
    </row>
    <row r="51" spans="2:6" ht="14" x14ac:dyDescent="0.15">
      <c r="B51" s="80" t="s">
        <v>325</v>
      </c>
      <c r="D51" s="44"/>
      <c r="E51" s="75" t="str">
        <f>E67</f>
        <v>Low</v>
      </c>
      <c r="F51" s="6"/>
    </row>
    <row r="52" spans="2:6" ht="14" x14ac:dyDescent="0.15">
      <c r="B52" s="80" t="s">
        <v>326</v>
      </c>
      <c r="D52" s="44"/>
      <c r="E52" s="75" t="str">
        <f>E77</f>
        <v>Very Low</v>
      </c>
      <c r="F52" s="6"/>
    </row>
    <row r="53" spans="2:6" ht="14" x14ac:dyDescent="0.15">
      <c r="B53" s="80" t="s">
        <v>327</v>
      </c>
      <c r="D53" s="44"/>
      <c r="E53" s="75" t="str">
        <f>E85</f>
        <v>Medium</v>
      </c>
      <c r="F53" s="6"/>
    </row>
    <row r="54" spans="2:6" ht="14" x14ac:dyDescent="0.15">
      <c r="B54" s="80" t="s">
        <v>328</v>
      </c>
      <c r="D54" s="44"/>
      <c r="E54" s="75" t="str">
        <f>E95</f>
        <v>Medium</v>
      </c>
      <c r="F54" s="6"/>
    </row>
    <row r="55" spans="2:6" ht="14" x14ac:dyDescent="0.15">
      <c r="B55" s="80" t="s">
        <v>329</v>
      </c>
      <c r="D55" s="44"/>
      <c r="E55" s="75" t="str">
        <f>E102</f>
        <v>Very High</v>
      </c>
      <c r="F55" s="6"/>
    </row>
    <row r="56" spans="2:6" ht="14" x14ac:dyDescent="0.15">
      <c r="B56" s="206" t="s">
        <v>330</v>
      </c>
      <c r="D56" s="202">
        <f>E56*4</f>
        <v>2.5114937641723358</v>
      </c>
      <c r="E56" s="62">
        <f>AVERAGE(AVERAGE(D33:D37)/4,AVERAGE(D39:D43)/4,AVERAGE(D45:D49)/4,E114)</f>
        <v>0.62787344104308396</v>
      </c>
      <c r="F56" s="6"/>
    </row>
    <row r="57" spans="2:6" ht="14" x14ac:dyDescent="0.15">
      <c r="E57" s="6"/>
    </row>
    <row r="58" spans="2:6" ht="14" x14ac:dyDescent="0.15">
      <c r="B58" s="208" t="s">
        <v>331</v>
      </c>
      <c r="C58" s="80"/>
      <c r="D58" s="54"/>
      <c r="E58" s="26"/>
    </row>
    <row r="59" spans="2:6" ht="14" x14ac:dyDescent="0.15">
      <c r="B59" s="3" t="s">
        <v>332</v>
      </c>
      <c r="D59" s="209">
        <f>IF(E59="Strongly disagree",0,IF(E59="disagree",1,IF(E59="unclear",2,IF(E59="agree",3,4))))</f>
        <v>3</v>
      </c>
      <c r="E59" s="45" t="s">
        <v>300</v>
      </c>
      <c r="F59" s="6"/>
    </row>
    <row r="60" spans="2:6" ht="14" x14ac:dyDescent="0.15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334</v>
      </c>
      <c r="C61" s="80"/>
      <c r="D61" s="209">
        <f>IF(E61="Strongly disagree",0,IF(E61="disagree",1,IF(E61="unclear",2,IF(E61="agree",3,4))))</f>
        <v>1</v>
      </c>
      <c r="E61" s="211" t="str">
        <f>E33</f>
        <v>disagree</v>
      </c>
      <c r="F61" s="6"/>
    </row>
    <row r="62" spans="2:6" ht="14" x14ac:dyDescent="0.15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336</v>
      </c>
      <c r="D63" s="209"/>
      <c r="E63" s="207">
        <f>SUM(D59:D62)/12</f>
        <v>0.58333333333333337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337</v>
      </c>
      <c r="C65" s="22"/>
      <c r="D65" s="22"/>
      <c r="E65" s="13"/>
    </row>
    <row r="66" spans="1:6" ht="15" customHeight="1" x14ac:dyDescent="0.15">
      <c r="B66" s="5" t="s">
        <v>338</v>
      </c>
      <c r="C66" s="6"/>
      <c r="D66" s="26"/>
      <c r="E66" s="6"/>
    </row>
    <row r="67" spans="1:6" ht="15" customHeight="1" x14ac:dyDescent="0.15">
      <c r="B67" s="80" t="s">
        <v>339</v>
      </c>
      <c r="D67" s="212">
        <f>SUM(D68:D75)/(8*4)</f>
        <v>0.3125</v>
      </c>
      <c r="E67" s="75" t="str">
        <f>IF(D67&gt;80%,"Very High",IF(D67&lt;=20%,"Very Low",IF(D67&lt;=40%,"Low",IF(D67&lt;=60%,"Medium","High"))))</f>
        <v>Low</v>
      </c>
      <c r="F67" s="6"/>
    </row>
    <row r="68" spans="1:6" ht="15" customHeight="1" x14ac:dyDescent="0.15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15">
      <c r="B69" s="80" t="s">
        <v>342</v>
      </c>
      <c r="D69" s="209">
        <f t="shared" si="8"/>
        <v>4</v>
      </c>
      <c r="E69" s="45" t="s">
        <v>298</v>
      </c>
      <c r="F69" s="6"/>
    </row>
    <row r="70" spans="1:6" ht="15" customHeight="1" x14ac:dyDescent="0.15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15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15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15">
      <c r="B73" s="80" t="s">
        <v>346</v>
      </c>
      <c r="D73" s="209">
        <f t="shared" si="8"/>
        <v>1</v>
      </c>
      <c r="E73" s="45" t="s">
        <v>310</v>
      </c>
      <c r="F73" s="6"/>
    </row>
    <row r="74" spans="1:6" ht="15" customHeight="1" x14ac:dyDescent="0.15">
      <c r="B74" s="80" t="s">
        <v>347</v>
      </c>
      <c r="D74" s="209">
        <f t="shared" si="8"/>
        <v>0</v>
      </c>
      <c r="E74" s="45" t="s">
        <v>341</v>
      </c>
      <c r="F74" s="6"/>
    </row>
    <row r="75" spans="1:6" ht="15" customHeight="1" x14ac:dyDescent="0.15">
      <c r="B75" s="80" t="s">
        <v>348</v>
      </c>
      <c r="D75" s="209">
        <f t="shared" si="8"/>
        <v>1</v>
      </c>
      <c r="E75" s="45" t="s">
        <v>310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15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15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15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15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15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356</v>
      </c>
      <c r="D85" s="212">
        <f>SUM(D86:D93)/(8*4)</f>
        <v>0.59375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357</v>
      </c>
      <c r="D86" s="209">
        <f t="shared" ref="D86:D93" si="10">IF(E86="Strongly disagree",0,IF(E86="disagree",1,IF(E86="unclear",2,IF(E86="agree",3,4))))</f>
        <v>4</v>
      </c>
      <c r="E86" s="45" t="s">
        <v>298</v>
      </c>
      <c r="F86" s="6"/>
    </row>
    <row r="87" spans="2:6" ht="15" customHeight="1" x14ac:dyDescent="0.15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15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15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15">
      <c r="B90" s="80" t="s">
        <v>361</v>
      </c>
      <c r="D90" s="209">
        <f t="shared" si="10"/>
        <v>4</v>
      </c>
      <c r="E90" s="45" t="s">
        <v>298</v>
      </c>
      <c r="F90" s="6"/>
    </row>
    <row r="91" spans="2:6" ht="15" customHeight="1" x14ac:dyDescent="0.15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15">
      <c r="B92" s="80" t="s">
        <v>363</v>
      </c>
      <c r="D92" s="209">
        <f t="shared" si="10"/>
        <v>2</v>
      </c>
      <c r="E92" s="45" t="s">
        <v>308</v>
      </c>
      <c r="F92" s="6"/>
    </row>
    <row r="93" spans="2:6" ht="15" customHeight="1" x14ac:dyDescent="0.15">
      <c r="B93" s="80" t="s">
        <v>364</v>
      </c>
      <c r="D93" s="209">
        <f t="shared" si="10"/>
        <v>2</v>
      </c>
      <c r="E93" s="45" t="s">
        <v>308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365</v>
      </c>
      <c r="D95" s="212">
        <f>SUM(D96:D100)/(3*4)</f>
        <v>0.42517006802721086</v>
      </c>
      <c r="E95" s="75" t="str">
        <f>IF(D95&gt;80%,"Very High",IF(D95&lt;=20%,"Very Low",IF(D95&lt;=40%,"Low",IF(D95&lt;=60%,"Medium","High"))))</f>
        <v>Medium</v>
      </c>
      <c r="F95" s="6"/>
    </row>
    <row r="96" spans="2:6" ht="15" customHeight="1" x14ac:dyDescent="0.15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15">
      <c r="B97" s="80" t="s">
        <v>367</v>
      </c>
      <c r="D97" s="209">
        <f t="shared" si="11"/>
        <v>0</v>
      </c>
      <c r="E97" s="45" t="s">
        <v>341</v>
      </c>
      <c r="F97" s="6"/>
    </row>
    <row r="98" spans="2:6" ht="15" customHeight="1" x14ac:dyDescent="0.15">
      <c r="B98" s="80" t="s">
        <v>368</v>
      </c>
      <c r="D98" s="209">
        <f t="shared" si="11"/>
        <v>0</v>
      </c>
      <c r="E98" s="45" t="s">
        <v>341</v>
      </c>
      <c r="F98" s="6"/>
    </row>
    <row r="99" spans="2:6" ht="15" customHeight="1" x14ac:dyDescent="0.15">
      <c r="B99" s="80" t="s">
        <v>369</v>
      </c>
      <c r="D99" s="209">
        <f t="shared" si="11"/>
        <v>2</v>
      </c>
      <c r="E99" s="45" t="s">
        <v>308</v>
      </c>
      <c r="F99" s="6"/>
    </row>
    <row r="100" spans="2:6" ht="15" customHeight="1" x14ac:dyDescent="0.15">
      <c r="B100" s="80" t="s">
        <v>370</v>
      </c>
      <c r="D100" s="213">
        <f t="array" ref="D100">(1-INDEX(B118:E127,MATCH(E100,B118:B127,0),4))*4</f>
        <v>3.1020408163265305</v>
      </c>
      <c r="E100" s="45" t="s">
        <v>403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371</v>
      </c>
      <c r="D102" s="214">
        <f>SUM(D103:D111)/(9*4)</f>
        <v>0.86111111111111116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372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15">
      <c r="B104" s="80" t="s">
        <v>373</v>
      </c>
      <c r="D104" s="209">
        <f t="shared" si="12"/>
        <v>1</v>
      </c>
      <c r="E104" s="45" t="s">
        <v>310</v>
      </c>
      <c r="F104" s="6"/>
    </row>
    <row r="105" spans="2:6" ht="15" customHeight="1" x14ac:dyDescent="0.15">
      <c r="B105" s="80" t="s">
        <v>374</v>
      </c>
      <c r="D105" s="209">
        <f t="shared" si="12"/>
        <v>4</v>
      </c>
      <c r="E105" s="45" t="s">
        <v>298</v>
      </c>
      <c r="F105" s="6"/>
    </row>
    <row r="106" spans="2:6" ht="15" customHeight="1" x14ac:dyDescent="0.15">
      <c r="B106" s="80" t="s">
        <v>375</v>
      </c>
      <c r="D106" s="209">
        <f t="shared" si="12"/>
        <v>4</v>
      </c>
      <c r="E106" s="45" t="s">
        <v>298</v>
      </c>
      <c r="F106" s="6"/>
    </row>
    <row r="107" spans="2:6" ht="15" customHeight="1" x14ac:dyDescent="0.15">
      <c r="B107" s="80" t="s">
        <v>376</v>
      </c>
      <c r="D107" s="209">
        <f t="shared" si="12"/>
        <v>4</v>
      </c>
      <c r="E107" s="45" t="s">
        <v>298</v>
      </c>
      <c r="F107" s="6"/>
    </row>
    <row r="108" spans="2:6" ht="15" customHeight="1" x14ac:dyDescent="0.15">
      <c r="B108" s="80" t="s">
        <v>377</v>
      </c>
      <c r="D108" s="209">
        <f t="shared" si="12"/>
        <v>4</v>
      </c>
      <c r="E108" s="45" t="s">
        <v>298</v>
      </c>
      <c r="F108" s="6"/>
    </row>
    <row r="109" spans="2:6" ht="15" customHeight="1" x14ac:dyDescent="0.15">
      <c r="B109" s="80" t="s">
        <v>378</v>
      </c>
      <c r="D109" s="209">
        <f t="shared" si="12"/>
        <v>4</v>
      </c>
      <c r="E109" s="45" t="s">
        <v>298</v>
      </c>
      <c r="F109" s="6"/>
    </row>
    <row r="110" spans="2:6" ht="15" customHeight="1" x14ac:dyDescent="0.15">
      <c r="B110" s="80" t="s">
        <v>379</v>
      </c>
      <c r="D110" s="209">
        <f t="shared" si="12"/>
        <v>4</v>
      </c>
      <c r="E110" s="45" t="s">
        <v>298</v>
      </c>
      <c r="F110" s="6"/>
    </row>
    <row r="111" spans="2:6" ht="15" customHeight="1" x14ac:dyDescent="0.15">
      <c r="B111" s="80" t="s">
        <v>380</v>
      </c>
      <c r="D111" s="209">
        <f>IF(E111="Strongly disagree",0,IF(E111="disagree",1,IF(E111="non-perishable",2,IF(E111="agree",3,4))))</f>
        <v>2</v>
      </c>
      <c r="E111" s="45" t="s">
        <v>404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381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382</v>
      </c>
      <c r="D114" s="6"/>
      <c r="E114" s="37">
        <f>1-AVERAGE(D67,D77,D85,D95,D102)</f>
        <v>0.56149376417233565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383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384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385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386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387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388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389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390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391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392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393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394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2022-12-07T15:52:07Z</dcterms:modified>
  <cp:category/>
  <cp:contentStatus/>
</cp:coreProperties>
</file>