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8_{950625CE-AF5A-3C44-A15C-D1EFB9AC226B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 l="1"/>
  <c r="H25" i="1" l="1"/>
  <c r="C25" i="1"/>
  <c r="E4" i="4"/>
  <c r="D11" i="1"/>
  <c r="D13" i="1"/>
  <c r="C23" i="1"/>
  <c r="I13" i="1"/>
  <c r="E5" i="1"/>
  <c r="G60" i="4"/>
  <c r="D52" i="3"/>
  <c r="E4" i="2"/>
  <c r="D8" i="4"/>
  <c r="E8" i="4"/>
  <c r="E9" i="4"/>
  <c r="E11" i="4"/>
  <c r="E13" i="4"/>
  <c r="E10" i="3"/>
  <c r="G31" i="2"/>
  <c r="H31" i="2"/>
  <c r="H32" i="2" s="1"/>
  <c r="I31" i="2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I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D100" i="5" s="1" a="1"/>
  <c r="D100" i="5" s="1"/>
  <c r="E118" i="5"/>
  <c r="D111" i="5"/>
  <c r="D110" i="5"/>
  <c r="D109" i="5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51" i="3" l="1"/>
  <c r="D51" i="3"/>
  <c r="C32" i="4" s="1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H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<sst xmlns="http://schemas.openxmlformats.org/spreadsheetml/2006/main" count="471" uniqueCount="399">
  <si>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</si>
  <si>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</si>
  <si>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</si>
  <si>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</si>
  <si>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</si>
  <si>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</si>
  <si>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</si>
  <si>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</si>
  <si>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</si>
  <si>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</si>
  <si>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</si>
  <si>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</si>
  <si>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</si>
  <si>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</si>
  <si>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</si>
  <si>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</si>
  <si>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</si>
  <si>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</si>
  <si>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</si>
  <si>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</si>
  <si>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</si>
  <si>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</si>
  <si>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</si>
  <si>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</si>
  <si>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</si>
  <si>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</si>
  <si>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</si>
  <si>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</si>
  <si>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</si>
  <si>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</si>
  <si>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</si>
  <si>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</si>
  <si>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</si>
  <si>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</si>
  <si>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</si>
  <si>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</si>
  <si>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</si>
  <si>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</si>
  <si>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</si>
  <si>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</si>
  <si>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</si>
  <si>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</si>
  <si>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</si>
  <si>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</si>
  <si>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</si>
  <si>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</si>
  <si>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</si>
  <si>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</si>
  <si>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</si>
  <si>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</si>
  <si>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</si>
  <si>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</si>
  <si>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</si>
  <si>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</si>
  <si>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</si>
  <si>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</si>
  <si>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</si>
  <si>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</si>
  <si>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</si>
  <si>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</si>
  <si>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</si>
  <si>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</si>
  <si>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</si>
  <si>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</si>
  <si>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</si>
  <si>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</si>
  <si>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</si>
  <si>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</si>
  <si>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</si>
  <si>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</si>
  <si>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</si>
  <si>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</si>
  <si>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</si>
  <si>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</si>
  <si>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</si>
  <si>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</si>
  <si>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</si>
  <si>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</si>
  <si>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</si>
  <si>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</si>
  <si>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</si>
  <si>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</si>
  <si>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</si>
  <si>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</si>
  <si>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</si>
  <si>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</si>
  <si>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</si>
  <si>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</si>
  <si>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</si>
  <si>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</si>
  <si>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</si>
  <si>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</si>
  <si>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</si>
  <si>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</si>
  <si>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</si>
  <si>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</si>
  <si>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</si>
  <si>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</si>
  <si>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</si>
  <si>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</si>
  <si>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</si>
  <si>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</si>
  <si>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</si>
  <si>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</si>
  <si>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</si>
  <si>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</si>
  <si>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</si>
  <si>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</si>
  <si>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</si>
  <si>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</si>
  <si>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</si>
  <si>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</si>
  <si>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</si>
  <si>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</si>
  <si>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</si>
  <si>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</si>
  <si>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</si>
  <si>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</si>
  <si>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</si>
  <si>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</si>
  <si>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</si>
  <si>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</si>
  <si>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</si>
  <si>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</si>
  <si>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</si>
  <si>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</si>
  <si>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</si>
  <si>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</si>
  <si>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</si>
  <si>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</si>
  <si>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</si>
  <si>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</si>
  <si>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</si>
  <si>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</si>
  <si>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</si>
  <si>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</si>
  <si>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</si>
  <si>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</si>
  <si>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</si>
  <si>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</si>
  <si>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</si>
  <si>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</si>
  <si>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</si>
  <si>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</si>
  <si>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</si>
  <si>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</si>
  <si>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</si>
  <si>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</si>
  <si>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</si>
  <si>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</si>
  <si>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</si>
  <si>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</si>
  <si>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</si>
  <si>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</si>
  <si>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</si>
  <si>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</si>
  <si>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</si>
  <si>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</si>
  <si>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</si>
  <si>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</si>
  <si>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</si>
  <si>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</si>
  <si>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</si>
  <si>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</si>
  <si>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</si>
  <si>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</si>
  <si>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</si>
  <si>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</si>
  <si>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</si>
  <si>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</si>
  <si>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</si>
  <si>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</si>
  <si>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</si>
  <si>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</si>
  <si>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</si>
  <si>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</si>
  <si>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</si>
  <si>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</si>
  <si>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</si>
  <si>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</si>
  <si>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</si>
  <si>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</si>
  <si>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</si>
  <si>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</si>
  <si>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</si>
  <si>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</si>
  <si>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</si>
  <si>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</si>
  <si>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</si>
  <si>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</si>
  <si>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</si>
  <si>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</si>
  <si>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</si>
  <si>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</si>
  <si>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</si>
  <si>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</si>
  <si>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</si>
  <si>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</si>
  <si>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</si>
  <si>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</si>
  <si>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</si>
  <si>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</si>
  <si>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</si>
  <si>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</si>
  <si>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</si>
  <si>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</si>
  <si>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</si>
  <si>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</si>
  <si>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</si>
  <si>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</si>
  <si>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</si>
  <si>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</si>
  <si>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</si>
  <si>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</si>
  <si>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</si>
  <si>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</si>
  <si>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</si>
  <si>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</si>
  <si>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</si>
  <si>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</si>
  <si>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</si>
  <si>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</si>
  <si>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</si>
  <si>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</si>
  <si>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</si>
  <si>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</si>
  <si>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</si>
  <si>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</si>
  <si>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</si>
  <si>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</si>
  <si>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</si>
  <si>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</si>
  <si>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</si>
  <si>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</si>
  <si>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</si>
  <si>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</si>
  <si>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</si>
  <si>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</si>
  <si>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</si>
  <si>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</si>
  <si>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</si>
  <si>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</si>
  <si>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</si>
  <si>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</si>
  <si>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</si>
  <si>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</si>
  <si>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</si>
  <si>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</si>
  <si>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</si>
  <si>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</si>
  <si>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</si>
  <si>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</si>
  <si>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</si>
  <si>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</si>
  <si>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</si>
  <si>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</si>
  <si>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</si>
  <si>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</si>
  <si>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</si>
  <si>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</si>
  <si>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</si>
  <si>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</si>
  <si>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</si>
  <si>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</si>
  <si>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</si>
  <si>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</si>
  <si>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</si>
  <si>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</si>
  <si>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</si>
  <si>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</si>
  <si>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</si>
  <si>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</si>
  <si>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</si>
  <si>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</si>
  <si>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</si>
  <si>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</si>
  <si>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</si>
  <si>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</si>
  <si>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</si>
  <si>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</si>
  <si>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</si>
  <si>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</si>
  <si>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</si>
  <si>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</si>
  <si>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</si>
  <si>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</si>
  <si>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</si>
  <si>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</si>
  <si>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</si>
  <si>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</si>
  <si>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</si>
  <si>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</si>
  <si>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</si>
  <si>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</si>
  <si>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</si>
  <si>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</si>
  <si>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</si>
  <si>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</si>
  <si>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</si>
  <si>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</si>
  <si>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</si>
  <si>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</si>
  <si>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</si>
  <si>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</si>
  <si>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</si>
  <si>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</si>
  <si>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</si>
  <si>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</si>
  <si>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</si>
  <si>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</si>
  <si>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</si>
  <si>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</si>
  <si>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</si>
  <si>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</si>
  <si>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</si>
  <si>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</si>
  <si>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</si>
  <si>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</si>
  <si>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</si>
  <si>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</si>
  <si>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</si>
  <si>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</si>
  <si>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</si>
  <si>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</si>
  <si>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</si>
  <si>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</si>
  <si>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</si>
  <si>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</si>
  <si>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</si>
  <si>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</si>
  <si>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</si>
  <si>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</si>
  <si>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</si>
  <si>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</si>
  <si>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</si>
  <si>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</si>
  <si>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</si>
  <si>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</si>
  <si>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</si>
  <si>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</si>
  <si>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</si>
  <si>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</si>
  <si>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</si>
  <si>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</si>
  <si>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</si>
  <si>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</si>
  <si>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</si>
  <si>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</si>
  <si>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</si>
  <si>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</si>
  <si>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</si>
  <si>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</si>
  <si>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</si>
  <si>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</si>
  <si>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</si>
  <si>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</si>
  <si>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</si>
  <si>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</si>
  <si>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</si>
  <si>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</si>
  <si>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</si>
  <si>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</si>
  <si>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</si>
  <si>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</si>
  <si>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</si>
  <si>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</si>
  <si>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</si>
  <si>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</si>
  <si>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</si>
  <si>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</si>
  <si>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</si>
  <si>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</si>
  <si>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</si>
  <si>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</si>
  <si>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</si>
  <si>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</si>
  <si>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</si>
  <si>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</si>
  <si>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</si>
  <si>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</si>
  <si>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</si>
  <si>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</si>
  <si>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</si>
  <si>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</si>
  <si>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</si>
  <si>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</si>
  <si>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</si>
  <si>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</si>
  <si>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</si>
  <si>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</si>
  <si>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</si>
  <si>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</si>
  <si>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</si>
  <si>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</si>
  <si>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</si>
  <si>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</si>
  <si>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NISSIN FOODS</t>
  </si>
  <si>
    <t>1475.HK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</si>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</sst>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zoomScale="103" workbookViewId="0">
      <selection activeCell="D20" sqref="D20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8" t="str">
        <f>C3&amp;" : "&amp;C4</f>
        <v>1475.HK : NISSIN FOODS</v>
      </c>
      <c r="D2" s="331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2" t="s">
        <v>397</v>
      </c>
      <c r="D3" s="333"/>
      <c r="E3" s="16"/>
      <c r="G3" s="7" t="s">
        <v>2</v>
      </c>
      <c r="H3" s="337" t="s">
        <v>398</v>
      </c>
      <c r="I3" s="338"/>
    </row>
    <row r="4" spans="1:11" ht="15.75" customHeight="1" x14ac:dyDescent="0.15">
      <c r="B4" s="5" t="s">
        <v>3</v>
      </c>
      <c r="C4" s="334" t="s">
        <v>396</v>
      </c>
      <c r="D4" s="335"/>
      <c r="E4" s="6"/>
      <c r="G4" s="5" t="s">
        <v>4</v>
      </c>
      <c r="H4" s="47">
        <v>6.54</v>
      </c>
      <c r="I4" s="48" t="s">
        <v>5</v>
      </c>
    </row>
    <row r="5" spans="1:11" ht="15.75" customHeight="1" x14ac:dyDescent="0.15">
      <c r="B5" s="5" t="s">
        <v>6</v>
      </c>
      <c r="C5" s="336">
        <v>44789</v>
      </c>
      <c r="D5" s="335"/>
      <c r="E5" s="268" t="str">
        <f ca="1">IF(C5+30&gt;=TODAY(),"Patience Premium","")</f>
        <v/>
      </c>
      <c r="G5" s="5" t="s">
        <v>7</v>
      </c>
      <c r="H5" s="339">
        <v>1043691480</v>
      </c>
      <c r="I5" s="340"/>
    </row>
    <row r="6" spans="1:11" ht="15.75" customHeight="1" x14ac:dyDescent="0.15">
      <c r="B6" s="13" t="s">
        <v>8</v>
      </c>
      <c r="C6" s="345">
        <v>45015</v>
      </c>
      <c r="D6" s="325"/>
      <c r="E6" s="268"/>
      <c r="G6" s="8" t="s">
        <v>9</v>
      </c>
      <c r="H6" s="346">
        <f>H4*H5/1000000</f>
        <v>6825.7422791999998</v>
      </c>
      <c r="I6" s="347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22.466328131366822</v>
      </c>
      <c r="I9" s="72">
        <f>IF(H9="NNI","NNI",1/H9)</f>
        <v>4.4511056464266167E-2</v>
      </c>
    </row>
    <row r="10" spans="1:11" ht="15.75" customHeight="1" x14ac:dyDescent="0.15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1.2802150612407437</v>
      </c>
      <c r="I10" s="349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1.729375738977537</v>
      </c>
      <c r="I11" s="43">
        <f>IF('Asset Model'!D53/'FCF Model'!C16&lt;0,"Negative EV",'Asset Model'!D53/'FCF Model'!C16)</f>
        <v>12.865622813793028</v>
      </c>
    </row>
    <row r="12" spans="1:11" ht="15.75" customHeight="1" x14ac:dyDescent="0.15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15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15">
      <c r="A16" s="6"/>
      <c r="B16" s="20" t="s">
        <v>24</v>
      </c>
      <c r="C16" s="320">
        <f>'FCF Model'!C63</f>
        <v>6.2948294474021402</v>
      </c>
      <c r="D16" s="311"/>
      <c r="E16" s="320">
        <f>'Asset Model'!D6</f>
        <v>2.1248563440819148</v>
      </c>
      <c r="F16" s="311"/>
      <c r="G16" s="36" t="s">
        <v>25</v>
      </c>
      <c r="H16" s="341">
        <f>C22/E16-1</f>
        <v>1.3060382475489845</v>
      </c>
      <c r="I16" s="342"/>
      <c r="J16" s="6"/>
      <c r="K16" s="6"/>
    </row>
    <row r="17" spans="1:12" ht="15.75" customHeight="1" x14ac:dyDescent="0.15">
      <c r="B17" s="21" t="s">
        <v>26</v>
      </c>
      <c r="C17" s="33">
        <f>'FCF Model'!E63</f>
        <v>21.624113745615745</v>
      </c>
      <c r="D17" s="33">
        <f>'FCF Model'!F63</f>
        <v>1.6645451570854186</v>
      </c>
      <c r="E17" s="33">
        <f>'Asset Model'!H5</f>
        <v>7.299345544061282</v>
      </c>
      <c r="F17" s="33">
        <f>'Asset Model'!H6</f>
        <v>0.56187691288497998</v>
      </c>
      <c r="G17" s="10" t="s">
        <v>27</v>
      </c>
      <c r="H17" s="343">
        <f ca="1">AVERAGE((1-'Qualitative Analysis'!E29),(1-'Qualitative Analysis'!E63),H16)+IF(C5+30&gt;=TODAY(),20%,0)</f>
        <v>0.49090163807188375</v>
      </c>
      <c r="I17" s="344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28</v>
      </c>
      <c r="C19" s="284">
        <v>0.14560000000000001</v>
      </c>
      <c r="D19" s="284"/>
      <c r="E19" s="6"/>
      <c r="F19" s="6"/>
      <c r="G19" s="24" t="s">
        <v>28</v>
      </c>
      <c r="H19" s="330">
        <v>3</v>
      </c>
      <c r="I19" s="330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21">
        <v>4.9000000000000004</v>
      </c>
      <c r="D22" s="322"/>
      <c r="E22" s="278" t="s">
        <v>32</v>
      </c>
      <c r="F22" s="270">
        <f>IF(Data!F3&lt;=0,"NNI",C22/((Data!F3*H13)/(H5/Data!C4)))</f>
        <v>16.832570006681568</v>
      </c>
      <c r="G22" s="44" t="s">
        <v>33</v>
      </c>
      <c r="H22" s="303">
        <f>'FCF Model'!G63</f>
        <v>4.9815184991756523E-2</v>
      </c>
      <c r="I22" s="303"/>
      <c r="J22" s="6"/>
      <c r="L22" s="6"/>
    </row>
    <row r="23" spans="1:12" ht="15.75" customHeight="1" x14ac:dyDescent="0.15">
      <c r="B23" s="36" t="s">
        <v>34</v>
      </c>
      <c r="C23" s="300">
        <f>'FCF Model'!K60</f>
        <v>0.23967782254346326</v>
      </c>
      <c r="D23" s="301"/>
      <c r="E23" s="279" t="s">
        <v>35</v>
      </c>
      <c r="F23" s="33">
        <f>C22/(Data!C25*H13*Data!C4/Common_Shares)</f>
        <v>1.2957096515275126</v>
      </c>
      <c r="G23" s="44" t="s">
        <v>36</v>
      </c>
      <c r="H23" s="304">
        <f ca="1">D10+D12*(1+H17)</f>
        <v>9.7090573713234762E-2</v>
      </c>
      <c r="I23" s="304"/>
      <c r="J23" s="6"/>
      <c r="L23" s="6"/>
    </row>
    <row r="24" spans="1:12" ht="15.75" customHeight="1" x14ac:dyDescent="0.15">
      <c r="B24" s="10" t="s">
        <v>37</v>
      </c>
      <c r="C24" s="298">
        <f ca="1">C23-H23</f>
        <v>0.1425872488302285</v>
      </c>
      <c r="D24" s="299"/>
      <c r="E24" s="6"/>
      <c r="F24" s="6"/>
      <c r="G24" s="269" t="s">
        <v>38</v>
      </c>
      <c r="H24" s="289">
        <f ca="1">H22-H23</f>
        <v>-4.727538872147824E-2</v>
      </c>
      <c r="I24" s="289"/>
      <c r="J24" s="6"/>
      <c r="L24" s="6"/>
    </row>
    <row r="25" spans="1:12" ht="15.75" customHeight="1" x14ac:dyDescent="0.15">
      <c r="B25" s="10" t="s">
        <v>39</v>
      </c>
      <c r="C25" s="285">
        <f>C19/C22</f>
        <v>2.9714285714285714E-2</v>
      </c>
      <c r="D25" s="286"/>
      <c r="E25" s="6"/>
      <c r="F25" s="6"/>
      <c r="G25" s="269" t="s">
        <v>40</v>
      </c>
      <c r="H25" s="287">
        <f>C19/H4</f>
        <v>2.2262996941896027E-2</v>
      </c>
      <c r="I25" s="288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15">
      <c r="A29" s="6"/>
      <c r="B29" s="27" t="s">
        <v>43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15">
      <c r="A30" s="6"/>
      <c r="B30" s="28" t="s">
        <v>44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7"/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15">
      <c r="B34" s="26" t="s">
        <v>49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15">
      <c r="B35" s="26" t="s">
        <v>50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15">
      <c r="B36" s="26" t="s">
        <v>51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15">
      <c r="B37" s="26" t="s">
        <v>52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15">
      <c r="B38" s="2" t="s">
        <v>53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15">
      <c r="B39" s="1" t="s">
        <v>54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55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353426.25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0.17548870351199564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59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60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61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62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63</v>
      </c>
      <c r="C11" s="51">
        <v>756084</v>
      </c>
      <c r="D11" s="51">
        <v>664065</v>
      </c>
      <c r="E11" s="51">
        <v>672083</v>
      </c>
      <c r="F11" s="51">
        <v>643276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64</v>
      </c>
      <c r="C12" s="15">
        <f t="shared" ref="C12:M12" si="2">IF(C7="","",C10-C13)</f>
        <v>0.19555573947937774</v>
      </c>
      <c r="D12" s="15">
        <f t="shared" si="2"/>
        <v>0.18871664496921861</v>
      </c>
      <c r="E12" s="15">
        <f t="shared" si="2"/>
        <v>0.21765889485037965</v>
      </c>
      <c r="F12" s="15">
        <f t="shared" si="2"/>
        <v>0.21450913490203508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65</v>
      </c>
      <c r="C13" s="15">
        <f t="shared" ref="C13:M13" si="3">IF(C14="","",C14/C7)</f>
        <v>0.12188157518683715</v>
      </c>
      <c r="D13" s="15">
        <f t="shared" si="3"/>
        <v>0.14056081438039222</v>
      </c>
      <c r="E13" s="15">
        <f t="shared" si="3"/>
        <v>0.11054767161272123</v>
      </c>
      <c r="F13" s="15">
        <f t="shared" si="3"/>
        <v>9.6745461893779833E-2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66</v>
      </c>
      <c r="C14" s="34">
        <f t="shared" ref="C14:M14" si="4">IF(C7="","",C7-C9-C11)</f>
        <v>471235</v>
      </c>
      <c r="D14" s="34">
        <f t="shared" si="4"/>
        <v>494612</v>
      </c>
      <c r="E14" s="34">
        <f t="shared" si="4"/>
        <v>341347</v>
      </c>
      <c r="F14" s="34">
        <f t="shared" si="4"/>
        <v>290123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67</v>
      </c>
      <c r="C15" s="15">
        <f>IF(D14="","",IF(ABS(C14+D14)=ABS(C14)+ABS(D14),IF(C14&lt;0,-1,1)*(C14-D14)/D14,"Turn"))</f>
        <v>-4.726330942233508E-2</v>
      </c>
      <c r="D15" s="15">
        <f t="shared" ref="D15:M15" si="5">IF(E14="","",IF(ABS(D14+E14)=ABS(D14)+ABS(E14),IF(D14&lt;0,-1,1)*(D14-E14)/E14,"Turn"))</f>
        <v>0.44900057712532992</v>
      </c>
      <c r="E15" s="15">
        <f t="shared" si="5"/>
        <v>0.17655959713638697</v>
      </c>
      <c r="F15" s="15">
        <f t="shared" si="5"/>
        <v>0.27437527178806898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68</v>
      </c>
      <c r="C16" s="34">
        <f>IF(C14="","",C14*(1-'FCF Model'!$D$17))</f>
        <v>353426.25</v>
      </c>
      <c r="D16" s="34">
        <f>IF(D14="","",D14*(1-'FCF Model'!$D$17))</f>
        <v>370959</v>
      </c>
      <c r="E16" s="34">
        <f>IF(E14="","",E14*(1-'FCF Model'!$D$17))</f>
        <v>256010.25</v>
      </c>
      <c r="F16" s="34">
        <f>IF(F14="","",F14*(1-'FCF Model'!$D$17))</f>
        <v>217592.25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69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70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71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72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73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74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75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77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78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79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80</v>
      </c>
      <c r="C28" s="68">
        <f>'Asset Model'!C23+'Asset Model'!C24+'Asset Model'!C27</f>
        <v>1835208</v>
      </c>
      <c r="D28" s="51">
        <v>1704401</v>
      </c>
      <c r="E28" s="51">
        <v>1517342</v>
      </c>
      <c r="F28" s="51">
        <v>1400067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81</v>
      </c>
      <c r="C29" s="15">
        <f t="shared" ref="C29:M29" si="8">IF(D7="","",(C28-D28)/C28)</f>
        <v>7.127638937929652E-2</v>
      </c>
      <c r="D29" s="15">
        <f t="shared" si="8"/>
        <v>0.10975058099590414</v>
      </c>
      <c r="E29" s="15">
        <f t="shared" si="8"/>
        <v>7.7289760647237082E-2</v>
      </c>
      <c r="F29" s="15">
        <f t="shared" si="8"/>
        <v>7.4768564647263308E-2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82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83</v>
      </c>
      <c r="C31" s="34">
        <f t="shared" ref="C31:M31" si="10">IF(D7="","",C28-D28+C30)</f>
        <v>153636.96160000001</v>
      </c>
      <c r="D31" s="34">
        <f t="shared" si="10"/>
        <v>215380.0362</v>
      </c>
      <c r="E31" s="34">
        <f t="shared" si="10"/>
        <v>123119.2121</v>
      </c>
      <c r="F31" s="34">
        <f t="shared" si="10"/>
        <v>125067.57859999999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84</v>
      </c>
      <c r="C32" s="15">
        <f t="shared" ref="C32:M32" si="11">IF(C31="","",C31/C16)</f>
        <v>0.43470727372400891</v>
      </c>
      <c r="D32" s="15">
        <f t="shared" si="11"/>
        <v>0.58060334484403942</v>
      </c>
      <c r="E32" s="15">
        <f t="shared" si="11"/>
        <v>0.48091516687320141</v>
      </c>
      <c r="F32" s="15">
        <f t="shared" si="11"/>
        <v>0.5747795640699519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87</v>
      </c>
      <c r="C35" s="72">
        <f>IF(C16="","",(C16*$C$4)/(Dashboard!$H$6*1000000))</f>
        <v>5.1778434570697383E-2</v>
      </c>
      <c r="D35" s="72">
        <f>IF(D16="","",(D16*$C$4)/(Dashboard!$H$6*1000000))</f>
        <v>5.4347056309233761E-2</v>
      </c>
      <c r="E35" s="72">
        <f>IF(E16="","",(E16*$C$4)/(Dashboard!$H$6*1000000))</f>
        <v>3.7506580167864949E-2</v>
      </c>
      <c r="F35" s="72">
        <f>IF(F16="","",(F16*$C$4)/(Dashboard!$H$6*1000000))</f>
        <v>3.1878181317080513E-2</v>
      </c>
      <c r="G35" s="72">
        <f>IF(G16="","",(G16*$C$4)/(Dashboard!$H$6*1000000))</f>
        <v>2.5014751951638554E-2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88</v>
      </c>
      <c r="C36" s="73">
        <f>IF(C18="","",(C18*$C$4)/(Dashboard!$H$6*1000000))</f>
        <v>4.451105646426616E-2</v>
      </c>
      <c r="D36" s="73">
        <f>IF(D18="","",(D18*$C$4)/(Dashboard!$H$6*1000000))</f>
        <v>4.4231379921860325E-2</v>
      </c>
      <c r="E36" s="73">
        <f>IF(E18="","",(E18*$C$4)/(Dashboard!$H$6*1000000))</f>
        <v>3.6767283283571886E-2</v>
      </c>
      <c r="F36" s="73">
        <f>IF(F18="","",(F18*$C$4)/(Dashboard!$H$6*1000000))</f>
        <v>3.0098997529698586E-2</v>
      </c>
      <c r="G36" s="73">
        <f>IF(G18="","",(G18*$C$4)/(Dashboard!$H$6*1000000))</f>
        <v>2.8621502542709128E-2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90</v>
      </c>
      <c r="C38" s="72">
        <f t="shared" ref="C38:M38" si="13">IF(C7="","",C16/C7)</f>
        <v>9.1411181390127855E-2</v>
      </c>
      <c r="D38" s="72">
        <f t="shared" si="13"/>
        <v>0.10542061078529416</v>
      </c>
      <c r="E38" s="72">
        <f t="shared" si="13"/>
        <v>8.291075370954093E-2</v>
      </c>
      <c r="F38" s="72">
        <f t="shared" si="13"/>
        <v>7.2559096420334881E-2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91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92</v>
      </c>
      <c r="C40" s="73">
        <f t="shared" ref="C40:L40" si="15">IF(D33="","",C16/D33)</f>
        <v>0.14410209939615348</v>
      </c>
      <c r="D40" s="73">
        <f t="shared" si="15"/>
        <v>0.1679422939016175</v>
      </c>
      <c r="E40" s="73">
        <f t="shared" si="15"/>
        <v>0.11581732087261239</v>
      </c>
      <c r="F40" s="73">
        <f t="shared" si="15"/>
        <v>0.11713527830040132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96</v>
      </c>
      <c r="C44" s="77">
        <f t="shared" ref="C44:M44" si="18">IF(C33="","",IF(C24&lt;=0,"-",C14/C24))</f>
        <v>0.52798729877021267</v>
      </c>
      <c r="D44" s="77">
        <f t="shared" si="18"/>
        <v>29.663667986086121</v>
      </c>
      <c r="E44" s="77">
        <f t="shared" si="18"/>
        <v>190.59017308766053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97</v>
      </c>
      <c r="C45" s="77">
        <f t="shared" ref="C45:M45" si="19">IF(C31="","",IF(C17&lt;=0,"-",C17/C16))</f>
        <v>1.0327472846173706E-3</v>
      </c>
      <c r="D45" s="77">
        <f t="shared" si="19"/>
        <v>3.127030210885839E-4</v>
      </c>
      <c r="E45" s="77">
        <f t="shared" si="19"/>
        <v>2.4998999063514059E-4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9"/>
      <c r="D48" s="79"/>
      <c r="E48" s="79"/>
      <c r="F48" s="79"/>
    </row>
    <row r="49" spans="1:6" ht="15.75" customHeight="1" x14ac:dyDescent="0.15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15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15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15">
      <c r="A69" s="9"/>
      <c r="B69" s="93" t="s">
        <v>114</v>
      </c>
      <c r="C69" s="99">
        <f>C14</f>
        <v>471235</v>
      </c>
      <c r="D69" s="99">
        <f>C69+C54-F66</f>
        <v>471235</v>
      </c>
      <c r="E69" s="80" t="s">
        <v>115</v>
      </c>
      <c r="F69" s="94" t="s">
        <v>116</v>
      </c>
    </row>
    <row r="70" spans="1:6" ht="15.75" customHeight="1" x14ac:dyDescent="0.15">
      <c r="A70" s="9"/>
      <c r="B70" s="93" t="s">
        <v>117</v>
      </c>
      <c r="C70" s="100">
        <f t="shared" ref="C70:D70" si="25">C69/$C$7</f>
        <v>0.12188157518683715</v>
      </c>
      <c r="D70" s="100">
        <f t="shared" si="25"/>
        <v>0.12188157518683715</v>
      </c>
      <c r="E70" s="80" t="s">
        <v>118</v>
      </c>
      <c r="F70" s="94" t="s">
        <v>119</v>
      </c>
    </row>
    <row r="71" spans="1:6" ht="15.75" customHeight="1" x14ac:dyDescent="0.15">
      <c r="A71" s="9"/>
      <c r="B71" s="93" t="s">
        <v>120</v>
      </c>
      <c r="C71" s="99">
        <f>C31</f>
        <v>153636.96160000001</v>
      </c>
      <c r="D71" s="99">
        <f>C71+E65-F66</f>
        <v>153636.96160000001</v>
      </c>
      <c r="E71" s="80" t="s">
        <v>121</v>
      </c>
      <c r="F71" s="94" t="s">
        <v>122</v>
      </c>
    </row>
    <row r="72" spans="1:6" ht="15.75" customHeight="1" x14ac:dyDescent="0.15">
      <c r="A72" s="9"/>
      <c r="B72" s="93" t="s">
        <v>123</v>
      </c>
      <c r="C72" s="99">
        <f>C16</f>
        <v>353426.25</v>
      </c>
      <c r="D72" s="99">
        <f>C72+C55</f>
        <v>353426.25</v>
      </c>
      <c r="E72" s="80" t="s">
        <v>124</v>
      </c>
      <c r="F72" s="94" t="s">
        <v>125</v>
      </c>
    </row>
    <row r="73" spans="1:6" ht="15.75" customHeight="1" x14ac:dyDescent="0.15">
      <c r="A73" s="9"/>
      <c r="B73" s="93" t="s">
        <v>126</v>
      </c>
      <c r="C73" s="99">
        <f>F3</f>
        <v>303821</v>
      </c>
      <c r="D73" s="99">
        <f>C73+C54-F66</f>
        <v>303821</v>
      </c>
      <c r="E73" s="80" t="s">
        <v>127</v>
      </c>
      <c r="F73" s="94" t="s">
        <v>125</v>
      </c>
    </row>
    <row r="74" spans="1:6" ht="15.75" customHeight="1" x14ac:dyDescent="0.15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2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7" t="s">
        <v>133</v>
      </c>
      <c r="C5" s="6"/>
      <c r="D5" s="108">
        <f>E39-H39-E43</f>
        <v>2217694.4625422428</v>
      </c>
      <c r="E5" s="15">
        <f>1-D5/D3</f>
        <v>0.43812308711502002</v>
      </c>
      <c r="F5" s="6"/>
      <c r="G5" s="109" t="s">
        <v>134</v>
      </c>
      <c r="H5" s="30">
        <f>IF(Data!F3&lt;=0,"NNI",D6/((Data!F3*Dashboard!H13)/(Dashboard!H5/Data!C4)))</f>
        <v>7.299345544061282</v>
      </c>
      <c r="I5" s="6"/>
    </row>
    <row r="6" spans="1:9" ht="15" customHeight="1" x14ac:dyDescent="0.15">
      <c r="B6" s="80" t="s">
        <v>135</v>
      </c>
      <c r="D6" s="110">
        <f>(D5*Dashboard!H13*Data!C4)/Dashboard!H5</f>
        <v>2.1248563440819148</v>
      </c>
      <c r="E6" s="111"/>
      <c r="G6" s="109" t="s">
        <v>136</v>
      </c>
      <c r="H6" s="30">
        <f>D6/(Data!C25*Dashboard!H13*Data!C4/Common_Shares)</f>
        <v>0.56187691288497998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15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15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15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15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15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15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15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15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15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15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15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15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15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15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15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15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9"/>
    </row>
    <row r="42" spans="2:9" ht="14" x14ac:dyDescent="0.15">
      <c r="B42" s="121" t="s">
        <v>189</v>
      </c>
      <c r="C42" s="5"/>
      <c r="D42" s="359"/>
      <c r="E42" s="359"/>
    </row>
    <row r="43" spans="2:9" ht="14" x14ac:dyDescent="0.15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239774.48745775755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9"/>
      <c r="E45" s="359"/>
      <c r="F45" s="80"/>
    </row>
    <row r="46" spans="2:9" ht="14" x14ac:dyDescent="0.15">
      <c r="B46" s="107" t="s">
        <v>192</v>
      </c>
      <c r="C46" s="6"/>
      <c r="D46" s="360">
        <v>0</v>
      </c>
      <c r="E46" s="297"/>
      <c r="F46" s="5"/>
    </row>
    <row r="47" spans="2:9" ht="14" x14ac:dyDescent="0.15">
      <c r="B47" s="107" t="s">
        <v>193</v>
      </c>
      <c r="C47" s="6"/>
      <c r="D47" s="360">
        <v>0</v>
      </c>
      <c r="E47" s="297"/>
      <c r="F47" s="6" t="s">
        <v>194</v>
      </c>
    </row>
    <row r="48" spans="2:9" ht="12.75" customHeight="1" x14ac:dyDescent="0.15">
      <c r="B48" s="80" t="s">
        <v>195</v>
      </c>
      <c r="C48" s="6"/>
      <c r="D48" s="291">
        <f>Data!C24+D46+D47</f>
        <v>892512</v>
      </c>
      <c r="E48" s="357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15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15">
      <c r="B52" s="80" t="s">
        <v>143</v>
      </c>
      <c r="C52" s="6"/>
      <c r="D52" s="291">
        <f>C10+C32</f>
        <v>1659687</v>
      </c>
      <c r="E52" s="357"/>
      <c r="F52" s="6"/>
    </row>
    <row r="53" spans="2:7" ht="14" x14ac:dyDescent="0.15">
      <c r="B53" s="80" t="s">
        <v>200</v>
      </c>
      <c r="C53" s="6"/>
      <c r="D53" s="291">
        <f>((Dashboard!H6*1000)+D48+E43-(C12+C25+C28+C29)-D52)</f>
        <v>6062731.7666577576</v>
      </c>
      <c r="E53" s="35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abSelected="1" topLeftCell="A34" zoomScale="125" workbookViewId="0">
      <selection activeCell="C52" sqref="C52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67</v>
      </c>
      <c r="C4" s="127">
        <f>Data!J4</f>
        <v>0.17548870351199564</v>
      </c>
      <c r="D4" s="128">
        <f>IF(E7="",D16/C16-1,(G16/C16)^(1/4)-1)</f>
        <v>-9.0108926128153355E-2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15">
      <c r="B7" s="5" t="s">
        <v>207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15">
      <c r="B8" s="5" t="s">
        <v>208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209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210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211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64</v>
      </c>
      <c r="C12" s="62">
        <f>Data!C12</f>
        <v>0.19555573947937774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212</v>
      </c>
      <c r="C13" s="141">
        <f>Data!C11</f>
        <v>756084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213</v>
      </c>
      <c r="C14" s="19">
        <f>Data!C13</f>
        <v>0.12188157518683715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214</v>
      </c>
      <c r="C15" s="15">
        <f>Data!C15</f>
        <v>-4.726330942233508E-2</v>
      </c>
      <c r="D15" s="139">
        <f>IF(ABS(C16+D16)=ABS(C16)+ABS(D16),IF(D16&lt;0,-1,1)*(D16-C16)/C16,"Turn")</f>
        <v>-9.0108926128153369E-2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15">
      <c r="B16" s="5" t="s">
        <v>66</v>
      </c>
      <c r="C16" s="34">
        <f>IF(Data!D50="No",Data!C69,Data!D69)</f>
        <v>471235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123</v>
      </c>
      <c r="C18" s="149">
        <f>IF(Data!D50="No",Data!C72,Data!D72)</f>
        <v>353426.25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15">
      <c r="B20" s="18" t="s">
        <v>84</v>
      </c>
      <c r="C20" s="15">
        <f t="shared" ref="C20" si="1">C21/C18</f>
        <v>0.43470727372400891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2">
      <c r="B21" s="153" t="s">
        <v>120</v>
      </c>
      <c r="C21" s="154">
        <f>IF(Data!D50="No",Data!C71,Data!D71)</f>
        <v>153636.96160000001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224</v>
      </c>
      <c r="C27" s="134" t="s">
        <v>225</v>
      </c>
      <c r="G27" s="6"/>
    </row>
    <row r="28" spans="2:13" ht="15.75" customHeight="1" x14ac:dyDescent="0.15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231</v>
      </c>
      <c r="C32" s="163">
        <f>'Asset Model'!D51</f>
        <v>168341.3</v>
      </c>
    </row>
    <row r="33" spans="2:13" ht="15.75" customHeight="1" x14ac:dyDescent="0.15">
      <c r="B33" s="107" t="s">
        <v>232</v>
      </c>
      <c r="C33" s="163">
        <f>Data!C27</f>
        <v>1659687</v>
      </c>
    </row>
    <row r="34" spans="2:13" ht="15.75" customHeight="1" x14ac:dyDescent="0.15">
      <c r="B34" s="80" t="s">
        <v>233</v>
      </c>
      <c r="C34" s="163">
        <f>'Asset Model'!D48</f>
        <v>892512</v>
      </c>
    </row>
    <row r="35" spans="2:13" ht="15.75" customHeight="1" thickBot="1" x14ac:dyDescent="0.2">
      <c r="B35" s="165" t="s">
        <v>234</v>
      </c>
      <c r="C35" s="163">
        <f>'Asset Model'!E43</f>
        <v>239774.48745775755</v>
      </c>
    </row>
    <row r="36" spans="2:13" ht="15.75" customHeight="1" thickTop="1" x14ac:dyDescent="0.15">
      <c r="B36" s="5" t="s">
        <v>235</v>
      </c>
      <c r="C36" s="166">
        <f>C30+C31+(C32+C33-C34-C35)</f>
        <v>4444511.3539654743</v>
      </c>
      <c r="D36" s="167" t="str">
        <f>Dashboard!H12</f>
        <v>HKD</v>
      </c>
      <c r="E36" s="6"/>
    </row>
    <row r="37" spans="2:13" ht="15.75" customHeight="1" x14ac:dyDescent="0.15">
      <c r="B37" s="5" t="s">
        <v>236</v>
      </c>
      <c r="C37" s="168">
        <f>C36*Data!C4/Common_Shares*Exchange_Rate</f>
        <v>4.2584532298428597</v>
      </c>
      <c r="D37" s="76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9"/>
      <c r="D39" s="26"/>
      <c r="E39" s="170"/>
      <c r="F39" s="171"/>
    </row>
    <row r="40" spans="2:13" ht="15.75" customHeight="1" x14ac:dyDescent="0.15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2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235</v>
      </c>
      <c r="C44" s="166">
        <f>C43+C42+(C32+C33-C34-C35)</f>
        <v>4462531.5994704617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14.688028804692438</v>
      </c>
      <c r="G44" s="6"/>
      <c r="H44" s="176"/>
      <c r="I44" s="6"/>
    </row>
    <row r="45" spans="2:13" ht="15.75" customHeight="1" x14ac:dyDescent="0.15">
      <c r="B45" s="5" t="s">
        <v>236</v>
      </c>
      <c r="C45" s="168">
        <f>C44*Data!C4/Common_Shares*Exchange_Rate</f>
        <v>4.2757191037627917</v>
      </c>
      <c r="D45" s="76" t="str">
        <f>Dashboard!I4</f>
        <v>HKD</v>
      </c>
      <c r="E45" s="170" t="s">
        <v>136</v>
      </c>
      <c r="F45" s="30">
        <f>C45/(Data!C25*Exchange_Rate*Data!C4/Common_Shares)</f>
        <v>1.1306307163195948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4.2757191037627917</v>
      </c>
      <c r="G49" s="187">
        <f>IF(Data!F$3&lt;=0,"NNI",F49/((Data!F$3*Exchange_Rate)/(Common_Shares/Data!C$4)))</f>
        <v>14.688028804692438</v>
      </c>
      <c r="I49" s="134" t="s">
        <v>244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4.6397835450526994</v>
      </c>
      <c r="G50" s="188">
        <f>IF(Data!F$3&lt;=0,"NNI",F50/((Data!F$3*Exchange_Rate)/(Common_Shares/Data!C$4)))</f>
        <v>15.938669660805864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5.4147578918810932</v>
      </c>
      <c r="G51" s="188">
        <f>IF(Data!F$3&lt;=0,"NNI",F51/((Data!F$3*Exchange_Rate)/(Common_Shares/Data!C$4)))</f>
        <v>18.600875772310204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6.44205472437236</v>
      </c>
      <c r="G52" s="188">
        <f>IF(Data!F$3&lt;=0,"NNI",F52/((Data!F$3*Exchange_Rate)/(Common_Shares/Data!C$4)))</f>
        <v>22.129864721402338</v>
      </c>
      <c r="I52" s="134" t="s">
        <v>245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7.2036538717800971</v>
      </c>
      <c r="G53" s="188">
        <f>IF(Data!F$3&lt;=0,"NNI",F53/((Data!F$3*Exchange_Rate)/(Common_Shares/Data!C$4)))</f>
        <v>24.74612410217167</v>
      </c>
      <c r="I53" s="134"/>
    </row>
    <row r="54" spans="1:12" ht="15.75" customHeight="1" x14ac:dyDescent="0.15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7.4274769812154116</v>
      </c>
      <c r="G54" s="190">
        <f>IF(Data!F$3&lt;=0,"NNI",F54/((Data!F$3*Exchange_Rate)/(Common_Shares/Data!C$4)))</f>
        <v>25.515005359045769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247</v>
      </c>
      <c r="C57" s="195">
        <f>C37</f>
        <v>4.2584532298428597</v>
      </c>
      <c r="D57" s="26" t="str">
        <f>IF(C57&lt;E57,"&lt;",IF(C57=E57,"=","&gt;"))</f>
        <v>&lt;</v>
      </c>
      <c r="E57" s="196">
        <f>F54</f>
        <v>7.4274769812154116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4.9815184991756523E-2</v>
      </c>
    </row>
    <row r="59" spans="1:12" ht="15.75" hidden="1" customHeight="1" x14ac:dyDescent="0.15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-5.8733836427003867</v>
      </c>
      <c r="K59" s="276">
        <f t="dataTable" ref="K59:K60" dt2D="0" dtr="0" r1="C60" ca="1"/>
        <v>4.9815184991756523E-2</v>
      </c>
    </row>
    <row r="60" spans="1:12" ht="15.75" hidden="1" customHeight="1" x14ac:dyDescent="0.15">
      <c r="B60" s="6"/>
      <c r="C60" s="186">
        <f>J59</f>
        <v>-5.8733836427003867</v>
      </c>
      <c r="D60" s="186">
        <f>D22/(Dashboard!H5/Data!C4)</f>
        <v>0.17245370694653439</v>
      </c>
      <c r="E60" s="186">
        <f>IF(E7="",I60,E22)/(Dashboard!H5/Data!C4)</f>
        <v>6.2920816185962911</v>
      </c>
      <c r="F60" s="264" t="str">
        <f>IF(E7="","",IF(F15="",I60,F22)/(Dashboard!H5/Data!C4))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6566991.9767935583</v>
      </c>
      <c r="J60" s="277">
        <f>-Dashboard!C22+(C32+C33-C34-C35)/(Dashboard!H5/Data!C4)</f>
        <v>-4.233383642700387</v>
      </c>
      <c r="K60" s="276">
        <v>0.23967782254346326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15">
      <c r="B63" s="6" t="s">
        <v>256</v>
      </c>
      <c r="C63" s="197">
        <f>MIN(C57,E57)+(ABS(C57-E57)*'Qualitative Analysis'!E56)</f>
        <v>6.2948294474021402</v>
      </c>
      <c r="D63" s="262" t="str">
        <f>D45</f>
        <v>HKD</v>
      </c>
      <c r="E63" s="263">
        <f>IF(Data!F3&lt;=0,"NNI",C63/((Data!F3*Exchange_Rate)/(Common_Shares/Data!C4)))</f>
        <v>21.624113745615745</v>
      </c>
      <c r="F63" s="263">
        <f>C63/(Data!C25*Exchange_Rate*Data!C4/Common_Shares)</f>
        <v>1.6645451570854186</v>
      </c>
      <c r="G63" s="273">
        <f>IRR(C60:G60)</f>
        <v>4.9815184991756523E-2</v>
      </c>
      <c r="H63" s="6"/>
      <c r="I63" s="134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9"/>
      <c r="D2" s="8"/>
      <c r="E2" s="8"/>
    </row>
    <row r="3" spans="1:6" ht="15" customHeight="1" x14ac:dyDescent="0.15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15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15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15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15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15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15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15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15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15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15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15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15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15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15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15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15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3"/>
      <c r="D24" s="13"/>
      <c r="E24" s="13"/>
    </row>
    <row r="25" spans="1:6" ht="14" x14ac:dyDescent="0.15">
      <c r="B25" s="204" t="s">
        <v>296</v>
      </c>
      <c r="C25" s="205"/>
      <c r="D25" s="6"/>
      <c r="E25" s="6"/>
    </row>
    <row r="26" spans="1:6" ht="14" x14ac:dyDescent="0.15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15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15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15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303</v>
      </c>
      <c r="C31" s="201"/>
    </row>
    <row r="32" spans="1:6" ht="14" x14ac:dyDescent="0.15">
      <c r="B32" s="201" t="s">
        <v>304</v>
      </c>
      <c r="C32" s="201"/>
      <c r="E32" s="6"/>
    </row>
    <row r="33" spans="2:6" ht="14" x14ac:dyDescent="0.15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15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15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15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15">
      <c r="B38" s="201" t="s">
        <v>312</v>
      </c>
      <c r="D38" s="54"/>
      <c r="E38" s="26"/>
    </row>
    <row r="39" spans="2:6" ht="14" x14ac:dyDescent="0.15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15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15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15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15">
      <c r="B44" s="201" t="s">
        <v>318</v>
      </c>
      <c r="D44" s="54"/>
      <c r="E44" s="26"/>
    </row>
    <row r="45" spans="2:6" ht="14" x14ac:dyDescent="0.15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15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15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15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15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15">
      <c r="B50" s="201" t="s">
        <v>324</v>
      </c>
      <c r="D50" s="54"/>
      <c r="E50" s="26"/>
    </row>
    <row r="51" spans="2:6" ht="14" x14ac:dyDescent="0.15">
      <c r="B51" s="80" t="s">
        <v>325</v>
      </c>
      <c r="D51" s="44"/>
      <c r="E51" s="75" t="str">
        <f>E67</f>
        <v>Medium</v>
      </c>
      <c r="F51" s="6"/>
    </row>
    <row r="52" spans="2:6" ht="14" x14ac:dyDescent="0.15">
      <c r="B52" s="80" t="s">
        <v>326</v>
      </c>
      <c r="D52" s="44"/>
      <c r="E52" s="75" t="str">
        <f>E77</f>
        <v>Very Low</v>
      </c>
      <c r="F52" s="6"/>
    </row>
    <row r="53" spans="2:6" ht="14" x14ac:dyDescent="0.15">
      <c r="B53" s="80" t="s">
        <v>327</v>
      </c>
      <c r="D53" s="44"/>
      <c r="E53" s="75" t="str">
        <f>E85</f>
        <v>Medium</v>
      </c>
      <c r="F53" s="6"/>
    </row>
    <row r="54" spans="2:6" ht="14" x14ac:dyDescent="0.15">
      <c r="B54" s="80" t="s">
        <v>328</v>
      </c>
      <c r="D54" s="44"/>
      <c r="E54" s="75" t="str">
        <f>E95</f>
        <v>Very High</v>
      </c>
      <c r="F54" s="6"/>
    </row>
    <row r="55" spans="2:6" ht="14" x14ac:dyDescent="0.15">
      <c r="B55" s="80" t="s">
        <v>329</v>
      </c>
      <c r="D55" s="44"/>
      <c r="E55" s="75" t="str">
        <f>E102</f>
        <v>Very High</v>
      </c>
      <c r="F55" s="6"/>
    </row>
    <row r="56" spans="2:6" ht="14" x14ac:dyDescent="0.15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331</v>
      </c>
      <c r="C58" s="80"/>
      <c r="D58" s="54"/>
      <c r="E58" s="26"/>
    </row>
    <row r="59" spans="2:6" ht="14" x14ac:dyDescent="0.15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15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15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15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15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15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15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15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15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15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15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15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15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15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15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15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15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15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15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15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15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15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15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15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15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15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15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15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15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15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15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15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15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2022-12-07T15:52:30Z</dcterms:modified>
  <cp:category/>
  <cp:contentStatus/>
</cp:coreProperties>
</file>