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Asset Model" sheetId="3" state="visible" r:id="rId3"/>
    <sheet xmlns:r="http://schemas.openxmlformats.org/officeDocument/2006/relationships" name="FCF Model" sheetId="4" state="visible" r:id="rId4"/>
    <sheet xmlns:r="http://schemas.openxmlformats.org/officeDocument/2006/relationships" name="Qualitative Analysis" sheetId="5" state="visible" r:id="rId5"/>
  </sheets>
  <definedNames>
    <definedName name="Common_Shares">Dashboard!$H$5</definedName>
    <definedName name="Exchange_Rate">Dashboard!$H$13</definedName>
  </definedNames>
  <calcPr calcId="191028" fullCalcOnLoad="1"/>
</workbook>
</file>

<file path=xl/styles.xml><?xml version="1.0" encoding="utf-8"?>
<styleSheet xmlns="http://schemas.openxmlformats.org/spreadsheetml/2006/main">
  <numFmts count="17">
    <numFmt numFmtId="164" formatCode="0.00\x"/>
    <numFmt numFmtId="165" formatCode="#,##0.00&quot;x&quot;"/>
    <numFmt numFmtId="166" formatCode="&quot;$&quot;#,##0.00_);[Red]\(&quot;$&quot;#,##0.00\)"/>
    <numFmt numFmtId="167" formatCode="&quot;$&quot;#,##0_);[Red]\(&quot;$&quot;#,##0\)"/>
    <numFmt numFmtId="168" formatCode="&quot;Past &quot;0&quot; yrs Avg. NI&quot;"/>
    <numFmt numFmtId="169" formatCode="&quot;Past &quot;0&quot; yrs Avg. NOPAT&quot;"/>
    <numFmt numFmtId="170" formatCode="&quot;Past Actual &quot;0&quot;Y&quot;"/>
    <numFmt numFmtId="171" formatCode="0.00&quot;x&quot;"/>
    <numFmt numFmtId="172" formatCode="#,##0;[Red]\(#,##0\);\-"/>
    <numFmt numFmtId="173" formatCode="[$$]#,##0&quot;m&quot;"/>
    <numFmt numFmtId="174" formatCode="&quot;Last Allocation &quot;0%"/>
    <numFmt numFmtId="175" formatCode="yyyy\-mm\-dd"/>
    <numFmt numFmtId="176" formatCode="&quot;Increased Allocation &quot;0%"/>
    <numFmt numFmtId="177" formatCode="&quot;Base Allocation &quot;0%"/>
    <numFmt numFmtId="178" formatCode="#,##0&quot;mm&quot;"/>
    <numFmt numFmtId="179" formatCode="&quot;Total &quot;0%"/>
    <numFmt numFmtId="180" formatCode="0\ &quot;Years&quot;"/>
  </numFmts>
  <fonts count="28">
    <font>
      <name val="Arial"/>
      <color rgb="FF000000"/>
      <sz val="10"/>
      <scheme val="minor"/>
    </font>
    <font>
      <name val="Times New Roman"/>
      <family val="1"/>
      <color theme="1"/>
      <sz val="11"/>
    </font>
    <font>
      <name val="Times New Roman"/>
      <family val="1"/>
      <color rgb="FF0000FF"/>
      <sz val="11"/>
    </font>
    <font>
      <name val="Times New Roman"/>
      <family val="1"/>
      <b val="1"/>
      <color theme="1"/>
      <sz val="11"/>
    </font>
    <font>
      <name val="Times New Roman"/>
      <family val="1"/>
      <b val="1"/>
      <color rgb="FF0000FF"/>
      <sz val="11"/>
    </font>
    <font>
      <name val="Times New Roman"/>
      <family val="1"/>
      <color rgb="FF000000"/>
      <sz val="11"/>
    </font>
    <font>
      <name val="Times New Roman"/>
      <family val="1"/>
      <b val="1"/>
      <color rgb="FF002060"/>
      <sz val="11"/>
    </font>
    <font>
      <name val="Times New Roman"/>
      <family val="1"/>
      <sz val="11"/>
    </font>
    <font>
      <name val="Times New Roman"/>
      <family val="1"/>
      <i val="1"/>
      <color theme="1"/>
      <sz val="11"/>
    </font>
    <font>
      <name val="Times New Roman"/>
      <family val="1"/>
      <color rgb="FFA61C00"/>
      <sz val="11"/>
    </font>
    <font>
      <name val="Times New Roman"/>
      <family val="1"/>
      <color rgb="FFFFFFFF"/>
      <sz val="11"/>
    </font>
    <font>
      <name val="Times New Roman"/>
      <family val="1"/>
      <i val="1"/>
      <color rgb="FF0000FF"/>
      <sz val="11"/>
    </font>
    <font>
      <name val="Times New Roman"/>
      <family val="1"/>
      <i val="1"/>
      <color rgb="FF000000"/>
      <sz val="11"/>
    </font>
    <font>
      <name val="Times New Roman"/>
      <family val="1"/>
      <color rgb="FFC00000"/>
      <sz val="11"/>
    </font>
    <font>
      <name val="Times New Roman"/>
      <family val="1"/>
      <b val="1"/>
      <color rgb="FF002060"/>
      <sz val="12"/>
    </font>
    <font>
      <name val="Times New Roman"/>
      <family val="1"/>
      <i val="1"/>
      <sz val="11"/>
    </font>
    <font>
      <name val="Times New Roman"/>
      <family val="1"/>
      <b val="1"/>
      <color rgb="FF000000"/>
      <sz val="11"/>
    </font>
    <font>
      <name val="Times New Roman"/>
      <family val="1"/>
      <b val="1"/>
      <color rgb="FF000000"/>
      <sz val="11"/>
      <u val="single"/>
    </font>
    <font>
      <name val="Times New Roman"/>
      <family val="1"/>
      <b val="1"/>
      <color rgb="FFFFFFFF"/>
      <sz val="11"/>
    </font>
    <font>
      <name val="Times New Roman"/>
      <family val="1"/>
      <color theme="0"/>
      <sz val="11"/>
    </font>
    <font>
      <name val="Times New Roman"/>
      <family val="1"/>
      <color rgb="FF002060"/>
      <sz val="11"/>
    </font>
    <font>
      <name val="Times New Roman"/>
      <family val="1"/>
      <i val="1"/>
      <color theme="1"/>
      <sz val="11"/>
      <u val="single"/>
    </font>
    <font>
      <name val="Times New Roman"/>
      <family val="1"/>
      <color rgb="FF0000FF"/>
      <sz val="11"/>
      <u val="single"/>
    </font>
    <font>
      <name val="Times New Roman"/>
      <family val="1"/>
      <color theme="1"/>
      <sz val="11"/>
      <u val="single"/>
    </font>
    <font>
      <name val="Times New Roman"/>
      <family val="1"/>
      <b val="1"/>
      <i val="1"/>
      <color rgb="FF000000"/>
      <sz val="11"/>
      <u val="single"/>
    </font>
    <font>
      <name val="Times New Roman"/>
      <family val="1"/>
      <b val="1"/>
      <i val="1"/>
      <color rgb="FF000000"/>
      <sz val="11"/>
    </font>
    <font>
      <name val="Times New Roman"/>
      <family val="1"/>
      <b val="1"/>
      <i val="1"/>
      <color theme="1"/>
      <sz val="11"/>
      <u val="single"/>
    </font>
    <font>
      <name val="Times New Roman"/>
      <family val="1"/>
      <b val="1"/>
      <color theme="0"/>
      <sz val="11"/>
    </font>
  </fonts>
  <fills count="20">
    <fill>
      <patternFill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2" tint="-0.1499984740745262"/>
        <bgColor rgb="FFB7B7B7"/>
      </patternFill>
    </fill>
    <fill>
      <patternFill patternType="solid">
        <fgColor theme="2" tint="-0.1499984740745262"/>
        <bgColor rgb="FFB6D7A8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</borders>
  <cellStyleXfs count="1">
    <xf numFmtId="0" fontId="0" fillId="0" borderId="9"/>
  </cellStyleXfs>
  <cellXfs count="4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5" fillId="0" borderId="0" pivotButton="0" quotePrefix="0" xfId="0"/>
    <xf numFmtId="0" fontId="5" fillId="10" borderId="0" pivotButton="0" quotePrefix="0" xfId="0"/>
    <xf numFmtId="0" fontId="1" fillId="0" borderId="9" pivotButton="0" quotePrefix="0" xfId="0"/>
    <xf numFmtId="0" fontId="5" fillId="0" borderId="9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5" borderId="9" pivotButton="0" quotePrefix="0" xfId="0"/>
    <xf numFmtId="0" fontId="10" fillId="0" borderId="9" applyAlignment="1" pivotButton="0" quotePrefix="0" xfId="0">
      <alignment horizontal="left"/>
    </xf>
    <xf numFmtId="0" fontId="8" fillId="0" borderId="2" applyAlignment="1" pivotButton="0" quotePrefix="0" xfId="0">
      <alignment horizontal="center"/>
    </xf>
    <xf numFmtId="0" fontId="5" fillId="10" borderId="9" pivotButton="0" quotePrefix="0" xfId="0"/>
    <xf numFmtId="0" fontId="14" fillId="0" borderId="2" pivotButton="0" quotePrefix="0" xfId="0"/>
    <xf numFmtId="0" fontId="5" fillId="0" borderId="2" pivotButton="0" quotePrefix="0" xfId="0"/>
    <xf numFmtId="0" fontId="9" fillId="0" borderId="9" pivotButton="0" quotePrefix="0" xfId="0"/>
    <xf numFmtId="10" fontId="1" fillId="0" borderId="13" applyAlignment="1" pivotButton="0" quotePrefix="0" xfId="0">
      <alignment horizontal="center"/>
    </xf>
    <xf numFmtId="0" fontId="5" fillId="0" borderId="14" pivotButton="0" quotePrefix="0" xfId="0"/>
    <xf numFmtId="0" fontId="1" fillId="0" borderId="15" pivotButton="0" quotePrefix="0" xfId="0"/>
    <xf numFmtId="0" fontId="8" fillId="0" borderId="9" applyAlignment="1" pivotButton="0" quotePrefix="0" xfId="0">
      <alignment horizontal="right"/>
    </xf>
    <xf numFmtId="10" fontId="1" fillId="0" borderId="17" applyAlignment="1" pivotButton="0" quotePrefix="0" xfId="0">
      <alignment horizontal="center"/>
    </xf>
    <xf numFmtId="0" fontId="1" fillId="0" borderId="9" applyAlignment="1" pivotButton="0" quotePrefix="0" xfId="0">
      <alignment horizontal="left"/>
    </xf>
    <xf numFmtId="0" fontId="8" fillId="0" borderId="2" applyAlignment="1" pivotButton="0" quotePrefix="0" xfId="0">
      <alignment horizontal="right"/>
    </xf>
    <xf numFmtId="0" fontId="6" fillId="0" borderId="2" pivotButton="0" quotePrefix="0" xfId="0"/>
    <xf numFmtId="10" fontId="1" fillId="0" borderId="19" applyAlignment="1" pivotButton="0" quotePrefix="0" xfId="0">
      <alignment horizontal="center"/>
    </xf>
    <xf numFmtId="0" fontId="16" fillId="11" borderId="9" pivotButton="0" quotePrefix="0" xfId="0"/>
    <xf numFmtId="0" fontId="1" fillId="0" borderId="2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7" fillId="11" borderId="9" pivotButton="0" quotePrefix="0" xfId="0"/>
    <xf numFmtId="0" fontId="7" fillId="0" borderId="2" pivotButton="0" quotePrefix="0" xfId="0"/>
    <xf numFmtId="164" fontId="1" fillId="0" borderId="13" applyAlignment="1" pivotButton="0" quotePrefix="0" xfId="0">
      <alignment horizontal="center"/>
    </xf>
    <xf numFmtId="0" fontId="15" fillId="0" borderId="9" applyAlignment="1" pivotButton="0" quotePrefix="0" xfId="0">
      <alignment horizontal="right"/>
    </xf>
    <xf numFmtId="0" fontId="3" fillId="0" borderId="2" applyAlignment="1" pivotButton="0" quotePrefix="0" xfId="0">
      <alignment horizontal="center"/>
    </xf>
    <xf numFmtId="165" fontId="8" fillId="0" borderId="20" applyAlignment="1" pivotButton="0" quotePrefix="0" xfId="0">
      <alignment horizontal="center"/>
    </xf>
    <xf numFmtId="3" fontId="1" fillId="0" borderId="13" applyAlignment="1" pivotButton="0" quotePrefix="0" xfId="0">
      <alignment horizontal="center"/>
    </xf>
    <xf numFmtId="166" fontId="3" fillId="0" borderId="9" applyAlignment="1" pivotButton="0" quotePrefix="0" xfId="0">
      <alignment horizontal="center"/>
    </xf>
    <xf numFmtId="0" fontId="8" fillId="0" borderId="9" applyAlignment="1" pivotButton="0" quotePrefix="0" xfId="0">
      <alignment horizontal="center"/>
    </xf>
    <xf numFmtId="10" fontId="1" fillId="4" borderId="13" applyAlignment="1" pivotButton="0" quotePrefix="0" xfId="0">
      <alignment horizontal="center"/>
    </xf>
    <xf numFmtId="0" fontId="16" fillId="11" borderId="2" applyAlignment="1" pivotButton="0" quotePrefix="0" xfId="0">
      <alignment horizontal="center"/>
    </xf>
    <xf numFmtId="0" fontId="12" fillId="0" borderId="2" applyAlignment="1" pivotButton="0" quotePrefix="0" xfId="0">
      <alignment horizontal="right"/>
    </xf>
    <xf numFmtId="10" fontId="1" fillId="4" borderId="20" applyAlignment="1" pivotButton="0" quotePrefix="0" xfId="0">
      <alignment horizontal="center"/>
    </xf>
    <xf numFmtId="0" fontId="1" fillId="0" borderId="19" applyAlignment="1" pivotButton="0" quotePrefix="0" xfId="0">
      <alignment horizontal="center"/>
    </xf>
    <xf numFmtId="165" fontId="1" fillId="0" borderId="20" applyAlignment="1" pivotButton="0" quotePrefix="0" xfId="0">
      <alignment horizontal="center"/>
    </xf>
    <xf numFmtId="164" fontId="1" fillId="0" borderId="2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2" fillId="13" borderId="13" applyAlignment="1" pivotButton="0" quotePrefix="0" xfId="0">
      <alignment horizontal="center"/>
    </xf>
    <xf numFmtId="0" fontId="2" fillId="13" borderId="17" applyAlignment="1" pivotButton="0" quotePrefix="0" xfId="0">
      <alignment horizontal="center"/>
    </xf>
    <xf numFmtId="4" fontId="2" fillId="13" borderId="21" applyAlignment="1" pivotButton="0" quotePrefix="0" xfId="0">
      <alignment horizontal="right"/>
    </xf>
    <xf numFmtId="0" fontId="2" fillId="13" borderId="22" applyAlignment="1" pivotButton="0" quotePrefix="0" xfId="0">
      <alignment horizontal="left"/>
    </xf>
    <xf numFmtId="10" fontId="2" fillId="13" borderId="18" applyAlignment="1" pivotButton="0" quotePrefix="0" xfId="0">
      <alignment horizontal="center"/>
    </xf>
    <xf numFmtId="167" fontId="2" fillId="13" borderId="2" applyAlignment="1" pivotButton="0" quotePrefix="0" xfId="0">
      <alignment horizontal="center"/>
    </xf>
    <xf numFmtId="3" fontId="2" fillId="13" borderId="13" applyAlignment="1" pivotButton="0" quotePrefix="0" xfId="0">
      <alignment horizontal="center"/>
    </xf>
    <xf numFmtId="0" fontId="3" fillId="5" borderId="9" pivotButton="0" quotePrefix="0" xfId="0"/>
    <xf numFmtId="0" fontId="18" fillId="0" borderId="0" pivotButton="0" quotePrefix="0" xfId="0"/>
    <xf numFmtId="0" fontId="10" fillId="0" borderId="0" pivotButton="0" quotePrefix="0" xfId="0"/>
    <xf numFmtId="0" fontId="3" fillId="10" borderId="9" pivotButton="0" quotePrefix="0" xfId="0"/>
    <xf numFmtId="0" fontId="10" fillId="0" borderId="2" pivotButton="0" quotePrefix="0" xfId="0"/>
    <xf numFmtId="168" fontId="2" fillId="13" borderId="9" applyAlignment="1" pivotButton="0" quotePrefix="0" xfId="0">
      <alignment horizontal="left"/>
    </xf>
    <xf numFmtId="3" fontId="1" fillId="8" borderId="17" applyAlignment="1" pivotButton="0" quotePrefix="0" xfId="0">
      <alignment horizontal="center"/>
    </xf>
    <xf numFmtId="10" fontId="5" fillId="0" borderId="17" applyAlignment="1" pivotButton="0" quotePrefix="0" xfId="0">
      <alignment horizontal="center"/>
    </xf>
    <xf numFmtId="169" fontId="7" fillId="0" borderId="9" applyAlignment="1" pivotButton="0" quotePrefix="0" xfId="0">
      <alignment horizontal="left"/>
    </xf>
    <xf numFmtId="3" fontId="1" fillId="8" borderId="13" applyAlignment="1" pivotButton="0" quotePrefix="0" xfId="0">
      <alignment horizontal="center"/>
    </xf>
    <xf numFmtId="10" fontId="5" fillId="0" borderId="13" applyAlignment="1" pivotButton="0" quotePrefix="0" xfId="0">
      <alignment horizontal="center"/>
    </xf>
    <xf numFmtId="0" fontId="1" fillId="0" borderId="9" applyAlignment="1" pivotButton="0" quotePrefix="0" xfId="0">
      <alignment wrapText="1"/>
    </xf>
    <xf numFmtId="0" fontId="19" fillId="7" borderId="5" applyAlignment="1" pivotButton="0" quotePrefix="0" xfId="0">
      <alignment horizontal="center"/>
    </xf>
    <xf numFmtId="0" fontId="19" fillId="7" borderId="25" applyAlignment="1" pivotButton="0" quotePrefix="0" xfId="0">
      <alignment horizontal="center"/>
    </xf>
    <xf numFmtId="0" fontId="20" fillId="0" borderId="32" applyAlignment="1" pivotButton="0" quotePrefix="0" xfId="0">
      <alignment horizontal="center" wrapText="1"/>
    </xf>
    <xf numFmtId="0" fontId="20" fillId="0" borderId="33" applyAlignment="1" pivotButton="0" quotePrefix="0" xfId="0">
      <alignment horizontal="center" wrapText="1"/>
    </xf>
    <xf numFmtId="3" fontId="1" fillId="4" borderId="13" applyAlignment="1" pivotButton="0" quotePrefix="0" xfId="0">
      <alignment horizontal="center"/>
    </xf>
    <xf numFmtId="0" fontId="20" fillId="0" borderId="34" applyAlignment="1" pivotButton="0" quotePrefix="0" xfId="0">
      <alignment horizontal="center" wrapText="1"/>
    </xf>
    <xf numFmtId="3" fontId="1" fillId="0" borderId="2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0" fontId="1" fillId="0" borderId="27" applyAlignment="1" pivotButton="0" quotePrefix="0" xfId="0">
      <alignment horizontal="center"/>
    </xf>
    <xf numFmtId="10" fontId="1" fillId="0" borderId="20" applyAlignment="1" pivotButton="0" quotePrefix="0" xfId="0">
      <alignment horizontal="center"/>
    </xf>
    <xf numFmtId="4" fontId="1" fillId="0" borderId="13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20" applyAlignment="1" pivotButton="0" quotePrefix="0" xfId="0">
      <alignment horizontal="center"/>
    </xf>
    <xf numFmtId="165" fontId="1" fillId="0" borderId="13" applyAlignment="1" pivotButton="0" quotePrefix="0" xfId="0">
      <alignment horizontal="center"/>
    </xf>
    <xf numFmtId="4" fontId="1" fillId="0" borderId="20" applyAlignment="1" pivotButton="0" quotePrefix="0" xfId="0">
      <alignment horizontal="center"/>
    </xf>
    <xf numFmtId="0" fontId="10" fillId="0" borderId="9" pivotButton="0" quotePrefix="0" xfId="0"/>
    <xf numFmtId="0" fontId="1" fillId="0" borderId="0" pivotButton="0" quotePrefix="0" xfId="0"/>
    <xf numFmtId="0" fontId="1" fillId="0" borderId="6" pivotButton="0" quotePrefix="0" xfId="0"/>
    <xf numFmtId="0" fontId="5" fillId="0" borderId="1" pivotButton="0" quotePrefix="0" xfId="0"/>
    <xf numFmtId="0" fontId="1" fillId="0" borderId="5" pivotButton="0" quotePrefix="0" xfId="0"/>
    <xf numFmtId="2" fontId="19" fillId="2" borderId="4" applyAlignment="1" pivotButton="0" quotePrefix="0" xfId="0">
      <alignment horizontal="center"/>
    </xf>
    <xf numFmtId="2" fontId="19" fillId="2" borderId="9" applyAlignment="1" pivotButton="0" quotePrefix="0" xfId="0">
      <alignment horizontal="center"/>
    </xf>
    <xf numFmtId="2" fontId="19" fillId="2" borderId="3" pivotButton="0" quotePrefix="0" xfId="0"/>
    <xf numFmtId="2" fontId="1" fillId="4" borderId="4" applyAlignment="1" pivotButton="0" quotePrefix="0" xfId="0">
      <alignment horizontal="center"/>
    </xf>
    <xf numFmtId="1" fontId="2" fillId="3" borderId="9" applyAlignment="1" pivotButton="0" quotePrefix="0" xfId="0">
      <alignment horizontal="center"/>
    </xf>
    <xf numFmtId="2" fontId="1" fillId="4" borderId="9" applyAlignment="1" pivotButton="0" quotePrefix="0" xfId="0">
      <alignment horizontal="center"/>
    </xf>
    <xf numFmtId="1" fontId="1" fillId="4" borderId="9" applyAlignment="1" pivotButton="0" quotePrefix="0" xfId="0">
      <alignment horizontal="center"/>
    </xf>
    <xf numFmtId="1" fontId="1" fillId="4" borderId="3" applyAlignment="1" pivotButton="0" quotePrefix="0" xfId="0">
      <alignment horizontal="right"/>
    </xf>
    <xf numFmtId="1" fontId="1" fillId="4" borderId="4" applyAlignment="1" pivotButton="0" quotePrefix="0" xfId="0">
      <alignment horizontal="center"/>
    </xf>
    <xf numFmtId="0" fontId="1" fillId="0" borderId="4" pivotButton="0" quotePrefix="0" xfId="0"/>
    <xf numFmtId="0" fontId="1" fillId="0" borderId="3" pivotButton="0" quotePrefix="0" xfId="0"/>
    <xf numFmtId="0" fontId="19" fillId="2" borderId="4" pivotButton="0" quotePrefix="0" xfId="0"/>
    <xf numFmtId="0" fontId="19" fillId="2" borderId="9" applyAlignment="1" pivotButton="0" quotePrefix="0" xfId="0">
      <alignment horizontal="center"/>
    </xf>
    <xf numFmtId="0" fontId="21" fillId="0" borderId="0" pivotButton="0" quotePrefix="0" xfId="0"/>
    <xf numFmtId="0" fontId="21" fillId="0" borderId="3" pivotButton="0" quotePrefix="0" xfId="0"/>
    <xf numFmtId="3" fontId="1" fillId="4" borderId="9" applyAlignment="1" pivotButton="0" quotePrefix="0" xfId="0">
      <alignment horizontal="center"/>
    </xf>
    <xf numFmtId="10" fontId="1" fillId="4" borderId="9" applyAlignment="1" pivotButton="0" quotePrefix="0" xfId="0">
      <alignment horizontal="center"/>
    </xf>
    <xf numFmtId="0" fontId="1" fillId="0" borderId="7" pivotButton="0" quotePrefix="0" xfId="0"/>
    <xf numFmtId="3" fontId="1" fillId="4" borderId="2" applyAlignment="1" pivotButton="0" quotePrefix="0" xfId="0">
      <alignment horizontal="center"/>
    </xf>
    <xf numFmtId="0" fontId="1" fillId="0" borderId="8" pivotButton="0" quotePrefix="0" xfId="0"/>
    <xf numFmtId="3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3" fontId="1" fillId="0" borderId="17" pivotButton="0" quotePrefix="0" xfId="0"/>
    <xf numFmtId="0" fontId="1" fillId="0" borderId="0" pivotButton="0" quotePrefix="1" xfId="0"/>
    <xf numFmtId="3" fontId="1" fillId="0" borderId="16" pivotButton="0" quotePrefix="0" xfId="0"/>
    <xf numFmtId="0" fontId="16" fillId="0" borderId="9" applyAlignment="1" pivotButton="0" quotePrefix="0" xfId="0">
      <alignment horizontal="center"/>
    </xf>
    <xf numFmtId="4" fontId="1" fillId="4" borderId="31" pivotButton="0" quotePrefix="0" xfId="0"/>
    <xf numFmtId="10" fontId="2" fillId="0" borderId="9" applyAlignment="1" pivotButton="0" quotePrefix="0" xfId="0">
      <alignment horizontal="center"/>
    </xf>
    <xf numFmtId="0" fontId="1" fillId="9" borderId="9" pivotButton="0" quotePrefix="0" xfId="0"/>
    <xf numFmtId="3" fontId="2" fillId="12" borderId="13" pivotButton="0" quotePrefix="0" xfId="0"/>
    <xf numFmtId="10" fontId="2" fillId="12" borderId="13" applyAlignment="1" pivotButton="0" quotePrefix="0" xfId="0">
      <alignment horizontal="center"/>
    </xf>
    <xf numFmtId="0" fontId="8" fillId="0" borderId="9" pivotButton="0" quotePrefix="0" xfId="0"/>
    <xf numFmtId="3" fontId="8" fillId="0" borderId="13" pivotButton="0" quotePrefix="0" xfId="0"/>
    <xf numFmtId="10" fontId="8" fillId="0" borderId="13" applyAlignment="1" pivotButton="0" quotePrefix="0" xfId="0">
      <alignment horizontal="center"/>
    </xf>
    <xf numFmtId="3" fontId="8" fillId="0" borderId="13" applyAlignment="1" pivotButton="0" quotePrefix="0" xfId="0">
      <alignment horizontal="center"/>
    </xf>
    <xf numFmtId="164" fontId="8" fillId="4" borderId="13" applyAlignment="1" pivotButton="0" quotePrefix="0" xfId="0">
      <alignment horizontal="right"/>
    </xf>
    <xf numFmtId="3" fontId="1" fillId="0" borderId="13" pivotButton="0" quotePrefix="0" xfId="0"/>
    <xf numFmtId="0" fontId="5" fillId="0" borderId="9" applyAlignment="1" pivotButton="0" quotePrefix="0" xfId="0">
      <alignment horizontal="left"/>
    </xf>
    <xf numFmtId="3" fontId="2" fillId="12" borderId="13" applyAlignment="1" pivotButton="0" quotePrefix="0" xfId="0">
      <alignment horizontal="center"/>
    </xf>
    <xf numFmtId="0" fontId="21" fillId="0" borderId="9" applyAlignment="1" pivotButton="0" quotePrefix="0" xfId="0">
      <alignment horizontal="center" vertical="center"/>
    </xf>
    <xf numFmtId="170" fontId="22" fillId="12" borderId="9" applyAlignment="1" pivotButton="0" quotePrefix="0" xfId="0">
      <alignment horizontal="center"/>
    </xf>
    <xf numFmtId="0" fontId="2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 vertical="center"/>
    </xf>
    <xf numFmtId="10" fontId="1" fillId="0" borderId="20" applyAlignment="1" pivotButton="0" quotePrefix="0" xfId="0">
      <alignment horizontal="center" vertical="center"/>
    </xf>
    <xf numFmtId="10" fontId="5" fillId="0" borderId="20" applyAlignment="1" pivotButton="0" quotePrefix="0" xfId="0">
      <alignment horizontal="center" vertical="center"/>
    </xf>
    <xf numFmtId="10" fontId="2" fillId="0" borderId="9" applyAlignment="1" pivotButton="0" quotePrefix="0" xfId="0">
      <alignment horizontal="left"/>
    </xf>
    <xf numFmtId="0" fontId="18" fillId="0" borderId="9" applyAlignment="1" pivotButton="0" quotePrefix="0" xfId="0">
      <alignment vertical="center"/>
    </xf>
    <xf numFmtId="0" fontId="17" fillId="0" borderId="0" pivotButton="0" quotePrefix="0" xfId="0"/>
    <xf numFmtId="10" fontId="1" fillId="4" borderId="17" applyAlignment="1" pivotButton="0" quotePrefix="0" xfId="0">
      <alignment horizontal="center"/>
    </xf>
    <xf numFmtId="10" fontId="2" fillId="12" borderId="17" applyAlignment="1" pivotButton="0" quotePrefix="0" xfId="0">
      <alignment horizontal="center"/>
    </xf>
    <xf numFmtId="0" fontId="2" fillId="0" borderId="0" pivotButton="0" quotePrefix="0" xfId="0"/>
    <xf numFmtId="3" fontId="5" fillId="0" borderId="13" applyAlignment="1" pivotButton="0" quotePrefix="0" xfId="0">
      <alignment horizontal="center"/>
    </xf>
    <xf numFmtId="3" fontId="1" fillId="4" borderId="20" applyAlignment="1" pivotButton="0" quotePrefix="0" xfId="0">
      <alignment horizontal="center"/>
    </xf>
    <xf numFmtId="0" fontId="3" fillId="0" borderId="9" pivotButton="0" quotePrefix="0" xfId="0"/>
    <xf numFmtId="10" fontId="4" fillId="12" borderId="17" applyAlignment="1" pivotButton="0" quotePrefix="0" xfId="0">
      <alignment horizontal="center"/>
    </xf>
    <xf numFmtId="10" fontId="3" fillId="4" borderId="13" applyAlignment="1" pivotButton="0" quotePrefix="0" xfId="0">
      <alignment horizontal="center"/>
    </xf>
    <xf numFmtId="10" fontId="4" fillId="12" borderId="13" applyAlignment="1" pivotButton="0" quotePrefix="0" xfId="0">
      <alignment horizontal="center"/>
    </xf>
    <xf numFmtId="3" fontId="5" fillId="0" borderId="20" applyAlignment="1" pivotButton="0" quotePrefix="0" xfId="0">
      <alignment horizontal="center"/>
    </xf>
    <xf numFmtId="3" fontId="2" fillId="12" borderId="20" applyAlignment="1" pivotButton="0" quotePrefix="0" xfId="0">
      <alignment horizontal="center"/>
    </xf>
    <xf numFmtId="0" fontId="1" fillId="0" borderId="9" applyAlignment="1" pivotButton="0" quotePrefix="0" xfId="0">
      <alignment horizontal="right"/>
    </xf>
    <xf numFmtId="10" fontId="3" fillId="0" borderId="13" applyAlignment="1" pivotButton="0" quotePrefix="0" xfId="0">
      <alignment horizontal="center"/>
    </xf>
    <xf numFmtId="10" fontId="2" fillId="0" borderId="0" applyAlignment="1" pivotButton="0" quotePrefix="0" xfId="0">
      <alignment horizontal="left"/>
    </xf>
    <xf numFmtId="10" fontId="2" fillId="0" borderId="0" applyAlignment="1" pivotButton="0" quotePrefix="0" xfId="0">
      <alignment horizontal="center"/>
    </xf>
    <xf numFmtId="3" fontId="2" fillId="0" borderId="0" applyAlignment="1" pivotButton="0" quotePrefix="0" xfId="0">
      <alignment horizontal="left"/>
    </xf>
    <xf numFmtId="10" fontId="2" fillId="12" borderId="20" applyAlignment="1" pivotButton="0" quotePrefix="0" xfId="0">
      <alignment horizontal="center"/>
    </xf>
    <xf numFmtId="3" fontId="1" fillId="0" borderId="17" applyAlignment="1" pivotButton="0" quotePrefix="0" xfId="0">
      <alignment horizontal="center"/>
    </xf>
    <xf numFmtId="3" fontId="1" fillId="4" borderId="17" applyAlignment="1" pivotButton="0" quotePrefix="0" xfId="0">
      <alignment horizontal="center"/>
    </xf>
    <xf numFmtId="3" fontId="2" fillId="0" borderId="0" applyAlignment="1" pivotButton="0" quotePrefix="0" xfId="0">
      <alignment horizontal="center"/>
    </xf>
    <xf numFmtId="10" fontId="1" fillId="6" borderId="13" applyAlignment="1" pivotButton="0" quotePrefix="0" xfId="0">
      <alignment horizontal="center"/>
    </xf>
    <xf numFmtId="0" fontId="1" fillId="0" borderId="10" applyAlignment="1" pivotButton="0" quotePrefix="0" xfId="0">
      <alignment horizontal="left"/>
    </xf>
    <xf numFmtId="3" fontId="1" fillId="0" borderId="26" applyAlignment="1" pivotButton="0" quotePrefix="0" xfId="0">
      <alignment horizontal="center"/>
    </xf>
    <xf numFmtId="3" fontId="2" fillId="12" borderId="26" applyAlignment="1" pivotButton="0" quotePrefix="0" xfId="0">
      <alignment horizontal="center"/>
    </xf>
    <xf numFmtId="3" fontId="1" fillId="4" borderId="26" applyAlignment="1" pivotButton="0" quotePrefix="0" xfId="0">
      <alignment horizontal="center"/>
    </xf>
    <xf numFmtId="3" fontId="2" fillId="0" borderId="9" applyAlignment="1" pivotButton="0" quotePrefix="0" xfId="0">
      <alignment horizontal="center"/>
    </xf>
    <xf numFmtId="3" fontId="1" fillId="4" borderId="19" applyAlignment="1" pivotButton="0" quotePrefix="0" xfId="0">
      <alignment horizontal="center"/>
    </xf>
    <xf numFmtId="3" fontId="1" fillId="0" borderId="19" applyAlignment="1" pivotButton="0" quotePrefix="0" xfId="0">
      <alignment horizontal="center"/>
    </xf>
    <xf numFmtId="0" fontId="8" fillId="0" borderId="10" applyAlignment="1" pivotButton="0" quotePrefix="0" xfId="0">
      <alignment horizontal="right"/>
    </xf>
    <xf numFmtId="10" fontId="1" fillId="4" borderId="26" applyAlignment="1" pivotButton="0" quotePrefix="0" xfId="0">
      <alignment horizontal="center"/>
    </xf>
    <xf numFmtId="10" fontId="1" fillId="0" borderId="26" applyAlignment="1" pivotButton="0" quotePrefix="0" xfId="0">
      <alignment horizontal="center"/>
    </xf>
    <xf numFmtId="3" fontId="1" fillId="0" borderId="9" applyAlignment="1" pivotButton="0" quotePrefix="0" xfId="0">
      <alignment horizontal="center"/>
    </xf>
    <xf numFmtId="3" fontId="1" fillId="0" borderId="10" applyAlignment="1" pivotButton="0" quotePrefix="0" xfId="0">
      <alignment horizontal="center"/>
    </xf>
    <xf numFmtId="0" fontId="5" fillId="0" borderId="0" pivotButton="0" quotePrefix="1" xfId="0"/>
    <xf numFmtId="3" fontId="1" fillId="0" borderId="23" applyAlignment="1" pivotButton="0" quotePrefix="0" xfId="0">
      <alignment horizontal="center"/>
    </xf>
    <xf numFmtId="0" fontId="1" fillId="0" borderId="24" applyAlignment="1" pivotButton="0" quotePrefix="0" xfId="0">
      <alignment horizontal="center"/>
    </xf>
    <xf numFmtId="2" fontId="1" fillId="0" borderId="20" applyAlignment="1" pivotButton="0" quotePrefix="0" xfId="0">
      <alignment horizontal="center"/>
    </xf>
    <xf numFmtId="2" fontId="1" fillId="0" borderId="9" applyAlignment="1" pivotButton="0" quotePrefix="0" xfId="0">
      <alignment horizontal="center"/>
    </xf>
    <xf numFmtId="0" fontId="16" fillId="0" borderId="9" applyAlignment="1" pivotButton="0" quotePrefix="0" xfId="0">
      <alignment horizontal="right"/>
    </xf>
    <xf numFmtId="164" fontId="1" fillId="0" borderId="9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10" fontId="8" fillId="0" borderId="9" applyAlignment="1" pivotButton="0" quotePrefix="0" xfId="0">
      <alignment horizontal="center"/>
    </xf>
    <xf numFmtId="164" fontId="7" fillId="0" borderId="9" applyAlignment="1" pivotButton="0" quotePrefix="0" xfId="0">
      <alignment horizontal="center"/>
    </xf>
    <xf numFmtId="10" fontId="9" fillId="0" borderId="0" applyAlignment="1" pivotButton="0" quotePrefix="0" xfId="0">
      <alignment horizontal="left" vertical="center"/>
    </xf>
    <xf numFmtId="4" fontId="1" fillId="0" borderId="9" pivotButton="0" quotePrefix="0" xfId="0"/>
    <xf numFmtId="10" fontId="1" fillId="0" borderId="9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0" applyAlignment="1" pivotButton="0" quotePrefix="0" xfId="0">
      <alignment horizontal="left"/>
    </xf>
    <xf numFmtId="3" fontId="7" fillId="0" borderId="11" pivotButton="0" quotePrefix="0" xfId="0"/>
    <xf numFmtId="10" fontId="5" fillId="0" borderId="9" applyAlignment="1" pivotButton="0" quotePrefix="0" xfId="0">
      <alignment horizontal="center"/>
    </xf>
    <xf numFmtId="10" fontId="5" fillId="0" borderId="11" applyAlignment="1" pivotButton="0" quotePrefix="0" xfId="0">
      <alignment horizontal="center"/>
    </xf>
    <xf numFmtId="171" fontId="5" fillId="0" borderId="1" applyAlignment="1" pivotButton="0" quotePrefix="0" xfId="0">
      <alignment horizontal="center"/>
    </xf>
    <xf numFmtId="3" fontId="5" fillId="0" borderId="12" applyAlignment="1" pivotButton="0" quotePrefix="0" xfId="0">
      <alignment horizontal="center"/>
    </xf>
    <xf numFmtId="4" fontId="5" fillId="0" borderId="13" applyAlignment="1" pivotButton="0" quotePrefix="0" xfId="0">
      <alignment horizontal="center"/>
    </xf>
    <xf numFmtId="171" fontId="5" fillId="0" borderId="12" applyAlignment="1" pivotButton="0" quotePrefix="0" xfId="0">
      <alignment horizontal="center"/>
    </xf>
    <xf numFmtId="171" fontId="5" fillId="0" borderId="9" applyAlignment="1" pivotButton="0" quotePrefix="0" xfId="0">
      <alignment horizontal="center"/>
    </xf>
    <xf numFmtId="3" fontId="5" fillId="0" borderId="9" applyAlignment="1" pivotButton="0" quotePrefix="0" xfId="0">
      <alignment horizontal="center"/>
    </xf>
    <xf numFmtId="171" fontId="5" fillId="0" borderId="2" applyAlignment="1" pivotButton="0" quotePrefix="0" xfId="0">
      <alignment horizontal="center"/>
    </xf>
    <xf numFmtId="3" fontId="5" fillId="0" borderId="2" applyAlignment="1" pivotButton="0" quotePrefix="0" xfId="0">
      <alignment horizontal="center"/>
    </xf>
    <xf numFmtId="4" fontId="5" fillId="0" borderId="20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17" fillId="0" borderId="2" applyAlignment="1" pivotButton="0" quotePrefix="0" xfId="0">
      <alignment horizontal="left"/>
    </xf>
    <xf numFmtId="4" fontId="1" fillId="0" borderId="17" applyAlignment="1" pivotButton="0" quotePrefix="0" xfId="0">
      <alignment horizontal="center"/>
    </xf>
    <xf numFmtId="4" fontId="2" fillId="12" borderId="13" applyAlignment="1" pivotButton="0" quotePrefix="0" xfId="0">
      <alignment horizontal="center"/>
    </xf>
    <xf numFmtId="4" fontId="3" fillId="4" borderId="2" applyAlignment="1" pivotButton="0" quotePrefix="0" xfId="0">
      <alignment horizontal="right"/>
    </xf>
    <xf numFmtId="0" fontId="14" fillId="0" borderId="2" applyAlignment="1" pivotButton="0" quotePrefix="0" xfId="0">
      <alignment vertical="center"/>
    </xf>
    <xf numFmtId="0" fontId="20" fillId="0" borderId="2" pivotButton="0" quotePrefix="0" xfId="0"/>
    <xf numFmtId="0" fontId="19" fillId="0" borderId="9" applyAlignment="1" pivotButton="0" quotePrefix="0" xfId="0">
      <alignment horizontal="right"/>
    </xf>
    <xf numFmtId="0" fontId="3" fillId="0" borderId="0" pivotButton="0" quotePrefix="0" xfId="0"/>
    <xf numFmtId="0" fontId="19" fillId="0" borderId="9" pivotButton="0" quotePrefix="0" xfId="0"/>
    <xf numFmtId="0" fontId="18" fillId="0" borderId="2" pivotButton="0" quotePrefix="0" xfId="0"/>
    <xf numFmtId="0" fontId="24" fillId="0" borderId="9" pivotButton="0" quotePrefix="0" xfId="0"/>
    <xf numFmtId="0" fontId="16" fillId="0" borderId="9" pivotButton="0" quotePrefix="0" xfId="0"/>
    <xf numFmtId="0" fontId="25" fillId="0" borderId="0" pivotButton="0" quotePrefix="0" xfId="0"/>
    <xf numFmtId="10" fontId="5" fillId="4" borderId="13" applyAlignment="1" pivotButton="0" quotePrefix="0" xfId="0">
      <alignment horizontal="center"/>
    </xf>
    <xf numFmtId="0" fontId="26" fillId="0" borderId="0" pivotButton="0" quotePrefix="0" xfId="0"/>
    <xf numFmtId="0" fontId="19" fillId="0" borderId="9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0" fontId="7" fillId="0" borderId="13" applyAlignment="1" pivotButton="0" quotePrefix="0" xfId="0">
      <alignment horizontal="center"/>
    </xf>
    <xf numFmtId="10" fontId="10" fillId="0" borderId="9" pivotButton="0" quotePrefix="0" xfId="0"/>
    <xf numFmtId="1" fontId="19" fillId="0" borderId="9" applyAlignment="1" pivotButton="0" quotePrefix="0" xfId="0">
      <alignment horizontal="center"/>
    </xf>
    <xf numFmtId="10" fontId="19" fillId="0" borderId="9" pivotButton="0" quotePrefix="0" xfId="0"/>
    <xf numFmtId="0" fontId="1" fillId="4" borderId="13" applyAlignment="1" pivotButton="0" quotePrefix="0" xfId="0">
      <alignment horizontal="center"/>
    </xf>
    <xf numFmtId="0" fontId="27" fillId="0" borderId="4" pivotButton="0" quotePrefix="0" xfId="0"/>
    <xf numFmtId="0" fontId="19" fillId="0" borderId="0" pivotButton="0" quotePrefix="0" xfId="0"/>
    <xf numFmtId="0" fontId="19" fillId="0" borderId="3" pivotButton="0" quotePrefix="0" xfId="0"/>
    <xf numFmtId="0" fontId="19" fillId="0" borderId="4" pivotButton="0" quotePrefix="0" xfId="0"/>
    <xf numFmtId="10" fontId="19" fillId="0" borderId="3" pivotButton="0" quotePrefix="0" xfId="0"/>
    <xf numFmtId="0" fontId="19" fillId="0" borderId="7" pivotButton="0" quotePrefix="0" xfId="0"/>
    <xf numFmtId="0" fontId="19" fillId="0" borderId="2" pivotButton="0" quotePrefix="0" xfId="0"/>
    <xf numFmtId="10" fontId="19" fillId="0" borderId="8" pivotButton="0" quotePrefix="0" xfId="0"/>
    <xf numFmtId="0" fontId="5" fillId="14" borderId="9" pivotButton="0" quotePrefix="0" xfId="0"/>
    <xf numFmtId="10" fontId="1" fillId="15" borderId="20" applyAlignment="1" pivotButton="0" quotePrefix="0" xfId="0">
      <alignment horizontal="center"/>
    </xf>
    <xf numFmtId="0" fontId="1" fillId="15" borderId="2" applyAlignment="1" pivotButton="0" quotePrefix="0" xfId="0">
      <alignment horizontal="center"/>
    </xf>
    <xf numFmtId="10" fontId="1" fillId="4" borderId="35" applyAlignment="1" pivotButton="0" quotePrefix="0" xfId="0">
      <alignment horizontal="center"/>
    </xf>
    <xf numFmtId="0" fontId="1" fillId="15" borderId="36" applyAlignment="1" pivotButton="0" quotePrefix="0" xfId="0">
      <alignment horizontal="center"/>
    </xf>
    <xf numFmtId="0" fontId="1" fillId="15" borderId="37" applyAlignment="1" pivotButton="0" quotePrefix="0" xfId="0">
      <alignment horizontal="center"/>
    </xf>
    <xf numFmtId="10" fontId="1" fillId="4" borderId="38" applyAlignment="1" pivotButton="0" quotePrefix="0" xfId="0">
      <alignment horizontal="center"/>
    </xf>
    <xf numFmtId="3" fontId="1" fillId="4" borderId="39" applyAlignment="1" pivotButton="0" quotePrefix="0" xfId="0">
      <alignment horizontal="center"/>
    </xf>
    <xf numFmtId="0" fontId="1" fillId="14" borderId="40" applyAlignment="1" pivotButton="0" quotePrefix="0" xfId="0">
      <alignment horizontal="center"/>
    </xf>
    <xf numFmtId="0" fontId="5" fillId="0" borderId="12" pivotButton="0" quotePrefix="0" xfId="0"/>
    <xf numFmtId="172" fontId="1" fillId="4" borderId="13" applyAlignment="1" pivotButton="0" quotePrefix="0" xfId="0">
      <alignment horizontal="center"/>
    </xf>
    <xf numFmtId="172" fontId="1" fillId="4" borderId="20" applyAlignment="1" pivotButton="0" quotePrefix="0" xfId="0">
      <alignment horizontal="center"/>
    </xf>
    <xf numFmtId="10" fontId="2" fillId="14" borderId="9" applyAlignment="1" pivotButton="0" quotePrefix="0" xfId="0">
      <alignment horizontal="center"/>
    </xf>
    <xf numFmtId="172" fontId="1" fillId="16" borderId="9" applyAlignment="1" pivotButton="0" quotePrefix="0" xfId="0">
      <alignment horizontal="center"/>
    </xf>
    <xf numFmtId="0" fontId="2" fillId="0" borderId="9" pivotButton="0" quotePrefix="0" xfId="0"/>
    <xf numFmtId="10" fontId="4" fillId="14" borderId="9" applyAlignment="1" pivotButton="0" quotePrefix="0" xfId="0">
      <alignment horizontal="center"/>
    </xf>
    <xf numFmtId="3" fontId="1" fillId="16" borderId="9" applyAlignment="1" pivotButton="0" quotePrefix="0" xfId="0">
      <alignment horizontal="center"/>
    </xf>
    <xf numFmtId="10" fontId="1" fillId="16" borderId="9" applyAlignment="1" pivotButton="0" quotePrefix="0" xfId="0">
      <alignment horizontal="center"/>
    </xf>
    <xf numFmtId="38" fontId="2" fillId="12" borderId="13" applyAlignment="1" pivotButton="0" quotePrefix="0" xfId="0">
      <alignment horizontal="center"/>
    </xf>
    <xf numFmtId="38" fontId="1" fillId="4" borderId="20" applyAlignment="1" pivotButton="0" quotePrefix="0" xfId="0">
      <alignment horizontal="center"/>
    </xf>
    <xf numFmtId="10" fontId="2" fillId="13" borderId="41" applyAlignment="1" pivotButton="0" quotePrefix="0" xfId="0">
      <alignment horizontal="center"/>
    </xf>
    <xf numFmtId="3" fontId="1" fillId="15" borderId="26" applyAlignment="1" pivotButton="0" quotePrefix="0" xfId="0">
      <alignment horizontal="center"/>
    </xf>
    <xf numFmtId="3" fontId="1" fillId="4" borderId="42" applyAlignment="1" pivotButton="0" quotePrefix="0" xfId="0">
      <alignment horizontal="center"/>
    </xf>
    <xf numFmtId="3" fontId="1" fillId="15" borderId="15" applyAlignment="1" pivotButton="0" quotePrefix="0" xfId="0">
      <alignment horizontal="center"/>
    </xf>
    <xf numFmtId="0" fontId="7" fillId="0" borderId="9" applyAlignment="1" pivotButton="0" quotePrefix="0" xfId="0">
      <alignment horizontal="left"/>
    </xf>
    <xf numFmtId="0" fontId="15" fillId="0" borderId="2" applyAlignment="1" pivotButton="0" quotePrefix="0" xfId="0">
      <alignment horizontal="right"/>
    </xf>
    <xf numFmtId="0" fontId="1" fillId="17" borderId="9" pivotButton="0" quotePrefix="0" xfId="0"/>
    <xf numFmtId="0" fontId="1" fillId="17" borderId="2" pivotButton="0" quotePrefix="0" xfId="0"/>
    <xf numFmtId="173" fontId="1" fillId="0" borderId="9" applyAlignment="1" pivotButton="0" quotePrefix="0" xfId="0">
      <alignment horizontal="center"/>
    </xf>
    <xf numFmtId="0" fontId="7" fillId="0" borderId="9" pivotButton="0" quotePrefix="0" xfId="0"/>
    <xf numFmtId="4" fontId="2" fillId="13" borderId="19" applyAlignment="1" pivotButton="0" quotePrefix="0" xfId="0">
      <alignment horizontal="center"/>
    </xf>
    <xf numFmtId="3" fontId="2" fillId="13" borderId="21" applyAlignment="1" pivotButton="0" quotePrefix="0" xfId="0">
      <alignment horizontal="center"/>
    </xf>
    <xf numFmtId="14" fontId="2" fillId="13" borderId="28" applyAlignment="1" pivotButton="0" quotePrefix="0" xfId="0">
      <alignment horizontal="center"/>
    </xf>
    <xf numFmtId="174" fontId="1" fillId="0" borderId="21" applyAlignment="1" pivotButton="0" quotePrefix="0" xfId="0">
      <alignment horizontal="center"/>
    </xf>
    <xf numFmtId="166" fontId="4" fillId="13" borderId="21" applyAlignment="1" pivotButton="0" quotePrefix="0" xfId="0">
      <alignment horizontal="center"/>
    </xf>
    <xf numFmtId="173" fontId="1" fillId="0" borderId="29" applyAlignment="1" pivotButton="0" quotePrefix="0" xfId="0">
      <alignment horizontal="center"/>
    </xf>
    <xf numFmtId="167" fontId="3" fillId="0" borderId="28" applyAlignment="1" pivotButton="0" quotePrefix="0" xfId="0">
      <alignment horizontal="center"/>
    </xf>
    <xf numFmtId="0" fontId="5" fillId="0" borderId="9" applyAlignment="1" pivotButton="0" quotePrefix="0" xfId="0">
      <alignment horizontal="center" vertical="center"/>
    </xf>
    <xf numFmtId="3" fontId="1" fillId="4" borderId="47" applyAlignment="1" pivotButton="0" quotePrefix="0" xfId="0">
      <alignment horizontal="left"/>
    </xf>
    <xf numFmtId="164" fontId="1" fillId="0" borderId="48" applyAlignment="1" pivotButton="0" quotePrefix="0" xfId="0">
      <alignment horizontal="center"/>
    </xf>
    <xf numFmtId="4" fontId="5" fillId="0" borderId="21" applyAlignment="1" pivotButton="0" quotePrefix="0" xfId="0">
      <alignment horizontal="center"/>
    </xf>
    <xf numFmtId="4" fontId="5" fillId="0" borderId="13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/>
    </xf>
    <xf numFmtId="165" fontId="1" fillId="0" borderId="27" applyAlignment="1" pivotButton="0" quotePrefix="0" xfId="0">
      <alignment horizontal="center"/>
    </xf>
    <xf numFmtId="0" fontId="13" fillId="0" borderId="9" pivotButton="0" quotePrefix="0" xfId="0"/>
    <xf numFmtId="0" fontId="5" fillId="0" borderId="2" applyAlignment="1" pivotButton="0" quotePrefix="0" xfId="0">
      <alignment horizontal="center"/>
    </xf>
    <xf numFmtId="165" fontId="8" fillId="0" borderId="27" applyAlignment="1" pivotButton="0" quotePrefix="0" xfId="0">
      <alignment horizontal="center"/>
    </xf>
    <xf numFmtId="4" fontId="5" fillId="0" borderId="9" applyAlignment="1" pivotButton="0" quotePrefix="0" xfId="0">
      <alignment horizontal="center"/>
    </xf>
    <xf numFmtId="4" fontId="5" fillId="0" borderId="9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5" fillId="0" borderId="2" pivotButton="0" quotePrefix="0" xfId="0"/>
    <xf numFmtId="49" fontId="2" fillId="13" borderId="9" applyAlignment="1" pivotButton="0" quotePrefix="0" xfId="0">
      <alignment horizontal="center"/>
    </xf>
    <xf numFmtId="0" fontId="7" fillId="12" borderId="9" pivotButton="0" quotePrefix="0" xfId="0"/>
    <xf numFmtId="0" fontId="2" fillId="13" borderId="16" applyAlignment="1" pivotButton="0" quotePrefix="0" xfId="0">
      <alignment horizontal="center"/>
    </xf>
    <xf numFmtId="0" fontId="7" fillId="12" borderId="16" pivotButton="0" quotePrefix="0" xfId="0"/>
    <xf numFmtId="175" fontId="2" fillId="13" borderId="16" applyAlignment="1" pivotButton="0" quotePrefix="0" xfId="0">
      <alignment horizontal="center"/>
    </xf>
    <xf numFmtId="0" fontId="2" fillId="13" borderId="43" applyAlignment="1" pivotButton="0" quotePrefix="0" xfId="0">
      <alignment horizontal="center"/>
    </xf>
    <xf numFmtId="0" fontId="2" fillId="13" borderId="44" applyAlignment="1" pivotButton="0" quotePrefix="0" xfId="0">
      <alignment horizontal="center"/>
    </xf>
    <xf numFmtId="173" fontId="1" fillId="0" borderId="20" applyAlignment="1" pivotButton="0" quotePrefix="0" xfId="0">
      <alignment horizontal="center"/>
    </xf>
    <xf numFmtId="0" fontId="5" fillId="0" borderId="20" pivotButton="0" quotePrefix="0" xfId="0"/>
    <xf numFmtId="0" fontId="13" fillId="13" borderId="14" applyAlignment="1" pivotButton="0" quotePrefix="0" xfId="0">
      <alignment horizontal="center" vertical="center"/>
    </xf>
    <xf numFmtId="0" fontId="13" fillId="13" borderId="9" applyAlignment="1" pivotButton="0" quotePrefix="0" xfId="0">
      <alignment horizontal="center" vertical="center"/>
    </xf>
    <xf numFmtId="0" fontId="13" fillId="13" borderId="15" applyAlignment="1" pivotButton="0" quotePrefix="0" xfId="0">
      <alignment horizontal="center" vertical="center"/>
    </xf>
    <xf numFmtId="0" fontId="7" fillId="0" borderId="2" pivotButton="0" quotePrefix="0" xfId="0"/>
    <xf numFmtId="2" fontId="1" fillId="0" borderId="17" applyAlignment="1" pivotButton="0" quotePrefix="0" xfId="0">
      <alignment horizontal="center"/>
    </xf>
    <xf numFmtId="0" fontId="7" fillId="0" borderId="17" pivotButton="0" quotePrefix="0" xfId="0"/>
    <xf numFmtId="4" fontId="11" fillId="13" borderId="18" applyAlignment="1" pivotButton="0" quotePrefix="0" xfId="0">
      <alignment horizontal="center"/>
    </xf>
    <xf numFmtId="0" fontId="7" fillId="12" borderId="18" pivotButton="0" quotePrefix="0" xfId="0"/>
    <xf numFmtId="0" fontId="2" fillId="13" borderId="13" applyAlignment="1" pivotButton="0" quotePrefix="0" xfId="0">
      <alignment horizontal="left" vertical="center" wrapText="1"/>
    </xf>
    <xf numFmtId="0" fontId="7" fillId="12" borderId="13" pivotButton="0" quotePrefix="0" xfId="0"/>
    <xf numFmtId="0" fontId="2" fillId="13" borderId="20" applyAlignment="1" pivotButton="0" quotePrefix="0" xfId="0">
      <alignment horizontal="left" vertical="center" wrapText="1"/>
    </xf>
    <xf numFmtId="0" fontId="7" fillId="12" borderId="20" pivotButton="0" quotePrefix="0" xfId="0"/>
    <xf numFmtId="3" fontId="2" fillId="13" borderId="13" applyAlignment="1" pivotButton="0" quotePrefix="0" xfId="0">
      <alignment horizontal="center"/>
    </xf>
    <xf numFmtId="166" fontId="4" fillId="13" borderId="13" applyAlignment="1" pivotButton="0" quotePrefix="0" xfId="0">
      <alignment horizontal="center"/>
    </xf>
    <xf numFmtId="14" fontId="2" fillId="13" borderId="17" applyAlignment="1" pivotButton="0" quotePrefix="0" xfId="0">
      <alignment horizontal="center"/>
    </xf>
    <xf numFmtId="14" fontId="7" fillId="12" borderId="17" pivotButton="0" quotePrefix="0" xfId="0"/>
    <xf numFmtId="176" fontId="1" fillId="0" borderId="13" applyAlignment="1" pivotButton="0" quotePrefix="0" xfId="0">
      <alignment horizontal="center"/>
    </xf>
    <xf numFmtId="0" fontId="5" fillId="0" borderId="13" pivotButton="0" quotePrefix="0" xfId="0"/>
    <xf numFmtId="0" fontId="1" fillId="17" borderId="9" pivotButton="0" quotePrefix="0" xfId="0"/>
    <xf numFmtId="0" fontId="7" fillId="17" borderId="9" pivotButton="0" quotePrefix="0" xfId="0"/>
    <xf numFmtId="0" fontId="1" fillId="17" borderId="2" pivotButton="0" quotePrefix="0" xfId="0"/>
    <xf numFmtId="0" fontId="7" fillId="17" borderId="2" pivotButton="0" quotePrefix="0" xfId="0"/>
    <xf numFmtId="167" fontId="3" fillId="0" borderId="17" applyAlignment="1" pivotButton="0" quotePrefix="0" xfId="0">
      <alignment horizontal="center"/>
    </xf>
    <xf numFmtId="167" fontId="3" fillId="0" borderId="18" applyAlignment="1" pivotButton="0" quotePrefix="0" xfId="0">
      <alignment horizontal="center"/>
    </xf>
    <xf numFmtId="0" fontId="7" fillId="0" borderId="18" pivotButton="0" quotePrefix="0" xfId="0"/>
    <xf numFmtId="166" fontId="3" fillId="0" borderId="13" applyAlignment="1" pivotButton="0" quotePrefix="0" xfId="0">
      <alignment horizontal="center"/>
    </xf>
    <xf numFmtId="177" fontId="1" fillId="0" borderId="13" applyAlignment="1" pivotButton="0" quotePrefix="0" xfId="0">
      <alignment horizontal="center"/>
    </xf>
    <xf numFmtId="10" fontId="12" fillId="0" borderId="49" applyAlignment="1" pivotButton="0" quotePrefix="0" xfId="0">
      <alignment horizontal="center"/>
    </xf>
    <xf numFmtId="10" fontId="12" fillId="0" borderId="50" applyAlignment="1" pivotButton="0" quotePrefix="0" xfId="0">
      <alignment horizontal="center"/>
    </xf>
    <xf numFmtId="3" fontId="2" fillId="13" borderId="21" applyAlignment="1" pivotButton="0" quotePrefix="0" xfId="0">
      <alignment horizontal="center"/>
    </xf>
    <xf numFmtId="3" fontId="2" fillId="13" borderId="22" applyAlignment="1" pivotButton="0" quotePrefix="0" xfId="0">
      <alignment horizontal="center"/>
    </xf>
    <xf numFmtId="10" fontId="12" fillId="4" borderId="45" applyAlignment="1" pivotButton="0" quotePrefix="0" xfId="0">
      <alignment horizontal="center"/>
    </xf>
    <xf numFmtId="10" fontId="12" fillId="4" borderId="46" applyAlignment="1" pivotButton="0" quotePrefix="0" xfId="0">
      <alignment horizontal="center"/>
    </xf>
    <xf numFmtId="10" fontId="12" fillId="4" borderId="29" applyAlignment="1" pivotButton="0" quotePrefix="0" xfId="0">
      <alignment horizontal="center"/>
    </xf>
    <xf numFmtId="10" fontId="12" fillId="4" borderId="30" applyAlignment="1" pivotButton="0" quotePrefix="0" xfId="0">
      <alignment horizontal="center"/>
    </xf>
    <xf numFmtId="175" fontId="2" fillId="13" borderId="20" applyAlignment="1" pivotButton="0" quotePrefix="0" xfId="0">
      <alignment horizontal="center"/>
    </xf>
    <xf numFmtId="0" fontId="3" fillId="0" borderId="27" applyAlignment="1" pivotButton="0" quotePrefix="0" xfId="0">
      <alignment horizontal="center"/>
    </xf>
    <xf numFmtId="178" fontId="5" fillId="0" borderId="29" applyAlignment="1" pivotButton="0" quotePrefix="0" xfId="0">
      <alignment horizontal="center"/>
    </xf>
    <xf numFmtId="178" fontId="5" fillId="0" borderId="30" applyAlignment="1" pivotButton="0" quotePrefix="0" xfId="0">
      <alignment horizontal="center"/>
    </xf>
    <xf numFmtId="164" fontId="1" fillId="0" borderId="21" applyAlignment="1" pivotButton="0" quotePrefix="0" xfId="0">
      <alignment horizontal="center"/>
    </xf>
    <xf numFmtId="164" fontId="1" fillId="0" borderId="22" applyAlignment="1" pivotButton="0" quotePrefix="0" xfId="0">
      <alignment horizontal="center"/>
    </xf>
    <xf numFmtId="10" fontId="1" fillId="4" borderId="27" applyAlignment="1" pivotButton="0" quotePrefix="0" xfId="0">
      <alignment horizontal="center"/>
    </xf>
    <xf numFmtId="10" fontId="12" fillId="4" borderId="13" applyAlignment="1" pivotButton="0" quotePrefix="0" xfId="0">
      <alignment horizontal="center"/>
    </xf>
    <xf numFmtId="10" fontId="1" fillId="19" borderId="20" applyAlignment="1" pivotButton="0" quotePrefix="0" xfId="0">
      <alignment horizontal="center"/>
    </xf>
    <xf numFmtId="179" fontId="1" fillId="0" borderId="13" applyAlignment="1" pivotButton="0" quotePrefix="0" xfId="0">
      <alignment horizontal="center"/>
    </xf>
    <xf numFmtId="3" fontId="1" fillId="0" borderId="13" applyAlignment="1" pivotButton="0" quotePrefix="0" xfId="0">
      <alignment horizontal="center"/>
    </xf>
    <xf numFmtId="0" fontId="1" fillId="17" borderId="13" pivotButton="0" quotePrefix="0" xfId="0"/>
    <xf numFmtId="0" fontId="1" fillId="17" borderId="20" pivotButton="0" quotePrefix="0" xfId="0"/>
    <xf numFmtId="0" fontId="2" fillId="13" borderId="13" applyAlignment="1" pivotButton="0" quotePrefix="0" xfId="0">
      <alignment horizontal="center"/>
    </xf>
    <xf numFmtId="180" fontId="1" fillId="3" borderId="1" applyAlignment="1" pivotButton="0" quotePrefix="0" xfId="0">
      <alignment horizontal="center"/>
    </xf>
    <xf numFmtId="0" fontId="7" fillId="0" borderId="1" pivotButton="0" quotePrefix="0" xfId="0"/>
    <xf numFmtId="2" fontId="19" fillId="2" borderId="9" applyAlignment="1" pivotButton="0" quotePrefix="0" xfId="0">
      <alignment horizontal="center"/>
    </xf>
    <xf numFmtId="0" fontId="7" fillId="0" borderId="9" pivotButton="0" quotePrefix="0" xfId="0"/>
    <xf numFmtId="10" fontId="2" fillId="13" borderId="13" applyAlignment="1" pivotButton="0" quotePrefix="0" xfId="0">
      <alignment horizontal="center"/>
    </xf>
    <xf numFmtId="10" fontId="7" fillId="12" borderId="13" pivotButton="0" quotePrefix="0" xfId="0"/>
    <xf numFmtId="0" fontId="7" fillId="0" borderId="13" pivotButton="0" quotePrefix="0" xfId="0"/>
    <xf numFmtId="0" fontId="14" fillId="0" borderId="2" pivotButton="0" quotePrefix="0" xfId="0"/>
    <xf numFmtId="0" fontId="5" fillId="0" borderId="9" pivotButton="0" quotePrefix="0" xfId="0"/>
    <xf numFmtId="3" fontId="2" fillId="12" borderId="13" applyAlignment="1" pivotButton="0" quotePrefix="0" xfId="0">
      <alignment horizontal="center"/>
    </xf>
    <xf numFmtId="3" fontId="1" fillId="18" borderId="13" applyAlignment="1" pivotButton="0" quotePrefix="0" xfId="0">
      <alignment horizontal="center"/>
    </xf>
    <xf numFmtId="3" fontId="1" fillId="18" borderId="21" applyAlignment="1" pivotButton="0" quotePrefix="0" xfId="0">
      <alignment horizontal="center"/>
    </xf>
    <xf numFmtId="0" fontId="15" fillId="0" borderId="9" applyAlignment="1" pivotButton="0" quotePrefix="0" xfId="0">
      <alignment horizontal="right"/>
    </xf>
    <xf numFmtId="0" fontId="3" fillId="0" borderId="9" applyAlignment="1" pivotButton="0" quotePrefix="0" xfId="0">
      <alignment horizontal="center"/>
    </xf>
    <xf numFmtId="10" fontId="5" fillId="0" borderId="48" applyAlignment="1" pivotButton="0" quotePrefix="0" xfId="0">
      <alignment horizontal="center"/>
    </xf>
    <xf numFmtId="3" fontId="5" fillId="0" borderId="21" applyAlignment="1" pivotButton="0" quotePrefix="0" xfId="0">
      <alignment horizontal="center"/>
    </xf>
    <xf numFmtId="0" fontId="5" fillId="0" borderId="51" applyAlignment="1" pivotButton="0" quotePrefix="0" xfId="0">
      <alignment horizontal="right"/>
    </xf>
    <xf numFmtId="10" fontId="5" fillId="0" borderId="51" applyAlignment="1" pivotButton="0" quotePrefix="0" xfId="0">
      <alignment horizontal="center"/>
    </xf>
    <xf numFmtId="4" fontId="5" fillId="0" borderId="51" applyAlignment="1" pivotButton="0" quotePrefix="0" xfId="0">
      <alignment horizontal="center"/>
    </xf>
    <xf numFmtId="10" fontId="5" fillId="0" borderId="13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0" fillId="0" borderId="2" pivotButton="0" quotePrefix="0" xfId="0"/>
    <xf numFmtId="0" fontId="2" fillId="13" borderId="27" applyAlignment="1" pivotButton="0" quotePrefix="0" xfId="0">
      <alignment horizontal="center"/>
    </xf>
    <xf numFmtId="0" fontId="0" fillId="0" borderId="44" pivotButton="0" quotePrefix="0" xfId="0"/>
    <xf numFmtId="0" fontId="0" fillId="0" borderId="53" pivotButton="0" quotePrefix="0" xfId="0"/>
    <xf numFmtId="175" fontId="2" fillId="13" borderId="16" applyAlignment="1" pivotButton="0" quotePrefix="0" xfId="0">
      <alignment horizontal="center"/>
    </xf>
    <xf numFmtId="0" fontId="0" fillId="0" borderId="22" pivotButton="0" quotePrefix="0" xfId="0"/>
    <xf numFmtId="175" fontId="2" fillId="13" borderId="20" applyAlignment="1" pivotButton="0" quotePrefix="0" xfId="0">
      <alignment horizontal="center"/>
    </xf>
    <xf numFmtId="0" fontId="0" fillId="0" borderId="30" pivotButton="0" quotePrefix="0" xfId="0"/>
    <xf numFmtId="178" fontId="5" fillId="0" borderId="20" applyAlignment="1" pivotButton="0" quotePrefix="0" xfId="0">
      <alignment horizontal="center"/>
    </xf>
    <xf numFmtId="165" fontId="1" fillId="0" borderId="27" applyAlignment="1" pivotButton="0" quotePrefix="0" xfId="0">
      <alignment horizontal="center"/>
    </xf>
    <xf numFmtId="164" fontId="1" fillId="0" borderId="13" applyAlignment="1" pivotButton="0" quotePrefix="0" xfId="0">
      <alignment horizontal="center"/>
    </xf>
    <xf numFmtId="165" fontId="1" fillId="0" borderId="20" applyAlignment="1" pivotButton="0" quotePrefix="0" xfId="0">
      <alignment horizontal="center"/>
    </xf>
    <xf numFmtId="164" fontId="1" fillId="0" borderId="20" applyAlignment="1" pivotButton="0" quotePrefix="0" xfId="0">
      <alignment horizontal="center"/>
    </xf>
    <xf numFmtId="0" fontId="0" fillId="0" borderId="35" pivotButton="0" quotePrefix="0" xfId="0"/>
    <xf numFmtId="10" fontId="12" fillId="4" borderId="54" applyAlignment="1" pivotButton="0" quotePrefix="0" xfId="0">
      <alignment horizontal="center"/>
    </xf>
    <xf numFmtId="0" fontId="0" fillId="0" borderId="46" pivotButton="0" quotePrefix="0" xfId="0"/>
    <xf numFmtId="165" fontId="8" fillId="0" borderId="20" applyAlignment="1" pivotButton="0" quotePrefix="0" xfId="0">
      <alignment horizontal="center"/>
    </xf>
    <xf numFmtId="10" fontId="12" fillId="4" borderId="20" applyAlignment="1" pivotButton="0" quotePrefix="0" xfId="0">
      <alignment horizontal="center"/>
    </xf>
    <xf numFmtId="0" fontId="0" fillId="0" borderId="15" pivotButton="0" quotePrefix="0" xfId="0"/>
    <xf numFmtId="165" fontId="8" fillId="0" borderId="27" applyAlignment="1" pivotButton="0" quotePrefix="0" xfId="0">
      <alignment horizontal="center"/>
    </xf>
    <xf numFmtId="10" fontId="12" fillId="0" borderId="19" applyAlignment="1" pivotButton="0" quotePrefix="0" xfId="0">
      <alignment horizontal="center"/>
    </xf>
    <xf numFmtId="0" fontId="0" fillId="0" borderId="50" pivotButton="0" quotePrefix="0" xfId="0"/>
    <xf numFmtId="0" fontId="13" fillId="13" borderId="18" applyAlignment="1" pivotButton="0" quotePrefix="0" xfId="0">
      <alignment horizontal="center" vertical="center"/>
    </xf>
    <xf numFmtId="0" fontId="0" fillId="0" borderId="55" pivotButton="0" quotePrefix="0" xfId="0"/>
    <xf numFmtId="0" fontId="0" fillId="0" borderId="56" pivotButton="0" quotePrefix="0" xfId="0"/>
    <xf numFmtId="167" fontId="2" fillId="13" borderId="2" applyAlignment="1" pivotButton="0" quotePrefix="0" xfId="0">
      <alignment horizontal="center"/>
    </xf>
    <xf numFmtId="177" fontId="1" fillId="0" borderId="13" applyAlignment="1" pivotButton="0" quotePrefix="0" xfId="0">
      <alignment horizontal="center"/>
    </xf>
    <xf numFmtId="176" fontId="1" fillId="0" borderId="13" applyAlignment="1" pivotButton="0" quotePrefix="0" xfId="0">
      <alignment horizontal="center"/>
    </xf>
    <xf numFmtId="174" fontId="1" fillId="0" borderId="21" applyAlignment="1" pivotButton="0" quotePrefix="0" xfId="0">
      <alignment horizontal="center"/>
    </xf>
    <xf numFmtId="166" fontId="4" fillId="13" borderId="13" applyAlignment="1" pivotButton="0" quotePrefix="0" xfId="0">
      <alignment horizontal="center"/>
    </xf>
    <xf numFmtId="166" fontId="4" fillId="13" borderId="21" applyAlignment="1" pivotButton="0" quotePrefix="0" xfId="0">
      <alignment horizontal="center"/>
    </xf>
    <xf numFmtId="167" fontId="3" fillId="0" borderId="17" applyAlignment="1" pivotButton="0" quotePrefix="0" xfId="0">
      <alignment horizontal="center"/>
    </xf>
    <xf numFmtId="167" fontId="3" fillId="0" borderId="18" applyAlignment="1" pivotButton="0" quotePrefix="0" xfId="0">
      <alignment horizontal="center"/>
    </xf>
    <xf numFmtId="167" fontId="3" fillId="0" borderId="28" applyAlignment="1" pivotButton="0" quotePrefix="0" xfId="0">
      <alignment horizontal="center"/>
    </xf>
    <xf numFmtId="166" fontId="3" fillId="0" borderId="13" applyAlignment="1" pivotButton="0" quotePrefix="0" xfId="0">
      <alignment horizontal="center"/>
    </xf>
    <xf numFmtId="166" fontId="3" fillId="0" borderId="9" applyAlignment="1" pivotButton="0" quotePrefix="0" xfId="0">
      <alignment horizontal="center"/>
    </xf>
    <xf numFmtId="168" fontId="2" fillId="13" borderId="9" applyAlignment="1" pivotButton="0" quotePrefix="0" xfId="0">
      <alignment horizontal="left"/>
    </xf>
    <xf numFmtId="169" fontId="7" fillId="0" borderId="9" applyAlignment="1" pivotButton="0" quotePrefix="0" xfId="0">
      <alignment horizontal="left"/>
    </xf>
    <xf numFmtId="165" fontId="1" fillId="0" borderId="13" applyAlignment="1" pivotButton="0" quotePrefix="0" xfId="0">
      <alignment horizontal="center"/>
    </xf>
    <xf numFmtId="180" fontId="1" fillId="3" borderId="1" applyAlignment="1" pivotButton="0" quotePrefix="0" xfId="0">
      <alignment horizontal="center"/>
    </xf>
    <xf numFmtId="0" fontId="0" fillId="0" borderId="1" pivotButton="0" quotePrefix="0" xfId="0"/>
    <xf numFmtId="164" fontId="8" fillId="4" borderId="13" applyAlignment="1" pivotButton="0" quotePrefix="0" xfId="0">
      <alignment horizontal="right"/>
    </xf>
    <xf numFmtId="170" fontId="22" fillId="12" borderId="9" applyAlignment="1" pivotButton="0" quotePrefix="0" xfId="0">
      <alignment horizontal="center"/>
    </xf>
    <xf numFmtId="172" fontId="1" fillId="4" borderId="13" applyAlignment="1" pivotButton="0" quotePrefix="0" xfId="0">
      <alignment horizontal="center"/>
    </xf>
    <xf numFmtId="172" fontId="1" fillId="16" borderId="9" applyAlignment="1" pivotButton="0" quotePrefix="0" xfId="0">
      <alignment horizontal="center"/>
    </xf>
    <xf numFmtId="172" fontId="1" fillId="4" borderId="20" applyAlignment="1" pivotButton="0" quotePrefix="0" xfId="0">
      <alignment horizontal="center"/>
    </xf>
    <xf numFmtId="164" fontId="1" fillId="0" borderId="9" applyAlignment="1" pivotButton="0" quotePrefix="0" xfId="0">
      <alignment horizontal="center"/>
    </xf>
    <xf numFmtId="164" fontId="7" fillId="0" borderId="9" applyAlignment="1" pivotButton="0" quotePrefix="0" xfId="0">
      <alignment horizontal="center"/>
    </xf>
    <xf numFmtId="171" fontId="5" fillId="0" borderId="1" applyAlignment="1" pivotButton="0" quotePrefix="0" xfId="0">
      <alignment horizontal="center"/>
    </xf>
    <xf numFmtId="171" fontId="5" fillId="0" borderId="12" applyAlignment="1" pivotButton="0" quotePrefix="0" xfId="0">
      <alignment horizontal="center"/>
    </xf>
    <xf numFmtId="171" fontId="5" fillId="0" borderId="9" applyAlignment="1" pivotButton="0" quotePrefix="0" xfId="0">
      <alignment horizontal="center"/>
    </xf>
    <xf numFmtId="171" fontId="5" fillId="0" borderId="2" applyAlignment="1" pivotButton="0" quotePrefix="0" xfId="0">
      <alignment horizontal="center"/>
    </xf>
    <xf numFmtId="164" fontId="1" fillId="0" borderId="48" applyAlignment="1" pivotButton="0" quotePrefix="0" xfId="0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40"/>
  <sheetViews>
    <sheetView showGridLines="0" tabSelected="1" zoomScale="103" workbookViewId="0">
      <selection activeCell="E13" sqref="E13"/>
    </sheetView>
  </sheetViews>
  <sheetFormatPr baseColWidth="10" defaultColWidth="12.5" defaultRowHeight="15" customHeight="1"/>
  <cols>
    <col width="2.5" customWidth="1" style="3" min="1" max="1"/>
    <col width="28.33203125" customWidth="1" style="3" min="2" max="2"/>
    <col width="14.83203125" customWidth="1" style="3" min="3" max="6"/>
    <col width="28.83203125" customWidth="1" style="3" min="7" max="7"/>
    <col width="14.83203125" customWidth="1" style="3" min="8" max="9"/>
    <col width="12.5" customWidth="1" style="3" min="10" max="16384"/>
  </cols>
  <sheetData>
    <row r="1" ht="15" customHeight="1">
      <c r="B1" s="344" t="n"/>
      <c r="C1" s="344" t="n"/>
      <c r="D1" s="344" t="n"/>
      <c r="E1" s="344" t="n"/>
      <c r="F1" s="344" t="n"/>
      <c r="G1" s="344" t="n"/>
      <c r="H1" s="344" t="n"/>
      <c r="I1" s="344" t="n"/>
    </row>
    <row r="2" ht="15.75" customHeight="1">
      <c r="A2" s="12" t="n"/>
      <c r="B2" s="343" t="inlineStr">
        <is>
          <t>Company Info:</t>
        </is>
      </c>
      <c r="C2" s="276">
        <f>C3&amp;" : "&amp;C4</f>
        <v/>
      </c>
      <c r="D2" s="358" t="n"/>
      <c r="E2" s="277" t="n"/>
      <c r="F2" s="277" t="n"/>
      <c r="G2" s="277" t="n"/>
      <c r="H2" s="277" t="n"/>
      <c r="I2" s="277" t="n"/>
      <c r="J2" s="344" t="n"/>
    </row>
    <row r="3" ht="15.75" customHeight="1">
      <c r="B3" s="18" t="inlineStr">
        <is>
          <t>Ticker:</t>
        </is>
      </c>
      <c r="C3" s="278" t="inlineStr">
        <is>
          <t>1475.HK</t>
        </is>
      </c>
      <c r="E3" s="17" t="n"/>
      <c r="G3" s="7" t="inlineStr">
        <is>
          <t>Listing Location:</t>
        </is>
      </c>
      <c r="H3" s="359" t="inlineStr">
        <is>
          <t>HKG</t>
        </is>
      </c>
      <c r="I3" s="360" t="n"/>
    </row>
    <row r="4" ht="15.75" customHeight="1">
      <c r="B4" s="5" t="inlineStr">
        <is>
          <t>Ticker Name:</t>
        </is>
      </c>
      <c r="C4" s="280" t="inlineStr">
        <is>
          <t>NISSIN FOODS</t>
        </is>
      </c>
      <c r="D4" s="361" t="n"/>
      <c r="E4" s="344" t="n"/>
      <c r="G4" s="5" t="inlineStr">
        <is>
          <t>Current Price:</t>
        </is>
      </c>
      <c r="H4" s="49" t="n">
        <v>6.56</v>
      </c>
      <c r="I4" s="50" t="inlineStr">
        <is>
          <t>HKD</t>
        </is>
      </c>
    </row>
    <row r="5" ht="15.75" customHeight="1">
      <c r="B5" s="5" t="inlineStr">
        <is>
          <t>Valuation Date:</t>
        </is>
      </c>
      <c r="C5" s="362" t="inlineStr">
        <is>
          <t>2022-12-06</t>
        </is>
      </c>
      <c r="D5" s="361" t="n"/>
      <c r="E5" s="270">
        <f>IF(C5+30&gt;=TODAY(),"Patience Premium","")</f>
        <v/>
      </c>
      <c r="G5" s="5" t="inlineStr">
        <is>
          <t>Number of Shares:</t>
        </is>
      </c>
      <c r="H5" s="299" t="n">
        <v>1043689984</v>
      </c>
      <c r="I5" s="363" t="n"/>
    </row>
    <row r="6" ht="15.75" customHeight="1">
      <c r="B6" s="277" t="inlineStr">
        <is>
          <t>Next Earnings Date:</t>
        </is>
      </c>
      <c r="C6" s="364" t="n">
        <v>45015</v>
      </c>
      <c r="D6" s="365" t="n"/>
      <c r="E6" s="270" t="inlineStr"/>
      <c r="G6" s="8" t="inlineStr">
        <is>
          <t>Capitalization:</t>
        </is>
      </c>
      <c r="H6" s="366">
        <f>H4*H5/1000000</f>
        <v/>
      </c>
      <c r="I6" s="365" t="n"/>
    </row>
    <row r="7" ht="15.75" customHeight="1">
      <c r="B7" s="344" t="n"/>
      <c r="C7" s="344" t="n"/>
      <c r="D7" s="344" t="n"/>
      <c r="G7" s="344" t="n"/>
    </row>
    <row r="8" ht="15.75" customHeight="1">
      <c r="B8" s="25" t="inlineStr">
        <is>
          <t>Discount Rate Assumptions</t>
        </is>
      </c>
      <c r="C8" s="207" t="n"/>
      <c r="D8" s="277" t="n"/>
      <c r="E8" s="344" t="n"/>
      <c r="F8" s="344" t="n"/>
      <c r="G8" s="25" t="inlineStr">
        <is>
          <t>Current Price Metrics</t>
        </is>
      </c>
      <c r="H8" s="344" t="n"/>
      <c r="I8" s="344" t="n"/>
    </row>
    <row r="9" ht="15.75" customHeight="1">
      <c r="B9" s="21" t="inlineStr">
        <is>
          <t>Real Default-free Rate</t>
        </is>
      </c>
      <c r="C9" s="268" t="n"/>
      <c r="D9" s="51" t="n">
        <v>0.0354</v>
      </c>
      <c r="E9" s="5" t="n"/>
      <c r="G9" s="5" t="inlineStr">
        <is>
          <t>P/E Ratio &amp; Earnings Yield:</t>
        </is>
      </c>
      <c r="H9" s="367">
        <f>IF(Data!F3&lt;=0,"NNI",H4/((Data!F3*H13)/(H5/Data!C4)))</f>
        <v/>
      </c>
      <c r="I9" s="74">
        <f>IF(H9="NNI","NNI",1/H9)</f>
        <v/>
      </c>
    </row>
    <row r="10" ht="15.75" customHeight="1">
      <c r="B10" s="21" t="inlineStr">
        <is>
          <t>Interest rate Premium</t>
        </is>
      </c>
      <c r="C10" s="250" t="n"/>
      <c r="D10" s="16" t="n">
        <v>0.03</v>
      </c>
      <c r="E10" s="5" t="n"/>
      <c r="G10" s="5">
        <f>'FCF Model'!C3&amp;"yrs PEG Ratio:"</f>
        <v/>
      </c>
      <c r="H10" s="368">
        <f>IF('FCF Model'!C4&lt;=0,"Negative PEG",IFERROR(H9/('FCF Model'!C4*100),"NNI"))</f>
        <v/>
      </c>
      <c r="I10" s="363" t="n"/>
    </row>
    <row r="11" ht="15.75" customHeight="1">
      <c r="B11" s="19" t="inlineStr">
        <is>
          <t>CAP Discount rate</t>
        </is>
      </c>
      <c r="C11" s="348" t="n"/>
      <c r="D11" s="16">
        <f>IF(D9+D10&lt;6%,6%,D9+D10)</f>
        <v/>
      </c>
      <c r="E11" s="15" t="n"/>
      <c r="G11" s="5" t="inlineStr">
        <is>
          <t>P/B &amp; EV/EBIT Ratios:</t>
        </is>
      </c>
      <c r="H11" s="369">
        <f>H4/(Data!C25*H13*Data!C4/Common_Shares)</f>
        <v/>
      </c>
      <c r="I11" s="370">
        <f>IF('Asset Model'!D53/'FCF Model'!C16&lt;0,"Negative EV",'Asset Model'!D53/'FCF Model'!C16)</f>
        <v/>
      </c>
    </row>
    <row r="12" ht="15.75" customHeight="1">
      <c r="B12" s="21" t="inlineStr">
        <is>
          <t>Long-run ERP</t>
        </is>
      </c>
      <c r="C12" s="250" t="n"/>
      <c r="D12" s="16" t="n">
        <v>0.045</v>
      </c>
      <c r="E12" s="5" t="n"/>
      <c r="G12" s="7" t="inlineStr">
        <is>
          <t>Reporting Currency:</t>
        </is>
      </c>
      <c r="H12" s="359" t="inlineStr">
        <is>
          <t>HKD</t>
        </is>
      </c>
      <c r="I12" s="360" t="n"/>
    </row>
    <row r="13" ht="15.75" customHeight="1">
      <c r="B13" s="22" t="inlineStr">
        <is>
          <t>TV Discount rate</t>
        </is>
      </c>
      <c r="C13" s="251" t="n"/>
      <c r="D13" s="24">
        <f>IF(D9+D12&lt;8%,8%,D9+D12)</f>
        <v/>
      </c>
      <c r="E13" s="15" t="n"/>
      <c r="G13" s="8" t="inlineStr">
        <is>
          <t>Exchange Rate:</t>
        </is>
      </c>
      <c r="H13" s="256" t="n">
        <v>1</v>
      </c>
      <c r="I13" s="43">
        <f>IF(H12=Dashboard!I4,I4,H12&amp;"/"&amp;Dashboard!I4)</f>
        <v/>
      </c>
    </row>
    <row r="14" ht="15.75" customHeight="1"/>
    <row r="15" ht="15.75" customHeight="1">
      <c r="C15" s="344" t="n"/>
      <c r="D15" s="344" t="n"/>
      <c r="E15" s="9" t="n"/>
      <c r="F15" s="344" t="n"/>
      <c r="G15" s="344" t="n"/>
    </row>
    <row r="16" ht="15.75" customHeight="1">
      <c r="A16" s="12" t="n"/>
      <c r="B16" s="23" t="inlineStr">
        <is>
          <t>Valuation Output:</t>
        </is>
      </c>
      <c r="C16" s="276" t="inlineStr">
        <is>
          <t>Conservative FCF Value</t>
        </is>
      </c>
      <c r="D16" s="358" t="n"/>
      <c r="E16" s="276" t="inlineStr">
        <is>
          <t>Realizable Asset Value</t>
        </is>
      </c>
      <c r="F16" s="358" t="n"/>
      <c r="G16" s="277" t="n"/>
      <c r="H16" s="277" t="n"/>
      <c r="I16" s="8" t="n"/>
    </row>
    <row r="17" ht="15.75" customHeight="1">
      <c r="A17" s="344" t="n"/>
      <c r="B17" s="21" t="inlineStr">
        <is>
          <t>Expected price per share (EP) =</t>
        </is>
      </c>
      <c r="C17" s="291">
        <f>'FCF Model'!C63</f>
        <v/>
      </c>
      <c r="D17" s="371" t="n"/>
      <c r="E17" s="291">
        <f>'Asset Model'!D6</f>
        <v/>
      </c>
      <c r="F17" s="371" t="n"/>
      <c r="G17" s="38" t="inlineStr">
        <is>
          <t>Buy/Asset Gap</t>
        </is>
      </c>
      <c r="H17" s="372">
        <f>C21/E17-1</f>
        <v/>
      </c>
      <c r="I17" s="373" t="n"/>
      <c r="J17" s="344" t="n"/>
      <c r="K17" s="344" t="n"/>
    </row>
    <row r="18" ht="15.75" customHeight="1">
      <c r="B18" s="22" t="inlineStr">
        <is>
          <t>PE/PB</t>
        </is>
      </c>
      <c r="C18" s="374">
        <f>'FCF Model'!E63</f>
        <v/>
      </c>
      <c r="D18" s="374">
        <f>'FCF Model'!F63</f>
        <v/>
      </c>
      <c r="E18" s="374">
        <f>'Asset Model'!H5</f>
        <v/>
      </c>
      <c r="F18" s="374">
        <f>'Asset Model'!H6</f>
        <v/>
      </c>
      <c r="G18" s="11" t="inlineStr">
        <is>
          <t>Margin of Safty</t>
        </is>
      </c>
      <c r="H18" s="375">
        <f>AVERAGE((1-'Qualitative Analysis'!E29),(1-'Qualitative Analysis'!E63),H17)+IF(C5+30&gt;=TODAY(),20%,0)</f>
        <v/>
      </c>
      <c r="I18" s="365" t="n"/>
      <c r="J18" s="344" t="n"/>
      <c r="L18" s="344" t="n"/>
    </row>
    <row r="19" ht="15.75" customHeight="1">
      <c r="B19" s="10" t="n"/>
      <c r="C19" s="10" t="n"/>
      <c r="D19" s="10" t="n"/>
      <c r="E19" s="10" t="n"/>
      <c r="F19" s="10" t="n"/>
      <c r="G19" s="344" t="n"/>
      <c r="H19" s="344" t="n"/>
      <c r="I19" s="344" t="n"/>
    </row>
    <row r="20" ht="15.75" customHeight="1">
      <c r="A20" s="344" t="n"/>
      <c r="B20" s="25" t="inlineStr">
        <is>
          <t>Ideal Price:</t>
        </is>
      </c>
      <c r="C20" s="290" t="n"/>
      <c r="D20" s="277" t="n"/>
      <c r="E20" s="344" t="n"/>
      <c r="F20" s="344" t="n"/>
      <c r="G20" s="25" t="inlineStr">
        <is>
          <t>Current Return Analysis:</t>
        </is>
      </c>
      <c r="H20" s="344" t="n"/>
      <c r="I20" s="344" t="n"/>
      <c r="J20" s="344" t="n"/>
      <c r="K20" s="344" t="n"/>
    </row>
    <row r="21" ht="15.75" customHeight="1">
      <c r="B21" s="27" t="inlineStr">
        <is>
          <t>Ideal Price:</t>
        </is>
      </c>
      <c r="C21" s="293" t="n">
        <v>5.3</v>
      </c>
      <c r="D21" s="376" t="n"/>
      <c r="E21" s="356" t="inlineStr">
        <is>
          <t>PE =</t>
        </is>
      </c>
      <c r="F21" s="377">
        <f>IF(Data!F3&lt;=0,"NNI",C21/((Data!F3*H13)/(H5/Data!C4)))</f>
        <v/>
      </c>
      <c r="G21" s="46" t="inlineStr">
        <is>
          <t>Current IRR =</t>
        </is>
      </c>
      <c r="H21" s="328">
        <f>'FCF Model'!G63</f>
        <v/>
      </c>
      <c r="I21" s="360" t="n"/>
      <c r="J21" s="344" t="n"/>
      <c r="L21" s="344" t="n"/>
    </row>
    <row r="22" ht="15.75" customHeight="1">
      <c r="B22" s="38" t="inlineStr">
        <is>
          <t>IRR:</t>
        </is>
      </c>
      <c r="C22" s="355">
        <f>'FCF Model'!K60</f>
        <v/>
      </c>
      <c r="D22" s="363" t="n"/>
      <c r="E22" s="357" t="inlineStr">
        <is>
          <t>PB =</t>
        </is>
      </c>
      <c r="F22" s="374">
        <f>C21/(Data!C25*H13*Data!C4/Common_Shares)</f>
        <v/>
      </c>
      <c r="G22" s="46" t="inlineStr">
        <is>
          <t>Risk Premium =</t>
        </is>
      </c>
      <c r="H22" s="329">
        <f>D10+D12*(1+H18)</f>
        <v/>
      </c>
      <c r="I22" s="363" t="n"/>
      <c r="J22" s="344" t="n"/>
      <c r="L22" s="344" t="n"/>
    </row>
    <row r="23" ht="15.75" customHeight="1">
      <c r="B23" s="11" t="inlineStr">
        <is>
          <t>Pure Return:</t>
        </is>
      </c>
      <c r="C23" s="378">
        <f>C22-H22</f>
        <v/>
      </c>
      <c r="D23" s="379" t="n"/>
      <c r="E23" s="344" t="n"/>
      <c r="F23" s="344" t="n"/>
      <c r="G23" s="271" t="inlineStr">
        <is>
          <t xml:space="preserve"> Pure Return =</t>
        </is>
      </c>
      <c r="H23" s="330">
        <f>H21-H22</f>
        <v/>
      </c>
      <c r="I23" s="365" t="n"/>
      <c r="J23" s="344" t="n"/>
      <c r="L23" s="344" t="n"/>
    </row>
    <row r="24" ht="15.75" customHeight="1">
      <c r="C24" s="344" t="n"/>
      <c r="D24" s="344" t="n"/>
      <c r="H24" s="344" t="n"/>
      <c r="I24" s="344" t="n"/>
      <c r="J24" s="344" t="n"/>
      <c r="K24" s="344" t="n"/>
    </row>
    <row r="25" ht="15.75" customHeight="1">
      <c r="A25" s="4" t="n"/>
      <c r="B25" s="23" t="inlineStr">
        <is>
          <t>Stock Analysis:</t>
        </is>
      </c>
      <c r="C25" s="8" t="n"/>
      <c r="D25" s="277" t="n"/>
      <c r="E25" s="277" t="n"/>
      <c r="F25" s="277" t="n"/>
      <c r="G25" s="277" t="n"/>
      <c r="H25" s="277" t="n"/>
      <c r="I25" s="277" t="n"/>
    </row>
    <row r="26" ht="15.75" customHeight="1">
      <c r="A26" s="344" t="n"/>
      <c r="B26" s="28" t="inlineStr">
        <is>
          <t>1 sentence Pitch</t>
        </is>
      </c>
      <c r="C26" s="380" t="n"/>
      <c r="I26" s="376" t="n"/>
      <c r="J26" s="344" t="n"/>
    </row>
    <row r="27" ht="52.5" customHeight="1">
      <c r="A27" s="344" t="n"/>
      <c r="B27" s="28" t="inlineStr">
        <is>
          <t>Strength &amp; Weakness</t>
        </is>
      </c>
      <c r="C27" s="295" t="n"/>
      <c r="D27" s="381" t="n"/>
      <c r="E27" s="381" t="n"/>
      <c r="F27" s="363" t="n"/>
      <c r="G27" s="295" t="n"/>
      <c r="H27" s="381" t="n"/>
      <c r="I27" s="363" t="n"/>
      <c r="J27" s="344" t="n"/>
    </row>
    <row r="28" ht="52.5" customHeight="1">
      <c r="A28" s="344" t="n"/>
      <c r="B28" s="29" t="inlineStr">
        <is>
          <t>Oppertunities &amp; Threat</t>
        </is>
      </c>
      <c r="C28" s="297" t="n"/>
      <c r="D28" s="382" t="n"/>
      <c r="E28" s="382" t="n"/>
      <c r="F28" s="365" t="n"/>
      <c r="G28" s="297" t="n"/>
      <c r="H28" s="382" t="n"/>
      <c r="I28" s="365" t="n"/>
      <c r="J28" s="344" t="n"/>
    </row>
    <row r="29" ht="15.75" customHeight="1">
      <c r="B29" s="344" t="n"/>
      <c r="C29" s="344" t="n"/>
      <c r="D29" s="344" t="n"/>
      <c r="E29" s="344" t="n"/>
      <c r="F29" s="9" t="n"/>
      <c r="G29" s="344" t="n"/>
      <c r="H29" s="344" t="n"/>
      <c r="I29" s="344" t="n"/>
    </row>
    <row r="30" ht="15.75" customHeight="1">
      <c r="A30" s="4" t="n"/>
      <c r="B30" s="23" t="inlineStr">
        <is>
          <t>Execution Plan:</t>
        </is>
      </c>
      <c r="C30" s="26" t="inlineStr">
        <is>
          <t>Portfolio Size</t>
        </is>
      </c>
      <c r="D30" s="383" t="n">
        <v>700000</v>
      </c>
      <c r="E30" s="277" t="n"/>
      <c r="F30" s="8" t="n"/>
      <c r="G30" s="277" t="n"/>
      <c r="H30" s="344" t="n"/>
      <c r="I30" s="344" t="n"/>
    </row>
    <row r="31" ht="15.75" customHeight="1">
      <c r="B31" s="27" t="inlineStr">
        <is>
          <t>Date of Trade</t>
        </is>
      </c>
      <c r="C31" s="301" t="n"/>
      <c r="D31" s="371" t="n"/>
      <c r="E31" s="301" t="n"/>
      <c r="F31" s="371" t="n"/>
      <c r="G31" s="258" t="n"/>
      <c r="H31" s="323" t="inlineStr">
        <is>
          <t>Total</t>
        </is>
      </c>
      <c r="I31" s="360" t="n"/>
      <c r="J31" s="344" t="n"/>
    </row>
    <row r="32" ht="15.75" customHeight="1">
      <c r="B32" s="27" t="inlineStr">
        <is>
          <t>Aollcation</t>
        </is>
      </c>
      <c r="C32" s="384">
        <f>C36/D30</f>
        <v/>
      </c>
      <c r="D32" s="363" t="n"/>
      <c r="E32" s="385">
        <f>E36/D30</f>
        <v/>
      </c>
      <c r="F32" s="363" t="n"/>
      <c r="G32" s="386">
        <f>G36/D30</f>
        <v/>
      </c>
      <c r="H32" s="331">
        <f>C32+E32+G32</f>
        <v/>
      </c>
      <c r="I32" s="363" t="n"/>
      <c r="J32" s="344" t="n"/>
    </row>
    <row r="33" ht="15.75" customHeight="1">
      <c r="B33" s="27" t="inlineStr">
        <is>
          <t>Number of shares</t>
        </is>
      </c>
      <c r="C33" s="299" t="n"/>
      <c r="D33" s="363" t="n"/>
      <c r="E33" s="299" t="n"/>
      <c r="F33" s="363" t="n"/>
      <c r="G33" s="316" t="n"/>
      <c r="H33" s="332">
        <f>C33+E33+G33</f>
        <v/>
      </c>
      <c r="I33" s="363" t="n"/>
      <c r="J33" s="344" t="n"/>
    </row>
    <row r="34" ht="15.75" customHeight="1">
      <c r="B34" s="27" t="inlineStr">
        <is>
          <t>price per shares</t>
        </is>
      </c>
      <c r="C34" s="387" t="n"/>
      <c r="D34" s="363" t="n"/>
      <c r="E34" s="387" t="n"/>
      <c r="F34" s="363" t="n"/>
      <c r="G34" s="388" t="n"/>
      <c r="H34" s="333" t="n"/>
      <c r="I34" s="363" t="n"/>
      <c r="J34" s="344" t="n"/>
    </row>
    <row r="35" ht="15.75" customHeight="1">
      <c r="B35" s="27" t="inlineStr">
        <is>
          <t>Corresponding Market Cap.</t>
        </is>
      </c>
      <c r="C35" s="285">
        <f>C34*$H$5/1000000</f>
        <v/>
      </c>
      <c r="D35" s="365" t="n"/>
      <c r="E35" s="285">
        <f>E34*$H$5/1000000</f>
        <v/>
      </c>
      <c r="F35" s="365" t="n"/>
      <c r="G35" s="261">
        <f>G34*$H$5/1000000</f>
        <v/>
      </c>
      <c r="H35" s="334" t="n"/>
      <c r="I35" s="365" t="n"/>
      <c r="J35" s="344" t="n"/>
    </row>
    <row r="36" ht="15.75" customHeight="1">
      <c r="B36" s="2" t="inlineStr">
        <is>
          <t>Total Cost</t>
        </is>
      </c>
      <c r="C36" s="389">
        <f>C33*C34</f>
        <v/>
      </c>
      <c r="D36" s="371" t="n"/>
      <c r="E36" s="390">
        <f>E33*E34</f>
        <v/>
      </c>
      <c r="F36" s="376" t="n"/>
      <c r="G36" s="391">
        <f>G33*G34</f>
        <v/>
      </c>
      <c r="H36" s="389">
        <f>C36+E36+G36</f>
        <v/>
      </c>
      <c r="I36" s="371" t="n"/>
      <c r="J36" s="344" t="n"/>
    </row>
    <row r="37" ht="15.75" customHeight="1">
      <c r="B37" s="1" t="inlineStr">
        <is>
          <t>Cost per share</t>
        </is>
      </c>
      <c r="C37" s="305" t="n"/>
      <c r="E37" s="392">
        <f>IF(C36=0,"-",(C36+E36)/(C33+E33))</f>
        <v/>
      </c>
      <c r="F37" s="363" t="n"/>
      <c r="G37" s="305" t="n"/>
      <c r="H37" s="339" t="n"/>
      <c r="I37" s="393">
        <f>IF(H36=0,"",H36/H33)</f>
        <v/>
      </c>
      <c r="J37" s="344" t="n"/>
    </row>
    <row r="38" ht="15.75" customHeight="1">
      <c r="B38" s="1" t="inlineStr">
        <is>
          <t>Corresponding Cap</t>
        </is>
      </c>
      <c r="C38" s="307" t="n"/>
      <c r="D38" s="358" t="n"/>
      <c r="E38" s="285">
        <f>IF(E37="-","-",E37*$H$5/1000000)</f>
        <v/>
      </c>
      <c r="F38" s="365" t="n"/>
      <c r="G38" s="307" t="n"/>
      <c r="H38" s="339" t="n"/>
      <c r="I38" s="254">
        <f>IF(I37="","",I37*$H$5/1000000)</f>
        <v/>
      </c>
      <c r="J38" s="344" t="n"/>
    </row>
    <row r="39" ht="15.75" customHeight="1">
      <c r="C39" s="344" t="n"/>
      <c r="D39" s="344" t="n"/>
      <c r="E39" s="344" t="n"/>
      <c r="F39" s="344" t="n"/>
      <c r="G39" s="344" t="n"/>
      <c r="H39" s="344" t="n"/>
      <c r="I39" s="344" t="n"/>
      <c r="J39" s="344" t="n"/>
    </row>
    <row r="40" ht="15.75" customHeight="1">
      <c r="H40" s="344" t="n"/>
      <c r="I40" s="344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9">
    <mergeCell ref="H32:I32"/>
    <mergeCell ref="H33:I33"/>
    <mergeCell ref="H34:I34"/>
    <mergeCell ref="H35:I35"/>
    <mergeCell ref="H36:I36"/>
    <mergeCell ref="H31:I31"/>
    <mergeCell ref="H6:I6"/>
    <mergeCell ref="H10:I10"/>
    <mergeCell ref="H21:I21"/>
    <mergeCell ref="H22:I22"/>
    <mergeCell ref="H23:I23"/>
    <mergeCell ref="C23:D23"/>
    <mergeCell ref="H12:I12"/>
    <mergeCell ref="H5:I5"/>
    <mergeCell ref="H17:I17"/>
    <mergeCell ref="H18:I18"/>
    <mergeCell ref="C6:D6"/>
    <mergeCell ref="E16:F16"/>
    <mergeCell ref="E17:F17"/>
    <mergeCell ref="C31:D31"/>
    <mergeCell ref="C37:D37"/>
    <mergeCell ref="C38:D38"/>
    <mergeCell ref="E38:F38"/>
    <mergeCell ref="C36:D36"/>
    <mergeCell ref="E36:F36"/>
    <mergeCell ref="E37:F37"/>
    <mergeCell ref="C32:D32"/>
    <mergeCell ref="C33:D33"/>
    <mergeCell ref="H3:I3"/>
    <mergeCell ref="E35:F35"/>
    <mergeCell ref="C26:I26"/>
    <mergeCell ref="C16:D16"/>
    <mergeCell ref="C17:D17"/>
    <mergeCell ref="C21:D21"/>
    <mergeCell ref="C27:F27"/>
    <mergeCell ref="G27:I27"/>
    <mergeCell ref="C28:F28"/>
    <mergeCell ref="G28:I28"/>
    <mergeCell ref="E33:F33"/>
    <mergeCell ref="C34:D34"/>
    <mergeCell ref="C35:D35"/>
    <mergeCell ref="E34:F34"/>
    <mergeCell ref="E31:F31"/>
    <mergeCell ref="E32:F32"/>
    <mergeCell ref="C22:D22"/>
    <mergeCell ref="C2:D2"/>
    <mergeCell ref="C3:D3"/>
    <mergeCell ref="C4:D4"/>
    <mergeCell ref="C5:D5"/>
  </mergeCells>
  <conditionalFormatting sqref="H22">
    <cfRule type="cellIs" priority="11" operator="lessThan" dxfId="10">
      <formula>0</formula>
    </cfRule>
  </conditionalFormatting>
  <conditionalFormatting sqref="C31:H31 C33:H34">
    <cfRule type="containsBlanks" priority="5">
      <formula>LEN(TRIM(C31))=0</formula>
    </cfRule>
  </conditionalFormatting>
  <conditionalFormatting sqref="H17:H18">
    <cfRule type="cellIs" priority="3" operator="lessThan" dxfId="10">
      <formula>0</formula>
    </cfRule>
  </conditionalFormatting>
  <conditionalFormatting sqref="H23">
    <cfRule type="cellIs" priority="1" operator="lessThanOrEqual" dxfId="9">
      <formula>0</formula>
    </cfRule>
  </conditionalFormatting>
  <dataValidations disablePrompts="1" count="2">
    <dataValidation sqref="H3" showErrorMessage="1" showInputMessage="1" allowBlank="1" type="list">
      <formula1>"HK,US:NASDAQ,CN"</formula1>
    </dataValidation>
    <dataValidation sqref="H12" showErrorMessage="1" showInputMessage="1" allowBlank="1" type="list">
      <formula1>"HKD,USD,CNY,EUR"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280"/>
  <sheetViews>
    <sheetView showGridLines="0" zoomScale="105" workbookViewId="0">
      <selection activeCell="C27" sqref="C27"/>
    </sheetView>
  </sheetViews>
  <sheetFormatPr baseColWidth="10" defaultColWidth="12.5" defaultRowHeight="15" customHeight="1"/>
  <cols>
    <col width="1.5" customWidth="1" style="3" min="1" max="1"/>
    <col width="26.5" customWidth="1" style="3" min="2" max="2"/>
    <col width="24.6640625" customWidth="1" style="3" min="3" max="13"/>
    <col width="12.5" customWidth="1" style="3" min="14" max="16384"/>
  </cols>
  <sheetData>
    <row r="1" ht="8.25" customHeight="1">
      <c r="A1" s="54" t="n"/>
      <c r="B1" s="55" t="n"/>
      <c r="C1" s="56" t="n"/>
      <c r="D1" s="56" t="n"/>
      <c r="E1" s="56" t="n"/>
      <c r="F1" s="56" t="n"/>
    </row>
    <row r="2" ht="15.75" customHeight="1">
      <c r="A2" s="57" t="n"/>
      <c r="B2" s="343" t="inlineStr">
        <is>
          <t>Company Statement Inputs</t>
        </is>
      </c>
      <c r="C2" s="58" t="n"/>
      <c r="D2" s="58" t="n"/>
      <c r="E2" s="58" t="n"/>
      <c r="F2" s="58" t="n"/>
      <c r="G2" s="277" t="n"/>
      <c r="H2" s="277" t="n"/>
      <c r="I2" s="277" t="n"/>
      <c r="J2" s="277" t="n"/>
      <c r="K2" s="277" t="n"/>
      <c r="L2" s="277" t="n"/>
      <c r="M2" s="277" t="n"/>
    </row>
    <row r="3" ht="15.75" customHeight="1">
      <c r="A3" s="9" t="n"/>
      <c r="B3" s="5" t="inlineStr">
        <is>
          <t>Year of the last 10k =</t>
        </is>
      </c>
      <c r="C3" s="48" t="n">
        <v>2021</v>
      </c>
      <c r="D3" s="344" t="n"/>
      <c r="E3" s="394" t="n">
        <v>1</v>
      </c>
      <c r="F3" s="60">
        <f t="array" ref="F3">AVERAGE(C18:INDEX(C18:M18,1,E3))</f>
        <v/>
      </c>
      <c r="G3" s="344" t="n"/>
      <c r="H3" s="5">
        <f>"Past "&amp;'FCF Model'!C3&amp;" yrs Revenue CAGR"</f>
        <v/>
      </c>
      <c r="I3" s="344" t="n"/>
      <c r="J3" s="61">
        <f t="array" ref="J3">(C7/INDEX(C7:L7,0,'FCF Model'!C3+1))^(1/('FCF Model'!C3))-1</f>
        <v/>
      </c>
      <c r="K3" s="344" t="n"/>
      <c r="L3" s="344" t="n"/>
      <c r="M3" s="344" t="n"/>
    </row>
    <row r="4" ht="15.75" customHeight="1">
      <c r="A4" s="9" t="n"/>
      <c r="B4" s="5" t="inlineStr">
        <is>
          <t>Figures in =</t>
        </is>
      </c>
      <c r="C4" s="299" t="n">
        <v>1000</v>
      </c>
      <c r="D4" s="344" t="n"/>
      <c r="E4" s="395">
        <f>E3</f>
        <v/>
      </c>
      <c r="F4" s="63">
        <f>AVERAGE(C16:INDEX(C16:M16,1,E4))</f>
        <v/>
      </c>
      <c r="G4" s="344" t="n"/>
      <c r="H4" s="3">
        <f>"Past "&amp;'FCF Model'!C3&amp;" yrs EBIT CAGR"</f>
        <v/>
      </c>
      <c r="I4" s="344" t="n"/>
      <c r="J4" s="355">
        <f t="array" ref="J4">IFERROR((C14/INDEX(C14:L14,0,'FCF Model'!C3))^(1/('FCF Model'!C3-1))-1,"NA")</f>
        <v/>
      </c>
      <c r="K4" s="344" t="n"/>
    </row>
    <row r="5" ht="15.75" customHeight="1">
      <c r="A5" s="9" t="n"/>
      <c r="C5" s="344" t="n"/>
      <c r="F5" s="344" t="n"/>
      <c r="J5" s="344" t="n"/>
    </row>
    <row r="6" ht="15.75" customHeight="1">
      <c r="A6" s="9" t="n"/>
      <c r="B6" s="65" t="n"/>
      <c r="C6" s="66">
        <f>"FY "&amp;$C$3</f>
        <v/>
      </c>
      <c r="D6" s="67">
        <f>"FY "&amp;$C$3-1</f>
        <v/>
      </c>
      <c r="E6" s="67">
        <f>"FY "&amp;$C$3-2</f>
        <v/>
      </c>
      <c r="F6" s="67">
        <f>"FY "&amp;$C$3-3</f>
        <v/>
      </c>
      <c r="G6" s="67">
        <f>"FY "&amp;$C$3-4</f>
        <v/>
      </c>
      <c r="H6" s="67">
        <f>"FY "&amp;$C$3-5</f>
        <v/>
      </c>
      <c r="I6" s="67">
        <f>"FY "&amp;$C$3-6</f>
        <v/>
      </c>
      <c r="J6" s="67">
        <f>"FY "&amp;$C$3-7</f>
        <v/>
      </c>
      <c r="K6" s="67">
        <f>"FY "&amp;$C$3-8</f>
        <v/>
      </c>
      <c r="L6" s="67">
        <f>"FY "&amp;$C$3-9</f>
        <v/>
      </c>
      <c r="M6" s="67">
        <f>"FY "&amp;$C$3-10</f>
        <v/>
      </c>
    </row>
    <row r="7" ht="15.75" customHeight="1">
      <c r="A7" s="9" t="n"/>
      <c r="B7" s="68" t="inlineStr">
        <is>
          <t>Sales</t>
        </is>
      </c>
      <c r="C7" s="299" t="n">
        <v>3866335</v>
      </c>
      <c r="D7" s="299" t="n">
        <v>3518847</v>
      </c>
      <c r="E7" s="299" t="n">
        <v>3087781</v>
      </c>
      <c r="F7" s="299" t="n">
        <v>2998828</v>
      </c>
      <c r="G7" s="299" t="n">
        <v>2688530</v>
      </c>
      <c r="H7" s="299" t="n"/>
      <c r="I7" s="299" t="n"/>
      <c r="J7" s="299" t="n"/>
      <c r="K7" s="299" t="n"/>
      <c r="L7" s="299" t="n"/>
      <c r="M7" s="299" t="n"/>
      <c r="N7" s="344" t="n"/>
    </row>
    <row r="8" ht="15.75" customHeight="1">
      <c r="A8" s="9" t="n"/>
      <c r="B8" s="69" t="inlineStr">
        <is>
          <t>Sales Growth Rate</t>
        </is>
      </c>
      <c r="C8" s="16">
        <f>IF(D7="","",C7/D7-1)</f>
        <v/>
      </c>
      <c r="D8" s="16">
        <f>IF(E7="","",D7/E7-1)</f>
        <v/>
      </c>
      <c r="E8" s="16">
        <f>IF(F7="","",E7/F7-1)</f>
        <v/>
      </c>
      <c r="F8" s="16">
        <f>IF(G7="","",F7/G7-1)</f>
        <v/>
      </c>
      <c r="G8" s="16">
        <f>IF(H7="","",G7/H7-1)</f>
        <v/>
      </c>
      <c r="H8" s="16">
        <f>IF(I7="","",H7/I7-1)</f>
        <v/>
      </c>
      <c r="I8" s="16">
        <f>IF(J7="","",I7/J7-1)</f>
        <v/>
      </c>
      <c r="J8" s="16">
        <f>IF(K7="","",J7/K7-1)</f>
        <v/>
      </c>
      <c r="K8" s="16">
        <f>IF(L7="","",K7/L7-1)</f>
        <v/>
      </c>
      <c r="L8" s="16">
        <f>IF(M7="","",L7/M7-1)</f>
        <v/>
      </c>
      <c r="M8" s="16" t="n"/>
      <c r="N8" s="344" t="n"/>
    </row>
    <row r="9" ht="15.75" customHeight="1">
      <c r="A9" s="9" t="n"/>
      <c r="B9" s="69" t="inlineStr">
        <is>
          <t>COGS</t>
        </is>
      </c>
      <c r="C9" s="299" t="n">
        <v>2639016</v>
      </c>
      <c r="D9" s="299" t="n">
        <v>2360170</v>
      </c>
      <c r="E9" s="299" t="n">
        <v>2074351</v>
      </c>
      <c r="F9" s="299" t="n">
        <v>2065429</v>
      </c>
      <c r="G9" s="299" t="n">
        <v>1867706</v>
      </c>
      <c r="H9" s="299" t="n"/>
      <c r="I9" s="299" t="n"/>
      <c r="J9" s="299" t="n"/>
      <c r="K9" s="299" t="n"/>
      <c r="L9" s="299" t="n"/>
      <c r="M9" s="299" t="n"/>
      <c r="N9" s="344" t="n"/>
    </row>
    <row r="10" ht="15.75" customHeight="1">
      <c r="A10" s="9" t="n"/>
      <c r="B10" s="69" t="inlineStr">
        <is>
          <t>Gross Margin</t>
        </is>
      </c>
      <c r="C10" s="16">
        <f>IF(C7="","",(C7-C9)/C7)</f>
        <v/>
      </c>
      <c r="D10" s="16">
        <f>IF(D7="","",(D7-D9)/D7)</f>
        <v/>
      </c>
      <c r="E10" s="16">
        <f>IF(E7="","",(E7-E9)/E7)</f>
        <v/>
      </c>
      <c r="F10" s="16">
        <f>IF(F7="","",(F7-F9)/F7)</f>
        <v/>
      </c>
      <c r="G10" s="16">
        <f>IF(G7="","",(G7-G9)/G7)</f>
        <v/>
      </c>
      <c r="H10" s="16">
        <f>IF(H7="","",(H7-H9)/H7)</f>
        <v/>
      </c>
      <c r="I10" s="16">
        <f>IF(I7="","",(I7-I9)/I7)</f>
        <v/>
      </c>
      <c r="J10" s="16">
        <f>IF(J7="","",(J7-J9)/J7)</f>
        <v/>
      </c>
      <c r="K10" s="16">
        <f>IF(K7="","",(K7-K9)/K7)</f>
        <v/>
      </c>
      <c r="L10" s="16">
        <f>IF(L7="","",(L7-L9)/L7)</f>
        <v/>
      </c>
      <c r="M10" s="16">
        <f>IF(M7="","",(M7-M9)/M7)</f>
        <v/>
      </c>
      <c r="N10" s="344" t="n"/>
    </row>
    <row r="11" ht="15.75" customHeight="1">
      <c r="A11" s="9" t="n"/>
      <c r="B11" s="69" t="inlineStr">
        <is>
          <t>Operating Expenses</t>
        </is>
      </c>
      <c r="C11" s="299" t="n">
        <v>756084</v>
      </c>
      <c r="D11" s="299" t="n">
        <v>664065</v>
      </c>
      <c r="E11" s="299" t="n">
        <v>672083</v>
      </c>
      <c r="F11" s="299" t="n">
        <v>643276</v>
      </c>
      <c r="G11" s="299">
        <f>389978+162975+40212</f>
        <v/>
      </c>
      <c r="H11" s="299" t="n"/>
      <c r="I11" s="299" t="n"/>
      <c r="J11" s="299" t="n"/>
      <c r="K11" s="299" t="n"/>
      <c r="L11" s="299" t="n"/>
      <c r="M11" s="299" t="n"/>
      <c r="N11" s="344" t="n"/>
    </row>
    <row r="12" ht="15.75" customHeight="1">
      <c r="A12" s="9" t="n"/>
      <c r="B12" s="69" t="inlineStr">
        <is>
          <t>Operating Expenses/Sales</t>
        </is>
      </c>
      <c r="C12" s="16">
        <f>IF(C7="","",C10-C13)</f>
        <v/>
      </c>
      <c r="D12" s="16">
        <f>IF(D7="","",D10-D13)</f>
        <v/>
      </c>
      <c r="E12" s="16">
        <f>IF(E7="","",E10-E13)</f>
        <v/>
      </c>
      <c r="F12" s="16">
        <f>IF(F7="","",F10-F13)</f>
        <v/>
      </c>
      <c r="G12" s="16">
        <f>IF(G7="","",G10-G13)</f>
        <v/>
      </c>
      <c r="H12" s="16">
        <f>IF(H7="","",H10-H13)</f>
        <v/>
      </c>
      <c r="I12" s="16">
        <f>IF(I7="","",I10-I13)</f>
        <v/>
      </c>
      <c r="J12" s="16">
        <f>IF(J7="","",J10-J13)</f>
        <v/>
      </c>
      <c r="K12" s="16">
        <f>IF(K7="","",K10-K13)</f>
        <v/>
      </c>
      <c r="L12" s="16">
        <f>IF(L7="","",L10-L13)</f>
        <v/>
      </c>
      <c r="M12" s="16">
        <f>IF(M7="","",M10-M13)</f>
        <v/>
      </c>
      <c r="N12" s="344" t="n"/>
    </row>
    <row r="13" ht="15.75" customHeight="1">
      <c r="A13" s="9" t="n"/>
      <c r="B13" s="69" t="inlineStr">
        <is>
          <t>EBIT Margin</t>
        </is>
      </c>
      <c r="C13" s="16">
        <f>IF(C14="","",C14/C7)</f>
        <v/>
      </c>
      <c r="D13" s="16">
        <f>IF(D14="","",D14/D7)</f>
        <v/>
      </c>
      <c r="E13" s="16">
        <f>IF(E14="","",E14/E7)</f>
        <v/>
      </c>
      <c r="F13" s="16">
        <f>IF(F14="","",F14/F7)</f>
        <v/>
      </c>
      <c r="G13" s="16">
        <f>IF(G14="","",G14/G7)</f>
        <v/>
      </c>
      <c r="H13" s="16">
        <f>IF(H14="","",H14/H7)</f>
        <v/>
      </c>
      <c r="I13" s="16">
        <f>IF(I14="","",I14/I7)</f>
        <v/>
      </c>
      <c r="J13" s="16">
        <f>IF(J14="","",J14/J7)</f>
        <v/>
      </c>
      <c r="K13" s="16">
        <f>IF(K14="","",K14/K7)</f>
        <v/>
      </c>
      <c r="L13" s="16">
        <f>IF(L14="","",L14/L7)</f>
        <v/>
      </c>
      <c r="M13" s="16">
        <f>IF(M14="","",M14/M7)</f>
        <v/>
      </c>
      <c r="N13" s="344" t="n"/>
    </row>
    <row r="14" ht="15.75" customHeight="1">
      <c r="A14" s="9" t="n"/>
      <c r="B14" s="69" t="inlineStr">
        <is>
          <t>EBIT</t>
        </is>
      </c>
      <c r="C14" s="332">
        <f>IF(C7="","",C7-C9-C11)</f>
        <v/>
      </c>
      <c r="D14" s="332">
        <f>IF(D7="","",D7-D9-D11)</f>
        <v/>
      </c>
      <c r="E14" s="332">
        <f>IF(E7="","",E7-E9-E11)</f>
        <v/>
      </c>
      <c r="F14" s="332">
        <f>IF(F7="","",F7-F9-F11)</f>
        <v/>
      </c>
      <c r="G14" s="332">
        <f>IF(G7="","",G7-G9-G11)</f>
        <v/>
      </c>
      <c r="H14" s="332">
        <f>IF(H7="","",H7-H9-H11)</f>
        <v/>
      </c>
      <c r="I14" s="332">
        <f>IF(I7="","",I7-I9-I11)</f>
        <v/>
      </c>
      <c r="J14" s="332">
        <f>IF(J7="","",J7-J9-J11)</f>
        <v/>
      </c>
      <c r="K14" s="332">
        <f>IF(K7="","",K7-K9-K11)</f>
        <v/>
      </c>
      <c r="L14" s="332">
        <f>IF(L7="","",L7-L9-L11)</f>
        <v/>
      </c>
      <c r="M14" s="332">
        <f>IF(M7="","",M7-M9-M11)</f>
        <v/>
      </c>
      <c r="N14" s="344" t="n"/>
    </row>
    <row r="15" ht="15.75" customHeight="1">
      <c r="A15" s="9" t="n"/>
      <c r="B15" s="69" t="inlineStr">
        <is>
          <t>EBIT Growth</t>
        </is>
      </c>
      <c r="C15" s="16">
        <f>IF(D14="","",IF(ABS(C14+D14)=ABS(C14)+ABS(D14),IF(C14&lt;0,-1,1)*(C14-D14)/D14,"Turn"))</f>
        <v/>
      </c>
      <c r="D15" s="16">
        <f>IF(E14="","",IF(ABS(D14+E14)=ABS(D14)+ABS(E14),IF(D14&lt;0,-1,1)*(D14-E14)/E14,"Turn"))</f>
        <v/>
      </c>
      <c r="E15" s="16">
        <f>IF(F14="","",IF(ABS(E14+F14)=ABS(E14)+ABS(F14),IF(E14&lt;0,-1,1)*(E14-F14)/F14,"Turn"))</f>
        <v/>
      </c>
      <c r="F15" s="16">
        <f>IF(G14="","",IF(ABS(F14+G14)=ABS(F14)+ABS(G14),IF(F14&lt;0,-1,1)*(F14-G14)/G14,"Turn"))</f>
        <v/>
      </c>
      <c r="G15" s="16">
        <f>IF(H14="","",IF(ABS(G14+H14)=ABS(G14)+ABS(H14),IF(G14&lt;0,-1,1)*(G14-H14)/H14,"Turn"))</f>
        <v/>
      </c>
      <c r="H15" s="16">
        <f>IF(I14="","",IF(ABS(H14+I14)=ABS(H14)+ABS(I14),IF(H14&lt;0,-1,1)*(H14-I14)/I14,"Turn"))</f>
        <v/>
      </c>
      <c r="I15" s="16">
        <f>IF(J14="","",IF(ABS(I14+J14)=ABS(I14)+ABS(J14),IF(I14&lt;0,-1,1)*(I14-J14)/J14,"Turn"))</f>
        <v/>
      </c>
      <c r="J15" s="16">
        <f>IF(K14="","",IF(ABS(J14+K14)=ABS(J14)+ABS(K14),IF(J14&lt;0,-1,1)*(J14-K14)/K14,"Turn"))</f>
        <v/>
      </c>
      <c r="K15" s="16">
        <f>IF(L14="","",IF(ABS(K14+L14)=ABS(K14)+ABS(L14),IF(K14&lt;0,-1,1)*(K14-L14)/L14,"Turn"))</f>
        <v/>
      </c>
      <c r="L15" s="16">
        <f>IF(M14="","",IF(ABS(L14+M14)=ABS(L14)+ABS(M14),IF(L14&lt;0,-1,1)*(L14-M14)/M14,"Turn"))</f>
        <v/>
      </c>
      <c r="M15" s="16">
        <f>IF(N14="","",IF(ABS(M14+N14)=ABS(M14)+ABS(N14),IF(M14&lt;0,-1,1)*(M14-N14)/N14,"Turn"))</f>
        <v/>
      </c>
      <c r="N15" s="344" t="n"/>
    </row>
    <row r="16" ht="15.75" customHeight="1">
      <c r="A16" s="9" t="n"/>
      <c r="B16" s="69" t="inlineStr">
        <is>
          <t>Estimated NOPAT</t>
        </is>
      </c>
      <c r="C16" s="332">
        <f>IF(C14="","",C14*(1-'FCF Model'!$D$17))</f>
        <v/>
      </c>
      <c r="D16" s="332">
        <f>IF(D14="","",D14*(1-'FCF Model'!$D$17))</f>
        <v/>
      </c>
      <c r="E16" s="332">
        <f>IF(E14="","",E14*(1-'FCF Model'!$D$17))</f>
        <v/>
      </c>
      <c r="F16" s="332">
        <f>IF(F14="","",F14*(1-'FCF Model'!$D$17))</f>
        <v/>
      </c>
      <c r="G16" s="332">
        <f>IF(G14="","",G14*(1-'FCF Model'!$D$17))</f>
        <v/>
      </c>
      <c r="H16" s="332">
        <f>IF(H14="","",H14*(1-'FCF Model'!$D$17))</f>
        <v/>
      </c>
      <c r="I16" s="332">
        <f>IF(I14="","",I14*(1-'FCF Model'!$D$17))</f>
        <v/>
      </c>
      <c r="J16" s="332">
        <f>IF(J14="","",J14*(1-'FCF Model'!$D$17))</f>
        <v/>
      </c>
      <c r="K16" s="332">
        <f>IF(K14="","",K14*(1-'FCF Model'!$D$17))</f>
        <v/>
      </c>
      <c r="L16" s="332">
        <f>IF(L14="","",L14*(1-'FCF Model'!$D$17))</f>
        <v/>
      </c>
      <c r="M16" s="332">
        <f>IF(M14="","",M14*(1-'FCF Model'!$D$17))</f>
        <v/>
      </c>
      <c r="N16" s="344" t="n"/>
    </row>
    <row r="17" ht="15.75" customHeight="1">
      <c r="A17" s="9" t="n"/>
      <c r="B17" s="69" t="inlineStr">
        <is>
          <t>Interest Expense</t>
        </is>
      </c>
      <c r="C17" s="299" t="n">
        <v>365</v>
      </c>
      <c r="D17" s="299" t="n">
        <v>116</v>
      </c>
      <c r="E17" s="299" t="n">
        <v>64</v>
      </c>
      <c r="F17" s="299" t="n">
        <v>0</v>
      </c>
      <c r="G17" s="299" t="n">
        <v>0</v>
      </c>
      <c r="H17" s="299" t="n"/>
      <c r="I17" s="299" t="n"/>
      <c r="J17" s="299" t="n"/>
      <c r="K17" s="299" t="n"/>
      <c r="L17" s="299" t="n"/>
      <c r="M17" s="299" t="n"/>
      <c r="N17" s="344" t="n"/>
    </row>
    <row r="18" ht="15.75" customHeight="1">
      <c r="A18" s="9" t="n"/>
      <c r="B18" s="69" t="inlineStr">
        <is>
          <t>owner's NI</t>
        </is>
      </c>
      <c r="C18" s="299" t="n">
        <v>303821</v>
      </c>
      <c r="D18" s="299" t="n">
        <v>301912</v>
      </c>
      <c r="E18" s="299" t="n">
        <v>250964</v>
      </c>
      <c r="F18" s="299" t="n">
        <v>205448</v>
      </c>
      <c r="G18" s="299" t="n">
        <v>195363</v>
      </c>
      <c r="H18" s="299" t="n"/>
      <c r="I18" s="299" t="n"/>
      <c r="J18" s="299" t="n"/>
      <c r="K18" s="299" t="n"/>
      <c r="L18" s="299" t="n"/>
      <c r="M18" s="299" t="n"/>
      <c r="N18" s="344" t="n"/>
    </row>
    <row r="19" ht="15.75" customHeight="1">
      <c r="A19" s="9" t="n"/>
      <c r="B19" s="69" t="inlineStr">
        <is>
          <t>Net Profit Margin</t>
        </is>
      </c>
      <c r="C19" s="16">
        <f>IF(C7="","",C18/C7)</f>
        <v/>
      </c>
      <c r="D19" s="16">
        <f>IF(D7="","",D18/D7)</f>
        <v/>
      </c>
      <c r="E19" s="16">
        <f>IF(E7="","",E18/E7)</f>
        <v/>
      </c>
      <c r="F19" s="16">
        <f>IF(F7="","",F18/F7)</f>
        <v/>
      </c>
      <c r="G19" s="16">
        <f>IF(G7="","",G18/G7)</f>
        <v/>
      </c>
      <c r="H19" s="16">
        <f>IF(H7="","",H18/H7)</f>
        <v/>
      </c>
      <c r="I19" s="16">
        <f>IF(I7="","",I18/I7)</f>
        <v/>
      </c>
      <c r="J19" s="16">
        <f>IF(J7="","",J18/J7)</f>
        <v/>
      </c>
      <c r="K19" s="16">
        <f>IF(K7="","",K18/K7)</f>
        <v/>
      </c>
      <c r="L19" s="16">
        <f>IF(L7="","",L18/L7)</f>
        <v/>
      </c>
      <c r="M19" s="16">
        <f>IF(M7="","",M18/M7)</f>
        <v/>
      </c>
      <c r="N19" s="344" t="n"/>
    </row>
    <row r="20" ht="15.75" customHeight="1">
      <c r="A20" s="9" t="n"/>
      <c r="B20" s="69" t="inlineStr">
        <is>
          <t>Current Asset</t>
        </is>
      </c>
      <c r="C20" s="70">
        <f>'Asset Model'!C21</f>
        <v/>
      </c>
      <c r="D20" s="299" t="n">
        <v>3296593</v>
      </c>
      <c r="E20" s="299" t="n">
        <v>2995218</v>
      </c>
      <c r="F20" s="299" t="n">
        <v>2922746</v>
      </c>
      <c r="G20" s="299" t="n">
        <v>2928529</v>
      </c>
      <c r="H20" s="299" t="n"/>
      <c r="I20" s="299" t="n"/>
      <c r="J20" s="299" t="n"/>
      <c r="K20" s="299" t="n"/>
      <c r="L20" s="299" t="n"/>
      <c r="M20" s="299" t="n"/>
      <c r="N20" s="344" t="n"/>
    </row>
    <row r="21" ht="15.75" customHeight="1">
      <c r="A21" s="9" t="n"/>
      <c r="B21" s="69" t="inlineStr">
        <is>
          <t>Current Liabilities</t>
        </is>
      </c>
      <c r="C21" s="70">
        <f>'Asset Model'!H21</f>
        <v/>
      </c>
      <c r="D21" s="299" t="n">
        <v>1065331</v>
      </c>
      <c r="E21" s="299" t="n">
        <v>859227</v>
      </c>
      <c r="F21" s="299" t="n">
        <v>796096</v>
      </c>
      <c r="G21" s="299" t="n">
        <v>856948</v>
      </c>
      <c r="H21" s="299" t="n"/>
      <c r="I21" s="299" t="n"/>
      <c r="J21" s="299" t="n"/>
      <c r="K21" s="299" t="n"/>
      <c r="L21" s="299" t="n"/>
      <c r="M21" s="299" t="n"/>
      <c r="N21" s="344" t="n"/>
    </row>
    <row r="22" ht="15.75" customHeight="1">
      <c r="A22" s="9" t="n"/>
      <c r="B22" s="69" t="inlineStr">
        <is>
          <t>ST Interest-bearing Debt</t>
        </is>
      </c>
      <c r="C22" s="70">
        <f>'Asset Model'!H10+'Asset Model'!H12</f>
        <v/>
      </c>
      <c r="D22" s="299" t="n">
        <v>7278</v>
      </c>
      <c r="E22" s="299" t="n">
        <v>1660</v>
      </c>
      <c r="F22" s="299" t="n">
        <v>0</v>
      </c>
      <c r="G22" s="299" t="n">
        <v>0</v>
      </c>
      <c r="H22" s="299" t="n"/>
      <c r="I22" s="299" t="n"/>
      <c r="J22" s="299" t="n"/>
      <c r="K22" s="299" t="n"/>
      <c r="L22" s="299" t="n"/>
      <c r="M22" s="299" t="n"/>
      <c r="N22" s="344" t="n"/>
    </row>
    <row r="23" ht="15.75" customHeight="1">
      <c r="A23" s="9" t="n"/>
      <c r="B23" s="69" t="inlineStr">
        <is>
          <t>LT Interest-bearing Debt</t>
        </is>
      </c>
      <c r="C23" s="70">
        <f>'Asset Model'!H23+'Asset Model'!H24</f>
        <v/>
      </c>
      <c r="D23" s="299" t="n">
        <v>9396</v>
      </c>
      <c r="E23" s="299" t="n">
        <v>131</v>
      </c>
      <c r="F23" s="299" t="n">
        <v>0</v>
      </c>
      <c r="G23" s="299" t="n">
        <v>0</v>
      </c>
      <c r="H23" s="299" t="n"/>
      <c r="I23" s="299" t="n"/>
      <c r="J23" s="299" t="n"/>
      <c r="K23" s="299" t="n"/>
      <c r="L23" s="299" t="n"/>
      <c r="M23" s="299" t="n"/>
      <c r="N23" s="344" t="n"/>
    </row>
    <row r="24" ht="15.75" customHeight="1">
      <c r="A24" s="9" t="n"/>
      <c r="B24" s="69" t="inlineStr">
        <is>
          <t>Interest-bearing Debt</t>
        </is>
      </c>
      <c r="C24" s="332">
        <f>IF(C7="","",C22+C23)</f>
        <v/>
      </c>
      <c r="D24" s="332">
        <f>IF(D7="","",D22+D23)</f>
        <v/>
      </c>
      <c r="E24" s="332">
        <f>IF(E7="","",E22+E23)</f>
        <v/>
      </c>
      <c r="F24" s="332">
        <f>IF(F7="","",F22+F23)</f>
        <v/>
      </c>
      <c r="G24" s="332">
        <f>IF(G7="","",G22+G23)</f>
        <v/>
      </c>
      <c r="H24" s="332">
        <f>IF(H7="","",H22+H23)</f>
        <v/>
      </c>
      <c r="I24" s="332">
        <f>IF(I7="","",I22+I23)</f>
        <v/>
      </c>
      <c r="J24" s="332">
        <f>IF(J7="","",J22+J23)</f>
        <v/>
      </c>
      <c r="K24" s="332">
        <f>IF(K7="","",K22+K23)</f>
        <v/>
      </c>
      <c r="L24" s="332">
        <f>IF(L7="","",L22+L23)</f>
        <v/>
      </c>
      <c r="M24" s="332">
        <f>IF(M7="","",M22+M23)</f>
        <v/>
      </c>
      <c r="N24" s="344" t="n"/>
    </row>
    <row r="25" ht="15.75" customHeight="1">
      <c r="A25" s="9" t="n"/>
      <c r="B25" s="69" t="inlineStr">
        <is>
          <t>Total Equity</t>
        </is>
      </c>
      <c r="C25" s="70">
        <f>'Asset Model'!D3</f>
        <v/>
      </c>
      <c r="D25" s="299" t="n">
        <v>4043183</v>
      </c>
      <c r="E25" s="299" t="n">
        <v>3712318</v>
      </c>
      <c r="F25" s="299" t="n">
        <v>3595173</v>
      </c>
      <c r="G25" s="299" t="n">
        <v>3551074</v>
      </c>
      <c r="H25" s="299" t="n"/>
      <c r="I25" s="299" t="n"/>
      <c r="J25" s="299" t="n"/>
      <c r="K25" s="299" t="n"/>
      <c r="L25" s="299" t="n"/>
      <c r="M25" s="299" t="n"/>
      <c r="N25" s="344" t="n"/>
    </row>
    <row r="26" ht="15.75" customHeight="1">
      <c r="A26" s="9" t="n"/>
      <c r="B26" s="69" t="inlineStr">
        <is>
          <t>BV of Minority interests</t>
        </is>
      </c>
      <c r="C26" s="70">
        <f>'Asset Model'!C43</f>
        <v/>
      </c>
      <c r="D26" s="299" t="n">
        <v>147504</v>
      </c>
      <c r="E26" s="299" t="n">
        <v>122753</v>
      </c>
      <c r="F26" s="299" t="n">
        <v>114637</v>
      </c>
      <c r="G26" s="299" t="n">
        <v>111878</v>
      </c>
      <c r="H26" s="299" t="n"/>
      <c r="I26" s="299" t="n"/>
      <c r="J26" s="299" t="n"/>
      <c r="K26" s="299" t="n"/>
      <c r="L26" s="299" t="n"/>
      <c r="M26" s="299" t="n"/>
      <c r="N26" s="344" t="n"/>
    </row>
    <row r="27" ht="15.75" customHeight="1">
      <c r="A27" s="9" t="n"/>
      <c r="B27" s="69" t="inlineStr">
        <is>
          <t>Cash &amp; Cash Equivalents</t>
        </is>
      </c>
      <c r="C27" s="70">
        <f>'Asset Model'!D52</f>
        <v/>
      </c>
      <c r="D27" s="299" t="n">
        <v>1607247</v>
      </c>
      <c r="E27" s="299" t="n">
        <v>1505261</v>
      </c>
      <c r="F27" s="299" t="n">
        <v>1384707</v>
      </c>
      <c r="G27" s="299" t="n">
        <v>1693459</v>
      </c>
      <c r="H27" s="299" t="n"/>
      <c r="I27" s="299" t="n"/>
      <c r="J27" s="299" t="n"/>
      <c r="K27" s="299" t="n"/>
      <c r="L27" s="299" t="n"/>
      <c r="M27" s="299" t="n"/>
      <c r="N27" s="344" t="n"/>
    </row>
    <row r="28" ht="15.75" customHeight="1">
      <c r="A28" s="9" t="n"/>
      <c r="B28" s="69" t="inlineStr">
        <is>
          <t>Net PP&amp;E</t>
        </is>
      </c>
      <c r="C28" s="70">
        <f>'Asset Model'!C23+'Asset Model'!C24+'Asset Model'!C27</f>
        <v/>
      </c>
      <c r="D28" s="299" t="n">
        <v>1704401</v>
      </c>
      <c r="E28" s="299" t="n">
        <v>1517342</v>
      </c>
      <c r="F28" s="299" t="n">
        <v>1400067</v>
      </c>
      <c r="G28" s="299">
        <f>1295386</f>
        <v/>
      </c>
      <c r="H28" s="299" t="n"/>
      <c r="I28" s="299" t="n"/>
      <c r="J28" s="299" t="n"/>
      <c r="K28" s="299" t="n"/>
      <c r="L28" s="299" t="n"/>
      <c r="M28" s="299" t="n"/>
      <c r="N28" s="344" t="n"/>
    </row>
    <row r="29" ht="15.75" customHeight="1">
      <c r="A29" s="9" t="n"/>
      <c r="B29" s="69" t="inlineStr">
        <is>
          <t>Δ PP&amp;E/PP&amp;E</t>
        </is>
      </c>
      <c r="C29" s="16">
        <f>IF(D7="","",(C28-D28)/C28)</f>
        <v/>
      </c>
      <c r="D29" s="16">
        <f>IF(E7="","",(D28-E28)/D28)</f>
        <v/>
      </c>
      <c r="E29" s="16">
        <f>IF(F7="","",(E28-F28)/E28)</f>
        <v/>
      </c>
      <c r="F29" s="16">
        <f>IF(G7="","",(F28-G28)/F28)</f>
        <v/>
      </c>
      <c r="G29" s="16">
        <f>IF(H7="","",(G28-H28)/G28)</f>
        <v/>
      </c>
      <c r="H29" s="16">
        <f>IF(I7="","",(H28-I28)/H28)</f>
        <v/>
      </c>
      <c r="I29" s="16">
        <f>IF(J7="","",(I28-J28)/I28)</f>
        <v/>
      </c>
      <c r="J29" s="16">
        <f>IF(K7="","",(J28-K28)/J28)</f>
        <v/>
      </c>
      <c r="K29" s="16">
        <f>IF(L7="","",(K28-L28)/K28)</f>
        <v/>
      </c>
      <c r="L29" s="16">
        <f>IF(M7="","",(L28-M28)/L28)</f>
        <v/>
      </c>
      <c r="M29" s="16">
        <f>IF(N7="","",(M28-N28)/M28)</f>
        <v/>
      </c>
      <c r="N29" s="344" t="n"/>
    </row>
    <row r="30" ht="15.75" customHeight="1">
      <c r="A30" s="9" t="n"/>
      <c r="B30" s="69" t="inlineStr">
        <is>
          <t>Estimated WCInv</t>
        </is>
      </c>
      <c r="C30" s="332">
        <f>IF(D7="","",(C7-D7)*$D$49)</f>
        <v/>
      </c>
      <c r="D30" s="332">
        <f>IF(E7="","",(D7-E7)*$D$49)</f>
        <v/>
      </c>
      <c r="E30" s="332">
        <f>IF(F7="","",(E7-F7)*$D$49)</f>
        <v/>
      </c>
      <c r="F30" s="332">
        <f>IF(G7="","",(F7-G7)*$D$49)</f>
        <v/>
      </c>
      <c r="G30" s="332">
        <f>IF(H7="","",(G7-H7)*$D$49)</f>
        <v/>
      </c>
      <c r="H30" s="332">
        <f>IF(I7="","",(H7-I7)*$D$49)</f>
        <v/>
      </c>
      <c r="I30" s="332">
        <f>IF(J7="","",(I7-J7)*$D$49)</f>
        <v/>
      </c>
      <c r="J30" s="332">
        <f>IF(K7="","",(J7-K7)*$D$49)</f>
        <v/>
      </c>
      <c r="K30" s="332">
        <f>IF(L7="","",(K7-L7)*$D$49)</f>
        <v/>
      </c>
      <c r="L30" s="332">
        <f>IF(M7="","",(L7-M7)*$D$49)</f>
        <v/>
      </c>
      <c r="M30" s="332">
        <f>IF(N7="","",(M7-N7)*$D$49)</f>
        <v/>
      </c>
      <c r="N30" s="344" t="n"/>
    </row>
    <row r="31" ht="15.75" customHeight="1">
      <c r="A31" s="9" t="n"/>
      <c r="B31" s="69" t="inlineStr">
        <is>
          <t>Δ Net PP&amp;E + WCInv</t>
        </is>
      </c>
      <c r="C31" s="332">
        <f>IF(D7="","",C28-D28+C30)</f>
        <v/>
      </c>
      <c r="D31" s="332">
        <f>IF(E7="","",D28-E28+D30)</f>
        <v/>
      </c>
      <c r="E31" s="332">
        <f>IF(F7="","",E28-F28+E30)</f>
        <v/>
      </c>
      <c r="F31" s="332">
        <f>IF(G7="","",F28-G28+F30)</f>
        <v/>
      </c>
      <c r="G31" s="332">
        <f>IF(H7="","",G28-H28+G30)</f>
        <v/>
      </c>
      <c r="H31" s="332">
        <f>IF(I7="","",H28-I28+H30)</f>
        <v/>
      </c>
      <c r="I31" s="332">
        <f>IF(J7="","",I28-J28+I30)</f>
        <v/>
      </c>
      <c r="J31" s="332">
        <f>IF(K7="","",J28-K28+J30)</f>
        <v/>
      </c>
      <c r="K31" s="332">
        <f>IF(L7="","",K28-L28+K30)</f>
        <v/>
      </c>
      <c r="L31" s="332">
        <f>IF(M7="","",L28-M28+L30)</f>
        <v/>
      </c>
      <c r="M31" s="332">
        <f>IF(N7="","",M28-N28+M30)</f>
        <v/>
      </c>
      <c r="N31" s="344" t="n"/>
    </row>
    <row r="32" ht="15.75" customHeight="1">
      <c r="A32" s="9" t="n"/>
      <c r="B32" s="69" t="inlineStr">
        <is>
          <t>Reinvestment/NOPAT</t>
        </is>
      </c>
      <c r="C32" s="16">
        <f>IF(C31="","",C31/C16)</f>
        <v/>
      </c>
      <c r="D32" s="16">
        <f>IF(D31="","",D31/D16)</f>
        <v/>
      </c>
      <c r="E32" s="16">
        <f>IF(E31="","",E31/E16)</f>
        <v/>
      </c>
      <c r="F32" s="16">
        <f>IF(F31="","",F31/F16)</f>
        <v/>
      </c>
      <c r="G32" s="16">
        <f>IF(G31="","",G31/G16)</f>
        <v/>
      </c>
      <c r="H32" s="16">
        <f>IF(H31="","",H31/H16)</f>
        <v/>
      </c>
      <c r="I32" s="16">
        <f>IF(I31="","",I31/I16)</f>
        <v/>
      </c>
      <c r="J32" s="16">
        <f>IF(J31="","",J31/J16)</f>
        <v/>
      </c>
      <c r="K32" s="16">
        <f>IF(K31="","",K31/K16)</f>
        <v/>
      </c>
      <c r="L32" s="16">
        <f>IF(L31="","",L31/L16)</f>
        <v/>
      </c>
      <c r="M32" s="16">
        <f>IF(M31="","",M31/M16)</f>
        <v/>
      </c>
      <c r="N32" s="344" t="n"/>
    </row>
    <row r="33" ht="15.75" customHeight="1">
      <c r="A33" s="9" t="n"/>
      <c r="B33" s="71" t="inlineStr">
        <is>
          <t>Capital Employed</t>
        </is>
      </c>
      <c r="C33" s="72">
        <f>IF(C25="","",C25-C27+C24)</f>
        <v/>
      </c>
      <c r="D33" s="72">
        <f>IF(D25="","",D25-D27+D24)</f>
        <v/>
      </c>
      <c r="E33" s="72">
        <f>IF(E25="","",E25-E27+E24)</f>
        <v/>
      </c>
      <c r="F33" s="72">
        <f>IF(F25="","",F25-F27+F24)</f>
        <v/>
      </c>
      <c r="G33" s="72">
        <f>IF(G25="","",G25-G27+G24)</f>
        <v/>
      </c>
      <c r="H33" s="72">
        <f>IF(H25="","",H25-H27+H24)</f>
        <v/>
      </c>
      <c r="I33" s="72">
        <f>IF(I25="","",I25-I27+I24)</f>
        <v/>
      </c>
      <c r="J33" s="72">
        <f>IF(J25="","",J25-J27+J24)</f>
        <v/>
      </c>
      <c r="K33" s="72">
        <f>IF(K25="","",K25-K27+K24)</f>
        <v/>
      </c>
      <c r="L33" s="72">
        <f>IF(L25="","",L25-L27+L24)</f>
        <v/>
      </c>
      <c r="M33" s="72">
        <f>IF(M25="","",M25-M27+M24)</f>
        <v/>
      </c>
      <c r="N33" s="344" t="n"/>
    </row>
    <row r="34" ht="15.75" customHeight="1">
      <c r="A34" s="9" t="n"/>
      <c r="B34" s="73" t="inlineStr">
        <is>
          <t>Price Yield</t>
        </is>
      </c>
      <c r="C34" s="344" t="n"/>
      <c r="D34" s="344" t="n"/>
      <c r="E34" s="344" t="n"/>
      <c r="F34" s="344" t="n"/>
      <c r="G34" s="344" t="n"/>
      <c r="H34" s="344" t="n"/>
      <c r="I34" s="344" t="n"/>
      <c r="J34" s="344" t="n"/>
      <c r="K34" s="344" t="n"/>
      <c r="L34" s="344" t="n"/>
      <c r="M34" s="344" t="n"/>
    </row>
    <row r="35" ht="15.75" customHeight="1">
      <c r="A35" s="9" t="n"/>
      <c r="B35" s="68" t="inlineStr">
        <is>
          <t>NOPAT Yield</t>
        </is>
      </c>
      <c r="C35" s="74">
        <f>IF(C16="","",(C16*$C$4)/(Dashboard!$H$6*1000000))</f>
        <v/>
      </c>
      <c r="D35" s="74">
        <f>IF(D16="","",(D16*$C$4)/(Dashboard!$H$6*1000000))</f>
        <v/>
      </c>
      <c r="E35" s="74">
        <f>IF(E16="","",(E16*$C$4)/(Dashboard!$H$6*1000000))</f>
        <v/>
      </c>
      <c r="F35" s="74">
        <f>IF(F16="","",(F16*$C$4)/(Dashboard!$H$6*1000000))</f>
        <v/>
      </c>
      <c r="G35" s="74">
        <f>IF(G16="","",(G16*$C$4)/(Dashboard!$H$6*1000000))</f>
        <v/>
      </c>
      <c r="H35" s="74">
        <f>IF(H16="","",(H16*$C$4)/(Dashboard!$H$6*1000000))</f>
        <v/>
      </c>
      <c r="I35" s="74">
        <f>IF(I16="","",(I16*$C$4)/(Dashboard!$H$6*1000000))</f>
        <v/>
      </c>
      <c r="J35" s="74">
        <f>IF(J16="","",(J16*$C$4)/(Dashboard!$H$6*1000000))</f>
        <v/>
      </c>
      <c r="K35" s="74">
        <f>IF(K16="","",(K16*$C$4)/(Dashboard!$H$6*1000000))</f>
        <v/>
      </c>
      <c r="L35" s="74">
        <f>IF(L16="","",(L16*$C$4)/(Dashboard!$H$6*1000000))</f>
        <v/>
      </c>
      <c r="M35" s="74">
        <f>IF(M16="","",(M16*$C$4)/(Dashboard!$H$6*1000000))</f>
        <v/>
      </c>
      <c r="N35" s="344" t="n"/>
    </row>
    <row r="36" ht="15.75" customHeight="1">
      <c r="A36" s="9" t="n"/>
      <c r="B36" s="71" t="inlineStr">
        <is>
          <t>Earnings Yield</t>
        </is>
      </c>
      <c r="C36" s="75">
        <f>IF(C18="","",(C18*$C$4)/(Dashboard!$H$6*1000000))</f>
        <v/>
      </c>
      <c r="D36" s="75">
        <f>IF(D18="","",(D18*$C$4)/(Dashboard!$H$6*1000000))</f>
        <v/>
      </c>
      <c r="E36" s="75">
        <f>IF(E18="","",(E18*$C$4)/(Dashboard!$H$6*1000000))</f>
        <v/>
      </c>
      <c r="F36" s="75">
        <f>IF(F18="","",(F18*$C$4)/(Dashboard!$H$6*1000000))</f>
        <v/>
      </c>
      <c r="G36" s="75">
        <f>IF(G18="","",(G18*$C$4)/(Dashboard!$H$6*1000000))</f>
        <v/>
      </c>
      <c r="H36" s="75">
        <f>IF(H18="","",(H18*$C$4)/(Dashboard!$H$6*1000000))</f>
        <v/>
      </c>
      <c r="I36" s="75">
        <f>IF(I18="","",(I18*$C$4)/(Dashboard!$H$6*1000000))</f>
        <v/>
      </c>
      <c r="J36" s="75">
        <f>IF(J18="","",(J18*$C$4)/(Dashboard!$H$6*1000000))</f>
        <v/>
      </c>
      <c r="K36" s="75">
        <f>IF(K18="","",(K18*$C$4)/(Dashboard!$H$6*1000000))</f>
        <v/>
      </c>
      <c r="L36" s="75">
        <f>IF(L18="","",(L18*$C$4)/(Dashboard!$H$6*1000000))</f>
        <v/>
      </c>
      <c r="M36" s="75">
        <f>IF(M18="","",(M18*$C$4)/(Dashboard!$H$6*1000000))</f>
        <v/>
      </c>
      <c r="N36" s="344" t="n"/>
    </row>
    <row r="37" ht="15.75" customHeight="1">
      <c r="A37" s="9" t="n"/>
      <c r="B37" s="349" t="inlineStr">
        <is>
          <t>Modified Dupont Analysis</t>
        </is>
      </c>
      <c r="C37" s="344" t="n"/>
      <c r="D37" s="344" t="n"/>
      <c r="E37" s="344" t="n"/>
      <c r="F37" s="344" t="n"/>
      <c r="G37" s="344" t="n"/>
      <c r="H37" s="344" t="n"/>
      <c r="I37" s="344" t="n"/>
      <c r="J37" s="344" t="n"/>
      <c r="K37" s="344" t="n"/>
      <c r="L37" s="344" t="n"/>
      <c r="M37" s="344" t="n"/>
    </row>
    <row r="38" ht="15.75" customHeight="1">
      <c r="A38" s="9" t="n"/>
      <c r="B38" s="68" t="inlineStr">
        <is>
          <t>NOPAT Margin</t>
        </is>
      </c>
      <c r="C38" s="74">
        <f>IF(C7="","",C16/C7)</f>
        <v/>
      </c>
      <c r="D38" s="74">
        <f>IF(D7="","",D16/D7)</f>
        <v/>
      </c>
      <c r="E38" s="74">
        <f>IF(E7="","",E16/E7)</f>
        <v/>
      </c>
      <c r="F38" s="74">
        <f>IF(F7="","",F16/F7)</f>
        <v/>
      </c>
      <c r="G38" s="74">
        <f>IF(G7="","",G16/G7)</f>
        <v/>
      </c>
      <c r="H38" s="74">
        <f>IF(H7="","",H16/H7)</f>
        <v/>
      </c>
      <c r="I38" s="74">
        <f>IF(I7="","",I16/I7)</f>
        <v/>
      </c>
      <c r="J38" s="74">
        <f>IF(J7="","",J16/J7)</f>
        <v/>
      </c>
      <c r="K38" s="74">
        <f>IF(K7="","",K16/K7)</f>
        <v/>
      </c>
      <c r="L38" s="74">
        <f>IF(L7="","",L16/L7)</f>
        <v/>
      </c>
      <c r="M38" s="74">
        <f>IF(M7="","",M16/M7)</f>
        <v/>
      </c>
      <c r="N38" s="344" t="n"/>
    </row>
    <row r="39" ht="15.75" customHeight="1">
      <c r="A39" s="9" t="n"/>
      <c r="B39" s="69" t="inlineStr">
        <is>
          <t>Capital Turnover Ratio</t>
        </is>
      </c>
      <c r="C39" s="76">
        <f>IF(D33="","",C7/D33)</f>
        <v/>
      </c>
      <c r="D39" s="76">
        <f>IF(E33="","",D7/E33)</f>
        <v/>
      </c>
      <c r="E39" s="76">
        <f>IF(F33="","",E7/F33)</f>
        <v/>
      </c>
      <c r="F39" s="76">
        <f>IF(G33="","",F7/G33)</f>
        <v/>
      </c>
      <c r="G39" s="76">
        <f>IF(H33="","",G7/H33)</f>
        <v/>
      </c>
      <c r="H39" s="76">
        <f>IF(I33="","",H7/I33)</f>
        <v/>
      </c>
      <c r="I39" s="76">
        <f>IF(J33="","",I7/J33)</f>
        <v/>
      </c>
      <c r="J39" s="76">
        <f>IF(K33="","",J7/K33)</f>
        <v/>
      </c>
      <c r="K39" s="76">
        <f>IF(L33="","",K7/L33)</f>
        <v/>
      </c>
      <c r="L39" s="76">
        <f>IF(M33="","",L7/M33)</f>
        <v/>
      </c>
      <c r="M39" s="77" t="n"/>
      <c r="N39" s="344" t="n"/>
    </row>
    <row r="40" ht="15.75" customHeight="1">
      <c r="A40" s="9" t="n"/>
      <c r="B40" s="71" t="inlineStr">
        <is>
          <t>NOPAT/Capital Employed</t>
        </is>
      </c>
      <c r="C40" s="75">
        <f>IF(D33="","",C16/D33)</f>
        <v/>
      </c>
      <c r="D40" s="75">
        <f>IF(E33="","",D16/E33)</f>
        <v/>
      </c>
      <c r="E40" s="75">
        <f>IF(F33="","",E16/F33)</f>
        <v/>
      </c>
      <c r="F40" s="75">
        <f>IF(G33="","",F16/G33)</f>
        <v/>
      </c>
      <c r="G40" s="75">
        <f>IF(H33="","",G16/H33)</f>
        <v/>
      </c>
      <c r="H40" s="75">
        <f>IF(I33="","",H16/I33)</f>
        <v/>
      </c>
      <c r="I40" s="75">
        <f>IF(J33="","",I16/J33)</f>
        <v/>
      </c>
      <c r="J40" s="75">
        <f>IF(K33="","",J16/K33)</f>
        <v/>
      </c>
      <c r="K40" s="75">
        <f>IF(L33="","",K16/L33)</f>
        <v/>
      </c>
      <c r="L40" s="75">
        <f>IF(M33="","",L16/M33)</f>
        <v/>
      </c>
      <c r="M40" s="78" t="n"/>
      <c r="N40" s="344" t="n"/>
    </row>
    <row r="41" ht="15.75" customHeight="1">
      <c r="A41" s="9" t="n"/>
      <c r="B41" s="349" t="inlineStr">
        <is>
          <t>Financial Leverage</t>
        </is>
      </c>
      <c r="C41" s="344" t="n"/>
      <c r="D41" s="344" t="n"/>
      <c r="E41" s="344" t="n"/>
      <c r="F41" s="344" t="n"/>
      <c r="G41" s="344" t="n"/>
      <c r="H41" s="344" t="n"/>
      <c r="I41" s="344" t="n"/>
      <c r="J41" s="344" t="n"/>
      <c r="K41" s="344" t="n"/>
      <c r="L41" s="344" t="n"/>
      <c r="M41" s="344" t="n"/>
    </row>
    <row r="42" ht="15.75" customHeight="1">
      <c r="A42" s="9" t="n"/>
      <c r="B42" s="68" t="inlineStr">
        <is>
          <t>Long-term Debt / Equity</t>
        </is>
      </c>
      <c r="C42" s="74">
        <f>IF(C33="","",C23/C25)</f>
        <v/>
      </c>
      <c r="D42" s="74">
        <f>IF(D33="","",D23/D25)</f>
        <v/>
      </c>
      <c r="E42" s="74">
        <f>IF(E33="","",E23/E25)</f>
        <v/>
      </c>
      <c r="F42" s="74">
        <f>IF(F33="","",F23/F25)</f>
        <v/>
      </c>
      <c r="G42" s="74">
        <f>IF(G33="","",G23/G25)</f>
        <v/>
      </c>
      <c r="H42" s="74">
        <f>IF(H33="","",H23/H25)</f>
        <v/>
      </c>
      <c r="I42" s="74">
        <f>IF(I33="","",I23/I25)</f>
        <v/>
      </c>
      <c r="J42" s="74">
        <f>IF(J33="","",J23/J25)</f>
        <v/>
      </c>
      <c r="K42" s="74">
        <f>IF(K33="","",K23/K25)</f>
        <v/>
      </c>
      <c r="L42" s="74">
        <f>IF(L33="","",L23/L25)</f>
        <v/>
      </c>
      <c r="M42" s="74">
        <f>IF(M33="","",M23/M25)</f>
        <v/>
      </c>
      <c r="N42" s="344" t="n"/>
    </row>
    <row r="43" ht="15.75" customHeight="1">
      <c r="A43" s="9" t="n"/>
      <c r="B43" s="69" t="inlineStr">
        <is>
          <t>Total Debt / Equity</t>
        </is>
      </c>
      <c r="C43" s="16">
        <f>IF(C33="","",C24/C25)</f>
        <v/>
      </c>
      <c r="D43" s="16">
        <f>IF(D33="","",D24/D25)</f>
        <v/>
      </c>
      <c r="E43" s="16">
        <f>IF(E33="","",E24/E25)</f>
        <v/>
      </c>
      <c r="F43" s="16">
        <f>IF(F33="","",F24/F25)</f>
        <v/>
      </c>
      <c r="G43" s="16">
        <f>IF(G33="","",G24/G25)</f>
        <v/>
      </c>
      <c r="H43" s="16">
        <f>IF(H33="","",H24/H25)</f>
        <v/>
      </c>
      <c r="I43" s="16">
        <f>IF(I33="","",I24/I25)</f>
        <v/>
      </c>
      <c r="J43" s="16">
        <f>IF(J33="","",J24/J25)</f>
        <v/>
      </c>
      <c r="K43" s="16">
        <f>IF(K33="","",K24/K25)</f>
        <v/>
      </c>
      <c r="L43" s="16">
        <f>IF(L33="","",L24/L25)</f>
        <v/>
      </c>
      <c r="M43" s="16">
        <f>IF(M33="","",M24/M25)</f>
        <v/>
      </c>
      <c r="N43" s="344" t="n"/>
    </row>
    <row r="44" ht="15.75" customHeight="1">
      <c r="A44" s="9" t="n"/>
      <c r="B44" s="69" t="inlineStr">
        <is>
          <t>EBIT / Total Debt</t>
        </is>
      </c>
      <c r="C44" s="396">
        <f>IF(C33="","",IF(C24&lt;=0,"-",C14/C24))</f>
        <v/>
      </c>
      <c r="D44" s="396">
        <f>IF(D33="","",IF(D24&lt;=0,"-",D14/D24))</f>
        <v/>
      </c>
      <c r="E44" s="396">
        <f>IF(E33="","",IF(E24&lt;=0,"-",E14/E24))</f>
        <v/>
      </c>
      <c r="F44" s="396">
        <f>IF(F33="","",IF(F24&lt;=0,"-",F14/F24))</f>
        <v/>
      </c>
      <c r="G44" s="396">
        <f>IF(G33="","",IF(G24&lt;=0,"-",G14/G24))</f>
        <v/>
      </c>
      <c r="H44" s="396">
        <f>IF(H33="","",IF(H24&lt;=0,"-",H14/H24))</f>
        <v/>
      </c>
      <c r="I44" s="396">
        <f>IF(I33="","",IF(I24&lt;=0,"-",I14/I24))</f>
        <v/>
      </c>
      <c r="J44" s="396">
        <f>IF(J33="","",IF(J24&lt;=0,"-",J14/J24))</f>
        <v/>
      </c>
      <c r="K44" s="396">
        <f>IF(K33="","",IF(K24&lt;=0,"-",K14/K24))</f>
        <v/>
      </c>
      <c r="L44" s="396">
        <f>IF(L33="","",IF(L24&lt;=0,"-",L14/L24))</f>
        <v/>
      </c>
      <c r="M44" s="396">
        <f>IF(M33="","",IF(M24&lt;=0,"-",M14/M24))</f>
        <v/>
      </c>
      <c r="N44" s="344" t="n"/>
    </row>
    <row r="45" ht="15.75" customHeight="1">
      <c r="A45" s="9" t="n"/>
      <c r="B45" s="69" t="inlineStr">
        <is>
          <t>Interes Expense / EBIT</t>
        </is>
      </c>
      <c r="C45" s="396">
        <f>IF(C31="","",IF(C17&lt;=0,"-",C17/C16))</f>
        <v/>
      </c>
      <c r="D45" s="396">
        <f>IF(D31="","",IF(D17&lt;=0,"-",D17/D16))</f>
        <v/>
      </c>
      <c r="E45" s="396">
        <f>IF(E31="","",IF(E17&lt;=0,"-",E17/E16))</f>
        <v/>
      </c>
      <c r="F45" s="396">
        <f>IF(F31="","",IF(F17&lt;=0,"-",F17/F16))</f>
        <v/>
      </c>
      <c r="G45" s="396">
        <f>IF(G31="","",IF(G17&lt;=0,"-",G17/G16))</f>
        <v/>
      </c>
      <c r="H45" s="396">
        <f>IF(H31="","",IF(H17&lt;=0,"-",H17/H16))</f>
        <v/>
      </c>
      <c r="I45" s="396">
        <f>IF(I31="","",IF(I17&lt;=0,"-",I17/I16))</f>
        <v/>
      </c>
      <c r="J45" s="396">
        <f>IF(J31="","",IF(J17&lt;=0,"-",J17/J16))</f>
        <v/>
      </c>
      <c r="K45" s="396">
        <f>IF(K31="","",IF(K17&lt;=0,"-",K17/K16))</f>
        <v/>
      </c>
      <c r="L45" s="396">
        <f>IF(L31="","",IF(L17&lt;=0,"-",L17/L16))</f>
        <v/>
      </c>
      <c r="M45" s="396">
        <f>IF(M31="","",IF(M17&lt;=0,"-",M17/M16))</f>
        <v/>
      </c>
      <c r="N45" s="344" t="n"/>
    </row>
    <row r="46" ht="15.75" customHeight="1">
      <c r="A46" s="9" t="n"/>
      <c r="B46" s="71" t="inlineStr">
        <is>
          <t>Current Ratio</t>
        </is>
      </c>
      <c r="C46" s="80">
        <f>IF(C33="","",C20/C21)</f>
        <v/>
      </c>
      <c r="D46" s="80">
        <f>IF(D33="","",D20/D21)</f>
        <v/>
      </c>
      <c r="E46" s="80">
        <f>IF(E33="","",E20/E21)</f>
        <v/>
      </c>
      <c r="F46" s="80">
        <f>IF(F33="","",F20/F21)</f>
        <v/>
      </c>
      <c r="G46" s="80">
        <f>IF(G33="","",G20/G21)</f>
        <v/>
      </c>
      <c r="H46" s="80">
        <f>IF(H33="","",H20/H21)</f>
        <v/>
      </c>
      <c r="I46" s="80">
        <f>IF(I33="","",I20/I21)</f>
        <v/>
      </c>
      <c r="J46" s="80">
        <f>IF(J33="","",J20/J21)</f>
        <v/>
      </c>
      <c r="K46" s="80">
        <f>IF(K33="","",K20/K21)</f>
        <v/>
      </c>
      <c r="L46" s="80">
        <f>IF(L33="","",L20/L21)</f>
        <v/>
      </c>
      <c r="M46" s="80">
        <f>IF(M33="","",M20/M21)</f>
        <v/>
      </c>
      <c r="N46" s="344" t="n"/>
    </row>
    <row r="47" ht="15.75" customHeight="1">
      <c r="A47" s="9" t="n"/>
      <c r="C47" s="344" t="n"/>
      <c r="D47" s="344" t="n"/>
      <c r="E47" s="344" t="n"/>
      <c r="F47" s="344" t="n"/>
      <c r="G47" s="344" t="n"/>
      <c r="H47" s="344" t="n"/>
      <c r="I47" s="344" t="n"/>
      <c r="J47" s="344" t="n"/>
      <c r="K47" s="344" t="n"/>
      <c r="L47" s="344" t="n"/>
      <c r="M47" s="344" t="n"/>
    </row>
    <row r="48" ht="15.75" customHeight="1">
      <c r="A48" s="9" t="n"/>
      <c r="B48" s="25" t="inlineStr">
        <is>
          <t>Data Adjustments</t>
        </is>
      </c>
      <c r="C48" s="81" t="n"/>
      <c r="D48" s="81" t="n"/>
      <c r="E48" s="81" t="n"/>
      <c r="F48" s="81" t="n"/>
    </row>
    <row r="49" ht="15.75" customHeight="1">
      <c r="A49" s="9" t="n"/>
      <c r="B49" s="344" t="inlineStr">
        <is>
          <t>Assumed Non-cash WC/ Sales =</t>
        </is>
      </c>
      <c r="C49" s="344" t="n"/>
      <c r="D49" s="340" t="n">
        <v>0.06569999999999999</v>
      </c>
      <c r="E49" s="363" t="n"/>
      <c r="F49" s="344" t="n"/>
    </row>
    <row r="50" ht="15" customHeight="1">
      <c r="A50" s="9" t="n"/>
      <c r="B50" s="82" t="inlineStr">
        <is>
          <t>Capitalize R&amp;D expenses?</t>
        </is>
      </c>
      <c r="C50" s="344" t="n"/>
      <c r="D50" s="335" t="inlineStr">
        <is>
          <t>No</t>
        </is>
      </c>
      <c r="E50" s="363" t="n"/>
      <c r="F50" s="344" t="n"/>
    </row>
    <row r="51" ht="15" customHeight="1">
      <c r="A51" s="9" t="n"/>
      <c r="B51" s="82" t="n"/>
      <c r="D51" s="27" t="n"/>
      <c r="E51" s="27" t="n"/>
    </row>
    <row r="52" ht="15.75" customHeight="1">
      <c r="A52" s="9" t="n"/>
      <c r="B52" s="83" t="inlineStr">
        <is>
          <t>To amortize R&amp;D expenses in</t>
        </is>
      </c>
      <c r="C52" s="84" t="n"/>
      <c r="D52" s="397" t="n">
        <v>5</v>
      </c>
      <c r="E52" s="398" t="n"/>
      <c r="F52" s="85" t="n"/>
    </row>
    <row r="53" ht="15.75" customHeight="1">
      <c r="A53" s="9" t="n"/>
      <c r="B53" s="86" t="inlineStr">
        <is>
          <t>Year</t>
        </is>
      </c>
      <c r="C53" s="338" t="inlineStr">
        <is>
          <t>R&amp;D Expense</t>
        </is>
      </c>
      <c r="D53" s="338" t="inlineStr">
        <is>
          <t>Unamortized portion</t>
        </is>
      </c>
      <c r="F53" s="88" t="inlineStr">
        <is>
          <t>Amortization this yr</t>
        </is>
      </c>
    </row>
    <row r="54" ht="15.75" customHeight="1">
      <c r="A54" s="9" t="n"/>
      <c r="B54" s="89">
        <f>C6</f>
        <v/>
      </c>
      <c r="C54" s="90" t="n"/>
      <c r="D54" s="91">
        <f>1</f>
        <v/>
      </c>
      <c r="E54" s="92">
        <f>C54*D54</f>
        <v/>
      </c>
      <c r="F54" s="93" t="n">
        <v>0</v>
      </c>
    </row>
    <row r="55" ht="15.75" customHeight="1">
      <c r="A55" s="9" t="n"/>
      <c r="B55" s="94">
        <f>IF(D7="","",-1)</f>
        <v/>
      </c>
      <c r="C55" s="90" t="n"/>
      <c r="D55" s="91">
        <f>IF(B55&lt;0,(D$52+B55)/D$52,0)</f>
        <v/>
      </c>
      <c r="E55" s="92">
        <f>C55*D55</f>
        <v/>
      </c>
      <c r="F55" s="93">
        <f>IF(B55&lt;0,C55/$D$52,0)</f>
        <v/>
      </c>
    </row>
    <row r="56" ht="15.75" customHeight="1">
      <c r="A56" s="9" t="n"/>
      <c r="B56" s="94">
        <f>IF((0-B55)&lt;$D$52,IF(B55&gt;-1, ,B55-1), )</f>
        <v/>
      </c>
      <c r="C56" s="90" t="n"/>
      <c r="D56" s="91">
        <f>IF(B56&lt;0,(D$52+B56)/D$52,0)</f>
        <v/>
      </c>
      <c r="E56" s="92">
        <f>C56*D56</f>
        <v/>
      </c>
      <c r="F56" s="93">
        <f>IF(B56&lt;0,C56/$D$52,0)</f>
        <v/>
      </c>
    </row>
    <row r="57" ht="15.75" customHeight="1">
      <c r="A57" s="9" t="n"/>
      <c r="B57" s="94">
        <f>IF((0-B56)&lt;$D$52,IF(B56&gt;-1, ,B56-1), )</f>
        <v/>
      </c>
      <c r="C57" s="90" t="n"/>
      <c r="D57" s="91">
        <f>IF(B57&lt;0,(D$52+B57)/D$52,0)</f>
        <v/>
      </c>
      <c r="E57" s="92">
        <f>C57*D57</f>
        <v/>
      </c>
      <c r="F57" s="93">
        <f>IF(B57&lt;0,C57/$D$52,0)</f>
        <v/>
      </c>
    </row>
    <row r="58" ht="15.75" customHeight="1">
      <c r="A58" s="9" t="n"/>
      <c r="B58" s="94">
        <f>IF((0-B57)&lt;$D$52,IF(B57&gt;-1, ,B57-1), )</f>
        <v/>
      </c>
      <c r="C58" s="90" t="n"/>
      <c r="D58" s="91">
        <f>IF(B58&lt;0,(D$52+B58)/D$52,0)</f>
        <v/>
      </c>
      <c r="E58" s="92">
        <f>C58*D58</f>
        <v/>
      </c>
      <c r="F58" s="93">
        <f>IF(B58&lt;0,C58/$D$52,0)</f>
        <v/>
      </c>
    </row>
    <row r="59" ht="15.75" customHeight="1">
      <c r="A59" s="9" t="n"/>
      <c r="B59" s="94">
        <f>IF((0-B58)&lt;$D$52,IF(B58&gt;-1, ,B58-1), )</f>
        <v/>
      </c>
      <c r="C59" s="90" t="n"/>
      <c r="D59" s="91">
        <f>IF(B59&lt;0,(D$52+B59)/D$52,0)</f>
        <v/>
      </c>
      <c r="E59" s="92">
        <f>C59*D59</f>
        <v/>
      </c>
      <c r="F59" s="93">
        <f>IF(B59&lt;0,C59/$D$52,0)</f>
        <v/>
      </c>
    </row>
    <row r="60" ht="15.75" customHeight="1">
      <c r="A60" s="9" t="n"/>
      <c r="B60" s="94">
        <f>IF((0-B59)&lt;$D$52,IF(B59&gt;-1, ,B59-1), )</f>
        <v/>
      </c>
      <c r="C60" s="90" t="n"/>
      <c r="D60" s="91">
        <f>IF(B60&lt;0,(D$52+B60)/D$52,0)</f>
        <v/>
      </c>
      <c r="E60" s="92">
        <f>C60*D60</f>
        <v/>
      </c>
      <c r="F60" s="93">
        <f>IF(B60&lt;0,C60/$D$52,0)</f>
        <v/>
      </c>
    </row>
    <row r="61" ht="15.75" customHeight="1">
      <c r="A61" s="9" t="n"/>
      <c r="B61" s="94">
        <f>IF((0-B60)&lt;$D$52,IF(B60&gt;-1, ,B60-1), )</f>
        <v/>
      </c>
      <c r="C61" s="90" t="n"/>
      <c r="D61" s="91">
        <f>IF(B61&lt;0,(D$52+B61)/D$52,0)</f>
        <v/>
      </c>
      <c r="E61" s="92">
        <f>C61*D61</f>
        <v/>
      </c>
      <c r="F61" s="93">
        <f>IF(B61&lt;0,C61/$D$52,0)</f>
        <v/>
      </c>
    </row>
    <row r="62" ht="15.75" customHeight="1">
      <c r="A62" s="9" t="n"/>
      <c r="B62" s="94">
        <f>IF((0-B61)&lt;$D$52,IF(B61&gt;-1, ,B61-1), )</f>
        <v/>
      </c>
      <c r="C62" s="90" t="n"/>
      <c r="D62" s="91">
        <f>IF(B62&lt;0,(D$52+B62)/D$52,0)</f>
        <v/>
      </c>
      <c r="E62" s="92">
        <f>C62*D62</f>
        <v/>
      </c>
      <c r="F62" s="93">
        <f>IF(B62&lt;0,C62/$D$52,0)</f>
        <v/>
      </c>
    </row>
    <row r="63" ht="15.75" customHeight="1">
      <c r="A63" s="9" t="n"/>
      <c r="B63" s="94">
        <f>IF((0-B62)&lt;$D$52,IF(B62&gt;-1, ,B62-1), )</f>
        <v/>
      </c>
      <c r="C63" s="90" t="n"/>
      <c r="D63" s="91">
        <f>IF(B63&lt;0,(D$52+B63)/D$52,0)</f>
        <v/>
      </c>
      <c r="E63" s="92">
        <f>C63*D63</f>
        <v/>
      </c>
      <c r="F63" s="93">
        <f>IF(B63&lt;0,C63/$D$52,0)</f>
        <v/>
      </c>
    </row>
    <row r="64" ht="15.75" customHeight="1">
      <c r="A64" s="9" t="n"/>
      <c r="B64" s="94">
        <f>IF((0-B63)&lt;$D$52,IF(B63&gt;-1, ,B63-1), )</f>
        <v/>
      </c>
      <c r="C64" s="90" t="n"/>
      <c r="D64" s="91">
        <f>IF(B64&lt;0,(D$52+B64)/D$52,0)</f>
        <v/>
      </c>
      <c r="E64" s="92">
        <f>C64*D64</f>
        <v/>
      </c>
      <c r="F64" s="93">
        <f>IF(B64&lt;0,C64/$D$52,0)</f>
        <v/>
      </c>
    </row>
    <row r="65" ht="15.75" customHeight="1">
      <c r="A65" s="9" t="n"/>
      <c r="B65" s="95" t="inlineStr">
        <is>
          <t>Value of Research Asset =</t>
        </is>
      </c>
      <c r="C65" s="82" t="n"/>
      <c r="D65" s="82" t="n"/>
      <c r="E65" s="92">
        <f>SUM(E54:E64)</f>
        <v/>
      </c>
      <c r="F65" s="96" t="n"/>
    </row>
    <row r="66" ht="15.75" customHeight="1">
      <c r="A66" s="9" t="n"/>
      <c r="B66" s="95" t="inlineStr">
        <is>
          <t>Amortization of Asset for current year =</t>
        </is>
      </c>
      <c r="C66" s="82" t="n"/>
      <c r="D66" s="82" t="n"/>
      <c r="E66" s="82" t="n"/>
      <c r="F66" s="93">
        <f>SUM(F55:F64)</f>
        <v/>
      </c>
    </row>
    <row r="67" ht="15.75" customHeight="1">
      <c r="A67" s="9" t="n"/>
      <c r="B67" s="95" t="n"/>
      <c r="C67" s="82" t="n"/>
      <c r="D67" s="82" t="n"/>
      <c r="E67" s="82" t="n"/>
      <c r="F67" s="96" t="n"/>
    </row>
    <row r="68" ht="15.75" customHeight="1">
      <c r="A68" s="9" t="n"/>
      <c r="B68" s="97" t="n"/>
      <c r="C68" s="98" t="inlineStr">
        <is>
          <t>Without capitalizing</t>
        </is>
      </c>
      <c r="D68" s="98" t="inlineStr">
        <is>
          <t>With capitalizing</t>
        </is>
      </c>
      <c r="E68" s="99" t="inlineStr">
        <is>
          <t>Industry</t>
        </is>
      </c>
      <c r="F68" s="100" t="inlineStr">
        <is>
          <t>Amortization Period</t>
        </is>
      </c>
    </row>
    <row r="69" ht="15.75" customHeight="1">
      <c r="A69" s="9" t="n"/>
      <c r="B69" s="95" t="inlineStr">
        <is>
          <t>Operating income</t>
        </is>
      </c>
      <c r="C69" s="101">
        <f>C14</f>
        <v/>
      </c>
      <c r="D69" s="101">
        <f>C69+C54-F66</f>
        <v/>
      </c>
      <c r="E69" s="82" t="inlineStr">
        <is>
          <t>Non-technological Service</t>
        </is>
      </c>
      <c r="F69" s="96" t="inlineStr">
        <is>
          <t>2 years</t>
        </is>
      </c>
    </row>
    <row r="70" ht="15.75" customHeight="1">
      <c r="A70" s="9" t="n"/>
      <c r="B70" s="95" t="inlineStr">
        <is>
          <t>Operating margin</t>
        </is>
      </c>
      <c r="C70" s="102">
        <f>C69/$C$7</f>
        <v/>
      </c>
      <c r="D70" s="102">
        <f>D69/$C$7</f>
        <v/>
      </c>
      <c r="E70" s="82" t="inlineStr">
        <is>
          <t>Retail, Tech Service</t>
        </is>
      </c>
      <c r="F70" s="96" t="inlineStr">
        <is>
          <t>3 years</t>
        </is>
      </c>
    </row>
    <row r="71" ht="15.75" customHeight="1">
      <c r="A71" s="9" t="n"/>
      <c r="B71" s="95" t="inlineStr">
        <is>
          <t>Reinvestment</t>
        </is>
      </c>
      <c r="C71" s="101">
        <f>C31</f>
        <v/>
      </c>
      <c r="D71" s="101">
        <f>C71+E65-F66</f>
        <v/>
      </c>
      <c r="E71" s="82" t="inlineStr">
        <is>
          <t>Light Manufacturing</t>
        </is>
      </c>
      <c r="F71" s="96" t="inlineStr">
        <is>
          <t>5 years</t>
        </is>
      </c>
    </row>
    <row r="72" ht="15.75" customHeight="1">
      <c r="A72" s="9" t="n"/>
      <c r="B72" s="95" t="inlineStr">
        <is>
          <t>NOPAT</t>
        </is>
      </c>
      <c r="C72" s="101">
        <f>C16</f>
        <v/>
      </c>
      <c r="D72" s="101">
        <f>C72+C55</f>
        <v/>
      </c>
      <c r="E72" s="82" t="inlineStr">
        <is>
          <t>Heavy  Manufacturing</t>
        </is>
      </c>
      <c r="F72" s="96" t="inlineStr">
        <is>
          <t>10 years</t>
        </is>
      </c>
    </row>
    <row r="73" ht="15.75" customHeight="1">
      <c r="A73" s="9" t="n"/>
      <c r="B73" s="95" t="inlineStr">
        <is>
          <t>Net Income</t>
        </is>
      </c>
      <c r="C73" s="101">
        <f>F3</f>
        <v/>
      </c>
      <c r="D73" s="101">
        <f>C73+C54-F66</f>
        <v/>
      </c>
      <c r="E73" s="82" t="inlineStr">
        <is>
          <t>Research, with Patenting</t>
        </is>
      </c>
      <c r="F73" s="96" t="inlineStr">
        <is>
          <t>10 years</t>
        </is>
      </c>
    </row>
    <row r="74" ht="15.75" customHeight="1">
      <c r="A74" s="9" t="n"/>
      <c r="B74" s="103" t="inlineStr">
        <is>
          <t>Invested capital</t>
        </is>
      </c>
      <c r="C74" s="104">
        <f>C33</f>
        <v/>
      </c>
      <c r="D74" s="104">
        <f>C74+E65</f>
        <v/>
      </c>
      <c r="E74" s="8" t="inlineStr">
        <is>
          <t>Long Gestation Period</t>
        </is>
      </c>
      <c r="F74" s="105" t="inlineStr">
        <is>
          <t>10 years</t>
        </is>
      </c>
    </row>
    <row r="75" ht="15.75" customHeight="1">
      <c r="A75" s="9" t="n"/>
      <c r="B75" s="82" t="n"/>
      <c r="C75" s="106" t="n"/>
      <c r="D75" s="106" t="n"/>
    </row>
    <row r="76" ht="15.75" customHeight="1">
      <c r="A76" s="9" t="n"/>
      <c r="B76" s="82" t="n"/>
      <c r="C76" s="106" t="n"/>
      <c r="D76" s="106" t="n"/>
    </row>
    <row r="77" ht="15.75" customHeight="1">
      <c r="A77" s="9" t="n"/>
      <c r="B77" s="82" t="n"/>
      <c r="C77" s="106" t="n"/>
      <c r="D77" s="106" t="n"/>
    </row>
    <row r="78" ht="15.75" customHeight="1">
      <c r="A78" s="9" t="n"/>
      <c r="B78" s="82" t="n"/>
      <c r="C78" s="107" t="n"/>
      <c r="D78" s="107" t="n"/>
    </row>
    <row r="79" ht="15.75" customHeight="1">
      <c r="A79" s="9" t="n"/>
      <c r="B79" s="82" t="n"/>
      <c r="C79" s="106" t="n"/>
      <c r="D79" s="106" t="n"/>
    </row>
    <row r="80" ht="15.75" customHeight="1">
      <c r="A80" s="9" t="n"/>
      <c r="B80" s="82" t="n"/>
      <c r="C80" s="107" t="n"/>
      <c r="D80" s="107" t="n"/>
    </row>
    <row r="81" ht="15.75" customHeight="1">
      <c r="A81" s="9" t="n"/>
    </row>
    <row r="82" ht="15.75" customHeight="1">
      <c r="A82" s="9" t="n"/>
    </row>
    <row r="83" ht="15.75" customHeight="1">
      <c r="A83" s="9" t="n"/>
    </row>
    <row r="84" ht="15.75" customHeight="1">
      <c r="A84" s="9" t="n"/>
    </row>
    <row r="85" ht="15.75" customHeight="1">
      <c r="A85" s="9" t="n"/>
    </row>
    <row r="86" ht="15.75" customHeight="1">
      <c r="A86" s="9" t="n"/>
    </row>
    <row r="87" ht="15.75" customHeight="1">
      <c r="A87" s="9" t="n"/>
    </row>
    <row r="88" ht="15.75" customHeight="1">
      <c r="A88" s="9" t="n"/>
    </row>
    <row r="89" ht="15.75" customHeight="1">
      <c r="A89" s="9" t="n"/>
    </row>
    <row r="90" ht="15.75" customHeight="1">
      <c r="A90" s="9" t="n"/>
    </row>
    <row r="91" ht="15.75" customHeight="1">
      <c r="A91" s="9" t="n"/>
    </row>
    <row r="92" ht="15.75" customHeight="1">
      <c r="A92" s="9" t="n"/>
    </row>
    <row r="93" ht="15.75" customHeight="1">
      <c r="A93" s="9" t="n"/>
    </row>
    <row r="94" ht="15.75" customHeight="1">
      <c r="A94" s="9" t="n"/>
    </row>
    <row r="95" ht="15.75" customHeight="1">
      <c r="A95" s="9" t="n"/>
    </row>
    <row r="96" ht="15.75" customHeight="1">
      <c r="A96" s="9" t="n"/>
    </row>
    <row r="97" ht="15.75" customHeight="1">
      <c r="A97" s="9" t="n"/>
    </row>
    <row r="98" ht="15.75" customHeight="1">
      <c r="A98" s="9" t="n"/>
    </row>
    <row r="99" ht="15.75" customHeight="1">
      <c r="A99" s="9" t="n"/>
    </row>
    <row r="100" ht="15.75" customHeight="1">
      <c r="A100" s="9" t="n"/>
    </row>
    <row r="101" ht="15.75" customHeight="1">
      <c r="A101" s="9" t="n"/>
    </row>
    <row r="102" ht="15.75" customHeight="1">
      <c r="A102" s="9" t="n"/>
    </row>
    <row r="103" ht="15.75" customHeight="1">
      <c r="A103" s="9" t="n"/>
    </row>
    <row r="104" ht="15.75" customHeight="1">
      <c r="A104" s="9" t="n"/>
    </row>
    <row r="105" ht="15.75" customHeight="1">
      <c r="A105" s="9" t="n"/>
    </row>
    <row r="106" ht="15.75" customHeight="1">
      <c r="A106" s="9" t="n"/>
    </row>
    <row r="107" ht="15.75" customHeight="1">
      <c r="A107" s="9" t="n"/>
    </row>
    <row r="108" ht="15.75" customHeight="1">
      <c r="A108" s="9" t="n"/>
    </row>
    <row r="109" ht="15.75" customHeight="1">
      <c r="A109" s="9" t="n"/>
    </row>
    <row r="110" ht="15.75" customHeight="1">
      <c r="A110" s="9" t="n"/>
    </row>
    <row r="111" ht="15.75" customHeight="1">
      <c r="A111" s="9" t="n"/>
    </row>
    <row r="112" ht="15.75" customHeight="1">
      <c r="A112" s="9" t="n"/>
    </row>
    <row r="113" ht="15.75" customHeight="1">
      <c r="A113" s="9" t="n"/>
    </row>
    <row r="114" ht="15.75" customHeight="1">
      <c r="A114" s="9" t="n"/>
    </row>
    <row r="115" ht="15.75" customHeight="1">
      <c r="A115" s="9" t="n"/>
    </row>
    <row r="116" ht="15.75" customHeight="1">
      <c r="A116" s="9" t="n"/>
    </row>
    <row r="117" ht="15.75" customHeight="1">
      <c r="A117" s="9" t="n"/>
    </row>
    <row r="118" ht="15.75" customHeight="1">
      <c r="A118" s="9" t="n"/>
    </row>
    <row r="119" ht="15.75" customHeight="1">
      <c r="A119" s="9" t="n"/>
    </row>
    <row r="120" ht="15.75" customHeight="1">
      <c r="A120" s="9" t="n"/>
    </row>
    <row r="121" ht="15.75" customHeight="1">
      <c r="A121" s="9" t="n"/>
    </row>
    <row r="122" ht="15.75" customHeight="1">
      <c r="A122" s="9" t="n"/>
    </row>
    <row r="123" ht="15.75" customHeight="1">
      <c r="A123" s="9" t="n"/>
    </row>
    <row r="124" ht="15.75" customHeight="1">
      <c r="A124" s="9" t="n"/>
    </row>
    <row r="125" ht="15.75" customHeight="1">
      <c r="A125" s="9" t="n"/>
    </row>
    <row r="126" ht="15.75" customHeight="1">
      <c r="A126" s="9" t="n"/>
    </row>
    <row r="127" ht="15.75" customHeight="1">
      <c r="A127" s="9" t="n"/>
    </row>
    <row r="128" ht="15.75" customHeight="1">
      <c r="A128" s="9" t="n"/>
    </row>
    <row r="129" ht="15.75" customHeight="1">
      <c r="A129" s="9" t="n"/>
    </row>
    <row r="130" ht="15.75" customHeight="1">
      <c r="A130" s="9" t="n"/>
    </row>
    <row r="131" ht="15.75" customHeight="1">
      <c r="A131" s="9" t="n"/>
    </row>
    <row r="132" ht="15.75" customHeight="1">
      <c r="A132" s="9" t="n"/>
    </row>
    <row r="133" ht="15.75" customHeight="1">
      <c r="A133" s="9" t="n"/>
    </row>
    <row r="134" ht="15.75" customHeight="1">
      <c r="A134" s="9" t="n"/>
    </row>
    <row r="135" ht="15.75" customHeight="1">
      <c r="A135" s="9" t="n"/>
    </row>
    <row r="136" ht="15.75" customHeight="1">
      <c r="A136" s="9" t="n"/>
    </row>
    <row r="137" ht="15.75" customHeight="1">
      <c r="A137" s="9" t="n"/>
    </row>
    <row r="138" ht="15.75" customHeight="1">
      <c r="A138" s="9" t="n"/>
    </row>
    <row r="139" ht="15.75" customHeight="1">
      <c r="A139" s="9" t="n"/>
    </row>
    <row r="140" ht="15.75" customHeight="1">
      <c r="A140" s="9" t="n"/>
    </row>
    <row r="141" ht="15.75" customHeight="1">
      <c r="A141" s="9" t="n"/>
    </row>
    <row r="142" ht="15.75" customHeight="1">
      <c r="A142" s="9" t="n"/>
    </row>
    <row r="143" ht="15.75" customHeight="1">
      <c r="A143" s="9" t="n"/>
    </row>
    <row r="144" ht="15.75" customHeight="1">
      <c r="A144" s="9" t="n"/>
    </row>
    <row r="145" ht="15.75" customHeight="1">
      <c r="A145" s="9" t="n"/>
    </row>
    <row r="146" ht="15.75" customHeight="1">
      <c r="A146" s="9" t="n"/>
    </row>
    <row r="147" ht="15.75" customHeight="1">
      <c r="A147" s="9" t="n"/>
    </row>
    <row r="148" ht="15.75" customHeight="1">
      <c r="A148" s="9" t="n"/>
    </row>
    <row r="149" ht="15.75" customHeight="1">
      <c r="A149" s="9" t="n"/>
    </row>
    <row r="150" ht="15.75" customHeight="1">
      <c r="A150" s="9" t="n"/>
    </row>
    <row r="151" ht="15.75" customHeight="1">
      <c r="A151" s="9" t="n"/>
    </row>
    <row r="152" ht="15.75" customHeight="1">
      <c r="A152" s="9" t="n"/>
    </row>
    <row r="153" ht="15.75" customHeight="1">
      <c r="A153" s="9" t="n"/>
    </row>
    <row r="154" ht="15.75" customHeight="1">
      <c r="A154" s="9" t="n"/>
    </row>
    <row r="155" ht="15.75" customHeight="1">
      <c r="A155" s="9" t="n"/>
    </row>
    <row r="156" ht="15.75" customHeight="1">
      <c r="A156" s="9" t="n"/>
    </row>
    <row r="157" ht="15.75" customHeight="1">
      <c r="A157" s="9" t="n"/>
    </row>
    <row r="158" ht="15.75" customHeight="1">
      <c r="A158" s="9" t="n"/>
    </row>
    <row r="159" ht="15.75" customHeight="1">
      <c r="A159" s="9" t="n"/>
    </row>
    <row r="160" ht="15.75" customHeight="1">
      <c r="A160" s="9" t="n"/>
    </row>
    <row r="161" ht="15.75" customHeight="1">
      <c r="A161" s="9" t="n"/>
    </row>
    <row r="162" ht="15.75" customHeight="1">
      <c r="A162" s="9" t="n"/>
    </row>
    <row r="163" ht="15.75" customHeight="1">
      <c r="A163" s="9" t="n"/>
    </row>
    <row r="164" ht="15.75" customHeight="1">
      <c r="A164" s="9" t="n"/>
    </row>
    <row r="165" ht="15.75" customHeight="1">
      <c r="A165" s="9" t="n"/>
    </row>
    <row r="166" ht="15.75" customHeight="1">
      <c r="A166" s="9" t="n"/>
    </row>
    <row r="167" ht="15.75" customHeight="1">
      <c r="A167" s="9" t="n"/>
    </row>
    <row r="168" ht="15.75" customHeight="1">
      <c r="A168" s="9" t="n"/>
    </row>
    <row r="169" ht="15.75" customHeight="1">
      <c r="A169" s="9" t="n"/>
    </row>
    <row r="170" ht="15.75" customHeight="1">
      <c r="A170" s="9" t="n"/>
    </row>
    <row r="171" ht="15.75" customHeight="1">
      <c r="A171" s="9" t="n"/>
    </row>
    <row r="172" ht="15.75" customHeight="1">
      <c r="A172" s="9" t="n"/>
    </row>
    <row r="173" ht="15.75" customHeight="1">
      <c r="A173" s="9" t="n"/>
    </row>
    <row r="174" ht="15.75" customHeight="1">
      <c r="A174" s="9" t="n"/>
    </row>
    <row r="175" ht="15.75" customHeight="1">
      <c r="A175" s="9" t="n"/>
    </row>
    <row r="176" ht="15.75" customHeight="1">
      <c r="A176" s="9" t="n"/>
    </row>
    <row r="177" ht="15.75" customHeight="1">
      <c r="A177" s="9" t="n"/>
    </row>
    <row r="178" ht="15.75" customHeight="1">
      <c r="A178" s="9" t="n"/>
    </row>
    <row r="179" ht="15.75" customHeight="1">
      <c r="A179" s="9" t="n"/>
    </row>
    <row r="180" ht="15.75" customHeight="1">
      <c r="A180" s="9" t="n"/>
    </row>
    <row r="181" ht="15.75" customHeight="1">
      <c r="A181" s="9" t="n"/>
    </row>
    <row r="182" ht="15.75" customHeight="1">
      <c r="A182" s="9" t="n"/>
    </row>
    <row r="183" ht="15.75" customHeight="1">
      <c r="A183" s="9" t="n"/>
    </row>
    <row r="184" ht="15.75" customHeight="1">
      <c r="A184" s="9" t="n"/>
    </row>
    <row r="185" ht="15.75" customHeight="1">
      <c r="A185" s="9" t="n"/>
    </row>
    <row r="186" ht="15.75" customHeight="1">
      <c r="A186" s="9" t="n"/>
    </row>
    <row r="187" ht="15.75" customHeight="1">
      <c r="A187" s="9" t="n"/>
    </row>
    <row r="188" ht="15.75" customHeight="1">
      <c r="A188" s="9" t="n"/>
    </row>
    <row r="189" ht="15.75" customHeight="1">
      <c r="A189" s="9" t="n"/>
    </row>
    <row r="190" ht="15.75" customHeight="1">
      <c r="A190" s="9" t="n"/>
    </row>
    <row r="191" ht="15.75" customHeight="1">
      <c r="A191" s="9" t="n"/>
    </row>
    <row r="192" ht="15.75" customHeight="1">
      <c r="A192" s="9" t="n"/>
    </row>
    <row r="193" ht="15.75" customHeight="1">
      <c r="A193" s="9" t="n"/>
    </row>
    <row r="194" ht="15.75" customHeight="1">
      <c r="A194" s="9" t="n"/>
    </row>
    <row r="195" ht="15.75" customHeight="1">
      <c r="A195" s="9" t="n"/>
    </row>
    <row r="196" ht="15.75" customHeight="1">
      <c r="A196" s="9" t="n"/>
    </row>
    <row r="197" ht="15.75" customHeight="1">
      <c r="A197" s="9" t="n"/>
    </row>
    <row r="198" ht="15.75" customHeight="1">
      <c r="A198" s="9" t="n"/>
    </row>
    <row r="199" ht="15.75" customHeight="1">
      <c r="A199" s="9" t="n"/>
    </row>
    <row r="200" ht="15.75" customHeight="1">
      <c r="A200" s="9" t="n"/>
    </row>
    <row r="201" ht="15.75" customHeight="1">
      <c r="A201" s="9" t="n"/>
    </row>
    <row r="202" ht="15.75" customHeight="1">
      <c r="A202" s="9" t="n"/>
    </row>
    <row r="203" ht="15.75" customHeight="1">
      <c r="A203" s="9" t="n"/>
    </row>
    <row r="204" ht="15.75" customHeight="1">
      <c r="A204" s="9" t="n"/>
    </row>
    <row r="205" ht="15.75" customHeight="1">
      <c r="A205" s="9" t="n"/>
    </row>
    <row r="206" ht="15.75" customHeight="1">
      <c r="A206" s="9" t="n"/>
    </row>
    <row r="207" ht="15.75" customHeight="1">
      <c r="A207" s="9" t="n"/>
    </row>
    <row r="208" ht="15.75" customHeight="1">
      <c r="A208" s="9" t="n"/>
    </row>
    <row r="209" ht="15.75" customHeight="1">
      <c r="A209" s="9" t="n"/>
    </row>
    <row r="210" ht="15.75" customHeight="1">
      <c r="A210" s="9" t="n"/>
    </row>
    <row r="211" ht="15.75" customHeight="1">
      <c r="A211" s="9" t="n"/>
    </row>
    <row r="212" ht="15.75" customHeight="1">
      <c r="A212" s="9" t="n"/>
    </row>
    <row r="213" ht="15.75" customHeight="1">
      <c r="A213" s="9" t="n"/>
    </row>
    <row r="214" ht="15.75" customHeight="1">
      <c r="A214" s="9" t="n"/>
    </row>
    <row r="215" ht="15.75" customHeight="1">
      <c r="A215" s="9" t="n"/>
    </row>
    <row r="216" ht="15.75" customHeight="1">
      <c r="A216" s="9" t="n"/>
    </row>
    <row r="217" ht="15.75" customHeight="1">
      <c r="A217" s="9" t="n"/>
    </row>
    <row r="218" ht="15.75" customHeight="1">
      <c r="A218" s="9" t="n"/>
    </row>
    <row r="219" ht="15.75" customHeight="1">
      <c r="A219" s="9" t="n"/>
    </row>
    <row r="220" ht="15.75" customHeight="1">
      <c r="A220" s="9" t="n"/>
    </row>
    <row r="221" ht="15.75" customHeight="1">
      <c r="A221" s="9" t="n"/>
    </row>
    <row r="222" ht="15.75" customHeight="1">
      <c r="A222" s="9" t="n"/>
    </row>
    <row r="223" ht="15.75" customHeight="1">
      <c r="A223" s="9" t="n"/>
    </row>
    <row r="224" ht="15.75" customHeight="1">
      <c r="A224" s="9" t="n"/>
    </row>
    <row r="225" ht="15.75" customHeight="1">
      <c r="A225" s="9" t="n"/>
    </row>
    <row r="226" ht="15.75" customHeight="1">
      <c r="A226" s="9" t="n"/>
    </row>
    <row r="227" ht="15.75" customHeight="1">
      <c r="A227" s="9" t="n"/>
    </row>
    <row r="228" ht="15.75" customHeight="1">
      <c r="A228" s="9" t="n"/>
    </row>
    <row r="229" ht="15.75" customHeight="1">
      <c r="A229" s="9" t="n"/>
    </row>
    <row r="230" ht="15.75" customHeight="1">
      <c r="A230" s="9" t="n"/>
    </row>
    <row r="231" ht="15.75" customHeight="1">
      <c r="A231" s="9" t="n"/>
    </row>
    <row r="232" ht="15.75" customHeight="1">
      <c r="A232" s="9" t="n"/>
    </row>
    <row r="233" ht="15.75" customHeight="1">
      <c r="A233" s="9" t="n"/>
    </row>
    <row r="234" ht="15.75" customHeight="1">
      <c r="A234" s="9" t="n"/>
    </row>
    <row r="235" ht="15.75" customHeight="1">
      <c r="A235" s="9" t="n"/>
    </row>
    <row r="236" ht="15.75" customHeight="1">
      <c r="A236" s="9" t="n"/>
    </row>
    <row r="237" ht="15.75" customHeight="1">
      <c r="A237" s="9" t="n"/>
    </row>
    <row r="238" ht="15.75" customHeight="1">
      <c r="A238" s="9" t="n"/>
    </row>
    <row r="239" ht="15.75" customHeight="1">
      <c r="A239" s="9" t="n"/>
    </row>
    <row r="240" ht="15.75" customHeight="1">
      <c r="A240" s="9" t="n"/>
    </row>
    <row r="241" ht="15.75" customHeight="1">
      <c r="A241" s="9" t="n"/>
    </row>
    <row r="242" ht="15.75" customHeight="1">
      <c r="A242" s="9" t="n"/>
    </row>
    <row r="243" ht="15.75" customHeight="1">
      <c r="A243" s="9" t="n"/>
    </row>
    <row r="244" ht="15.75" customHeight="1">
      <c r="A244" s="9" t="n"/>
    </row>
    <row r="245" ht="15.75" customHeight="1">
      <c r="A245" s="9" t="n"/>
    </row>
    <row r="246" ht="15.75" customHeight="1">
      <c r="A246" s="9" t="n"/>
    </row>
    <row r="247" ht="15.75" customHeight="1">
      <c r="A247" s="9" t="n"/>
    </row>
    <row r="248" ht="15.75" customHeight="1">
      <c r="A248" s="9" t="n"/>
    </row>
    <row r="249" ht="15.75" customHeight="1">
      <c r="A249" s="9" t="n"/>
    </row>
    <row r="250" ht="15.75" customHeight="1">
      <c r="A250" s="9" t="n"/>
    </row>
    <row r="251" ht="15.75" customHeight="1">
      <c r="A251" s="9" t="n"/>
    </row>
    <row r="252" ht="15.75" customHeight="1">
      <c r="A252" s="9" t="n"/>
    </row>
    <row r="253" ht="15.75" customHeight="1">
      <c r="A253" s="9" t="n"/>
    </row>
    <row r="254" ht="15.75" customHeight="1">
      <c r="A254" s="9" t="n"/>
    </row>
    <row r="255" ht="15.75" customHeight="1">
      <c r="A255" s="9" t="n"/>
    </row>
    <row r="256" ht="15.75" customHeight="1">
      <c r="A256" s="9" t="n"/>
    </row>
    <row r="257" ht="15.75" customHeight="1">
      <c r="A257" s="9" t="n"/>
    </row>
    <row r="258" ht="15.75" customHeight="1">
      <c r="A258" s="9" t="n"/>
    </row>
    <row r="259" ht="15.75" customHeight="1">
      <c r="A259" s="9" t="n"/>
    </row>
    <row r="260" ht="15.75" customHeight="1">
      <c r="A260" s="9" t="n"/>
    </row>
    <row r="261" ht="15.75" customHeight="1">
      <c r="A261" s="9" t="n"/>
    </row>
    <row r="262" ht="15.75" customHeight="1">
      <c r="A262" s="9" t="n"/>
    </row>
    <row r="263" ht="15.75" customHeight="1">
      <c r="A263" s="9" t="n"/>
    </row>
    <row r="264" ht="15.75" customHeight="1">
      <c r="A264" s="9" t="n"/>
    </row>
    <row r="265" ht="15.75" customHeight="1">
      <c r="A265" s="9" t="n"/>
    </row>
    <row r="266" ht="15.75" customHeight="1">
      <c r="A266" s="9" t="n"/>
    </row>
    <row r="267" ht="15.75" customHeight="1">
      <c r="A267" s="9" t="n"/>
    </row>
    <row r="268" ht="15.75" customHeight="1">
      <c r="A268" s="9" t="n"/>
    </row>
    <row r="269" ht="15.75" customHeight="1">
      <c r="A269" s="9" t="n"/>
    </row>
    <row r="270" ht="15.75" customHeight="1">
      <c r="A270" s="9" t="n"/>
    </row>
    <row r="271" ht="15.75" customHeight="1">
      <c r="A271" s="9" t="n"/>
    </row>
    <row r="272" ht="15.75" customHeight="1">
      <c r="A272" s="9" t="n"/>
    </row>
    <row r="273" ht="15.75" customHeight="1">
      <c r="A273" s="9" t="n"/>
    </row>
    <row r="274" ht="15.75" customHeight="1">
      <c r="A274" s="9" t="n"/>
    </row>
    <row r="275" ht="15.75" customHeight="1">
      <c r="A275" s="9" t="n"/>
    </row>
    <row r="276" ht="15.75" customHeight="1">
      <c r="A276" s="9" t="n"/>
    </row>
    <row r="277" ht="15.75" customHeight="1">
      <c r="A277" s="9" t="n"/>
    </row>
    <row r="278" ht="15.75" customHeight="1">
      <c r="A278" s="9" t="n"/>
    </row>
    <row r="279" ht="15.75" customHeight="1">
      <c r="A279" s="9" t="n"/>
    </row>
    <row r="280" ht="15.75" customHeight="1">
      <c r="A280" s="9" t="n"/>
    </row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mergeCells count="4">
    <mergeCell ref="D50:E50"/>
    <mergeCell ref="D52:E52"/>
    <mergeCell ref="D53:E53"/>
    <mergeCell ref="D49:E49"/>
  </mergeCells>
  <conditionalFormatting sqref="B52:F74">
    <cfRule type="expression" priority="1" dxfId="8">
      <formula>$D$50="No"</formula>
    </cfRule>
  </conditionalFormatting>
  <conditionalFormatting sqref="D42:M46 C7:M33">
    <cfRule type="containsBlanks" priority="2" dxfId="2">
      <formula>LEN(TRIM(C7))=0</formula>
    </cfRule>
  </conditionalFormatting>
  <conditionalFormatting sqref="D38:M40">
    <cfRule type="containsBlanks" priority="3" dxfId="2">
      <formula>LEN(TRIM(D38))=0</formula>
    </cfRule>
  </conditionalFormatting>
  <conditionalFormatting sqref="C35:M36">
    <cfRule type="containsBlanks" priority="4" dxfId="2">
      <formula>LEN(TRIM(C35))=0</formula>
    </cfRule>
  </conditionalFormatting>
  <dataValidations count="3">
    <dataValidation sqref="D52" showErrorMessage="1" showDropDown="1" showInputMessage="1" allowBlank="1" type="decimal">
      <formula1>1</formula1>
      <formula2>10</formula2>
    </dataValidation>
    <dataValidation sqref="C3" showErrorMessage="1" showDropDown="1" showInputMessage="1" allowBlank="1" type="decimal">
      <formula1>2000</formula1>
      <formula2>2100</formula2>
    </dataValidation>
    <dataValidation sqref="D50" showErrorMessage="1" showInputMessage="1" allowBlank="1" type="list">
      <formula1>"Yes,No"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B6D7A8"/>
    <outlinePr summaryBelow="0" summaryRight="0"/>
    <pageSetUpPr/>
  </sheetPr>
  <dimension ref="A2:I54"/>
  <sheetViews>
    <sheetView showGridLines="0" workbookViewId="0">
      <selection activeCell="E43" sqref="E43"/>
    </sheetView>
  </sheetViews>
  <sheetFormatPr baseColWidth="10" defaultColWidth="12.5" defaultRowHeight="15" customHeight="1"/>
  <cols>
    <col width="2.5" customWidth="1" style="3" min="1" max="1"/>
    <col width="25.1640625" customWidth="1" style="3" min="2" max="2"/>
    <col width="17.5" customWidth="1" style="3" min="3" max="5"/>
    <col width="7.5" customWidth="1" style="3" min="6" max="6"/>
    <col width="17.5" customWidth="1" style="3" min="7" max="7"/>
    <col width="12.5" customWidth="1" style="3" min="8" max="16384"/>
  </cols>
  <sheetData>
    <row r="2" ht="15" customHeight="1">
      <c r="A2" s="4" t="n"/>
      <c r="B2" s="343" t="inlineStr">
        <is>
          <t>Output</t>
        </is>
      </c>
      <c r="C2" s="358" t="n"/>
      <c r="D2" s="358" t="n"/>
      <c r="E2" s="277" t="n"/>
      <c r="F2" s="277" t="n"/>
      <c r="G2" s="277" t="n"/>
      <c r="H2" s="277" t="n"/>
    </row>
    <row r="3" ht="15" customHeight="1">
      <c r="B3" s="5" t="inlineStr">
        <is>
          <t>Net Work per books  =</t>
        </is>
      </c>
      <c r="C3" s="344" t="n"/>
      <c r="D3" s="108">
        <f>C39-H39</f>
        <v/>
      </c>
      <c r="E3" s="344" t="n"/>
      <c r="F3" s="344" t="n"/>
      <c r="G3" s="344" t="n"/>
      <c r="H3" s="344" t="n"/>
    </row>
    <row r="4" ht="15" customHeight="1">
      <c r="D4" s="344" t="n"/>
      <c r="E4" s="27" t="inlineStr">
        <is>
          <t>Discount</t>
        </is>
      </c>
      <c r="H4" s="344" t="n"/>
    </row>
    <row r="5" ht="15" customHeight="1">
      <c r="B5" s="109" t="inlineStr">
        <is>
          <t>Net work as Ajusted to Quickly Realizable Values =</t>
        </is>
      </c>
      <c r="C5" s="344" t="n"/>
      <c r="D5" s="110">
        <f>E39-H39-E43</f>
        <v/>
      </c>
      <c r="E5" s="16">
        <f>1-D5/D3</f>
        <v/>
      </c>
      <c r="F5" s="344" t="n"/>
      <c r="G5" s="111" t="inlineStr">
        <is>
          <t xml:space="preserve">PE = </t>
        </is>
      </c>
      <c r="H5" s="368">
        <f>IF(Data!F3&lt;=0,"NNI",D6/((Data!F3*Dashboard!H13)/(Dashboard!H5/Data!C4)))</f>
        <v/>
      </c>
      <c r="I5" s="344" t="n"/>
    </row>
    <row r="6" ht="15" customHeight="1">
      <c r="B6" s="82" t="inlineStr">
        <is>
          <t>Adj. Value per Shares</t>
        </is>
      </c>
      <c r="D6" s="112">
        <f>(D5*Dashboard!H13*Data!C4)/Dashboard!H5</f>
        <v/>
      </c>
      <c r="E6" s="113" t="n"/>
      <c r="G6" s="111" t="inlineStr">
        <is>
          <t xml:space="preserve">PB = </t>
        </is>
      </c>
      <c r="H6" s="368">
        <f>D6/(Data!C25*Dashboard!H13*Data!C4/Common_Shares)</f>
        <v/>
      </c>
      <c r="I6" s="344" t="n"/>
    </row>
    <row r="7" ht="15" customHeight="1">
      <c r="D7" s="344" t="n"/>
      <c r="H7" s="344" t="n"/>
    </row>
    <row r="8" ht="15" customHeight="1">
      <c r="A8" s="4" t="n"/>
      <c r="B8" s="343" t="inlineStr">
        <is>
          <t xml:space="preserve"> Inputs</t>
        </is>
      </c>
      <c r="C8" s="358" t="n"/>
      <c r="D8" s="358" t="n"/>
      <c r="E8" s="8" t="n"/>
      <c r="F8" s="277" t="n"/>
      <c r="G8" s="277" t="n"/>
      <c r="H8" s="277" t="n"/>
    </row>
    <row r="9" ht="15" customHeight="1">
      <c r="B9" s="5" t="inlineStr">
        <is>
          <t>Assets</t>
        </is>
      </c>
      <c r="C9" s="27" t="inlineStr">
        <is>
          <t>Book Figure</t>
        </is>
      </c>
      <c r="D9" s="27" t="inlineStr">
        <is>
          <t>Valued @</t>
        </is>
      </c>
      <c r="E9" s="27" t="inlineStr">
        <is>
          <t>Ajusted Valuation</t>
        </is>
      </c>
      <c r="F9" s="344" t="n"/>
      <c r="G9" s="114" t="inlineStr">
        <is>
          <t>Liabilities</t>
        </is>
      </c>
      <c r="H9" s="27" t="inlineStr">
        <is>
          <t>Book Figure</t>
        </is>
      </c>
    </row>
    <row r="10" ht="15" customHeight="1">
      <c r="B10" s="5" t="inlineStr">
        <is>
          <t>Cash and cash equivalents</t>
        </is>
      </c>
      <c r="C10" s="115" t="n">
        <v>1577834</v>
      </c>
      <c r="D10" s="116" t="n">
        <v>1</v>
      </c>
      <c r="E10" s="332">
        <f>C10*D10</f>
        <v/>
      </c>
      <c r="F10" s="344" t="n"/>
      <c r="G10" s="5" t="inlineStr">
        <is>
          <t>ST Borrowing</t>
        </is>
      </c>
      <c r="H10" s="115" t="n">
        <v>0</v>
      </c>
      <c r="I10" s="344" t="n"/>
    </row>
    <row r="11" ht="14" customHeight="1">
      <c r="B11" s="5" t="inlineStr">
        <is>
          <t>ST FV Investments</t>
        </is>
      </c>
      <c r="C11" s="115" t="n">
        <v>27660</v>
      </c>
      <c r="D11" s="116" t="n">
        <v>0</v>
      </c>
      <c r="E11" s="332">
        <f>C11*D11</f>
        <v/>
      </c>
      <c r="F11" s="344" t="n"/>
      <c r="G11" s="5" t="inlineStr">
        <is>
          <t>ST Salary</t>
        </is>
      </c>
      <c r="H11" s="115" t="n">
        <v>7353</v>
      </c>
      <c r="I11" s="344" t="n"/>
    </row>
    <row r="12" ht="14" customHeight="1">
      <c r="B12" s="5" t="inlineStr">
        <is>
          <t>ST non-FV Investments</t>
        </is>
      </c>
      <c r="C12" s="115" t="n">
        <v>201467</v>
      </c>
      <c r="D12" s="116" t="n">
        <v>0.7</v>
      </c>
      <c r="E12" s="332">
        <f>C12*D12</f>
        <v/>
      </c>
      <c r="F12" s="344" t="n"/>
      <c r="G12" s="5" t="inlineStr">
        <is>
          <t>ST Lease liabilities</t>
        </is>
      </c>
      <c r="H12" s="115" t="n">
        <v>890177</v>
      </c>
      <c r="I12" s="344" t="n"/>
    </row>
    <row r="13" ht="14" customHeight="1">
      <c r="B13" s="5" t="inlineStr">
        <is>
          <t>ST AR</t>
        </is>
      </c>
      <c r="C13" s="115" t="n">
        <v>674336</v>
      </c>
      <c r="D13" s="116" t="n">
        <v>0.8</v>
      </c>
      <c r="E13" s="332">
        <f>C13*D13</f>
        <v/>
      </c>
      <c r="F13" s="344" t="n"/>
      <c r="G13" s="5" t="inlineStr">
        <is>
          <t>ST AP</t>
        </is>
      </c>
      <c r="H13" s="115" t="n">
        <v>0</v>
      </c>
      <c r="I13" s="344" t="n"/>
    </row>
    <row r="14" ht="14" customHeight="1">
      <c r="B14" s="5" t="inlineStr">
        <is>
          <t>Customer prepay. &amp; deposits</t>
        </is>
      </c>
      <c r="C14" s="115" t="n">
        <v>0</v>
      </c>
      <c r="D14" s="116" t="n">
        <v>0.8</v>
      </c>
      <c r="E14" s="332">
        <f>C14*D14</f>
        <v/>
      </c>
      <c r="F14" s="344" t="n"/>
      <c r="G14" s="5" t="inlineStr">
        <is>
          <t>ST SH Loan</t>
        </is>
      </c>
      <c r="H14" s="115" t="n">
        <v>28197</v>
      </c>
      <c r="I14" s="344" t="n"/>
    </row>
    <row r="15" ht="14" customHeight="1">
      <c r="B15" s="5" t="inlineStr">
        <is>
          <t>ST DTA</t>
        </is>
      </c>
      <c r="C15" s="115" t="n">
        <v>951</v>
      </c>
      <c r="D15" s="116" t="n">
        <v>0.95</v>
      </c>
      <c r="E15" s="332">
        <f>C15*D15</f>
        <v/>
      </c>
      <c r="F15" s="344" t="n"/>
      <c r="G15" s="5" t="inlineStr">
        <is>
          <t>ST DTL</t>
        </is>
      </c>
      <c r="H15" s="115" t="n">
        <v>47034</v>
      </c>
      <c r="I15" s="344" t="n"/>
    </row>
    <row r="16" ht="14" customHeight="1">
      <c r="B16" s="5" t="inlineStr">
        <is>
          <t>Inventory</t>
        </is>
      </c>
      <c r="C16" s="115" t="n">
        <v>443259</v>
      </c>
      <c r="D16" s="116" t="n">
        <v>0.6</v>
      </c>
      <c r="E16" s="332">
        <f>C16*D16</f>
        <v/>
      </c>
      <c r="F16" s="344" t="n"/>
      <c r="G16" s="5" t="inlineStr">
        <is>
          <t>Other ST liabilities</t>
        </is>
      </c>
      <c r="H16" s="115" t="n">
        <v>0</v>
      </c>
      <c r="I16" s="344" t="n"/>
    </row>
    <row r="17" ht="14" customHeight="1">
      <c r="B17" s="5" t="inlineStr">
        <is>
          <t>Other ST Assets</t>
        </is>
      </c>
      <c r="C17" s="115" t="n">
        <v>0</v>
      </c>
      <c r="D17" s="116" t="n">
        <v>0</v>
      </c>
      <c r="E17" s="332">
        <f>C17*D17</f>
        <v/>
      </c>
      <c r="F17" s="344" t="n"/>
      <c r="H17" s="344" t="n"/>
    </row>
    <row r="18" ht="15" customHeight="1">
      <c r="C18" s="344" t="n"/>
      <c r="D18" s="344" t="n"/>
      <c r="E18" s="344" t="n"/>
      <c r="H18" s="344" t="n"/>
    </row>
    <row r="19" ht="15" customHeight="1">
      <c r="B19" s="117" t="inlineStr">
        <is>
          <t>ST-core Monetary Asset</t>
        </is>
      </c>
      <c r="C19" s="118">
        <f>SUM(C10:C12)+C14</f>
        <v/>
      </c>
      <c r="D19" s="119">
        <f>E19/C19</f>
        <v/>
      </c>
      <c r="E19" s="120">
        <f>SUM(E10:E12)+E14</f>
        <v/>
      </c>
      <c r="F19" s="344" t="n"/>
      <c r="G19" s="117" t="inlineStr">
        <is>
          <t>ST core LCR</t>
        </is>
      </c>
      <c r="H19" s="399">
        <f>E19/$H$21</f>
        <v/>
      </c>
      <c r="I19" s="15">
        <f>IF(H19&lt;1,"Liquidity Problem!","")</f>
        <v/>
      </c>
    </row>
    <row r="20" ht="15" customHeight="1">
      <c r="B20" s="117" t="inlineStr">
        <is>
          <t>ST Monetary Asset</t>
        </is>
      </c>
      <c r="C20" s="118">
        <f>C19+C13</f>
        <v/>
      </c>
      <c r="D20" s="119">
        <f>E20/C20</f>
        <v/>
      </c>
      <c r="E20" s="332">
        <f>E19+E13</f>
        <v/>
      </c>
      <c r="F20" s="344" t="n"/>
      <c r="G20" s="117" t="inlineStr">
        <is>
          <t>ST LCR</t>
        </is>
      </c>
      <c r="H20" s="399">
        <f>E20/$H$21</f>
        <v/>
      </c>
      <c r="I20" s="15" t="n"/>
    </row>
    <row r="21" ht="15" customHeight="1">
      <c r="B21" s="5" t="inlineStr">
        <is>
          <t>Current Assets</t>
        </is>
      </c>
      <c r="C21" s="118">
        <f>SUM(C10:C17)</f>
        <v/>
      </c>
      <c r="D21" s="16">
        <f>E21/C21</f>
        <v/>
      </c>
      <c r="E21" s="332">
        <f>SUM(E10:E17)</f>
        <v/>
      </c>
      <c r="F21" s="344" t="n"/>
      <c r="G21" s="5" t="inlineStr">
        <is>
          <t>Current Liabilities</t>
        </is>
      </c>
      <c r="H21" s="118">
        <f>SUM(H10:H16)</f>
        <v/>
      </c>
      <c r="I21" s="15" t="n"/>
    </row>
    <row r="22" ht="15" customHeight="1">
      <c r="C22" s="344" t="n"/>
      <c r="D22" s="344" t="n"/>
      <c r="E22" s="344" t="n"/>
      <c r="H22" s="344" t="n"/>
    </row>
    <row r="23" ht="15" customHeight="1">
      <c r="B23" s="5" t="inlineStr">
        <is>
          <t>PP&amp;E &amp; Related Deposits</t>
        </is>
      </c>
      <c r="C23" s="115" t="n">
        <v>1597278</v>
      </c>
      <c r="D23" s="116" t="n">
        <v>0.5</v>
      </c>
      <c r="E23" s="332">
        <f>C23*D23</f>
        <v/>
      </c>
      <c r="F23" s="344" t="n"/>
      <c r="G23" s="5" t="inlineStr">
        <is>
          <t>LT Borrowing</t>
        </is>
      </c>
      <c r="H23" s="115" t="n">
        <v>0</v>
      </c>
      <c r="I23" s="344" t="n"/>
    </row>
    <row r="24" ht="15" customHeight="1">
      <c r="B24" s="5" t="inlineStr">
        <is>
          <t>Right-of-use assets</t>
        </is>
      </c>
      <c r="C24" s="115" t="n">
        <v>199795</v>
      </c>
      <c r="D24" s="116" t="n">
        <v>0.5</v>
      </c>
      <c r="E24" s="332">
        <f>C24*D24</f>
        <v/>
      </c>
      <c r="F24" s="344" t="n"/>
      <c r="G24" s="5" t="inlineStr">
        <is>
          <t>LT Lease liabilities</t>
        </is>
      </c>
      <c r="H24" s="115" t="n">
        <v>2335</v>
      </c>
      <c r="I24" s="344" t="n"/>
    </row>
    <row r="25" ht="15" customHeight="1">
      <c r="B25" s="5" t="inlineStr">
        <is>
          <t>Investment property</t>
        </is>
      </c>
      <c r="C25" s="115" t="n">
        <v>0</v>
      </c>
      <c r="D25" s="116" t="n">
        <v>0.85</v>
      </c>
      <c r="E25" s="332">
        <f>C25*D25</f>
        <v/>
      </c>
      <c r="F25" s="344" t="n"/>
      <c r="G25" s="5" t="inlineStr">
        <is>
          <t>LT AP</t>
        </is>
      </c>
      <c r="H25" s="115" t="n">
        <v>0</v>
      </c>
      <c r="I25" s="344" t="n"/>
    </row>
    <row r="26" ht="15" customHeight="1">
      <c r="B26" s="5" t="inlineStr">
        <is>
          <t>Investments in JV or associate</t>
        </is>
      </c>
      <c r="C26" s="115" t="n">
        <v>116</v>
      </c>
      <c r="D26" s="116" t="n">
        <v>0.8</v>
      </c>
      <c r="E26" s="332">
        <f>C26*D26</f>
        <v/>
      </c>
      <c r="F26" s="344" t="n"/>
      <c r="G26" s="5" t="inlineStr">
        <is>
          <t>LT SH Loan</t>
        </is>
      </c>
      <c r="H26" s="115" t="n">
        <v>0</v>
      </c>
      <c r="I26" s="344" t="n"/>
    </row>
    <row r="27" ht="14" customHeight="1">
      <c r="B27" s="5" t="inlineStr">
        <is>
          <t>Intangible assets</t>
        </is>
      </c>
      <c r="C27" s="115" t="n">
        <v>38135</v>
      </c>
      <c r="D27" s="116" t="n">
        <v>0.1</v>
      </c>
      <c r="E27" s="332">
        <f>C27*D27</f>
        <v/>
      </c>
      <c r="F27" s="344" t="n"/>
      <c r="G27" s="5" t="inlineStr">
        <is>
          <t>LT DTL</t>
        </is>
      </c>
      <c r="H27" s="115" t="n">
        <v>61106</v>
      </c>
      <c r="I27" s="344" t="n"/>
    </row>
    <row r="28" ht="14" customHeight="1">
      <c r="B28" s="5" t="inlineStr">
        <is>
          <t>LT FV Securities</t>
        </is>
      </c>
      <c r="C28" s="115" t="n">
        <v>34143</v>
      </c>
      <c r="D28" s="116" t="n">
        <v>0.8</v>
      </c>
      <c r="E28" s="332">
        <f>C28*D28</f>
        <v/>
      </c>
      <c r="F28" s="344" t="n"/>
      <c r="G28" s="5" t="inlineStr">
        <is>
          <t>Other LT liabilities</t>
        </is>
      </c>
      <c r="H28" s="115" t="n">
        <v>18749</v>
      </c>
      <c r="I28" s="344" t="n"/>
    </row>
    <row r="29" ht="14" customHeight="1">
      <c r="B29" s="5" t="inlineStr">
        <is>
          <t>LT non-FV Securities</t>
        </is>
      </c>
      <c r="C29" s="115" t="n">
        <v>0</v>
      </c>
      <c r="D29" s="116" t="n">
        <v>0</v>
      </c>
      <c r="E29" s="332">
        <f>C29*D29</f>
        <v/>
      </c>
      <c r="F29" s="344" t="n"/>
      <c r="H29" s="344" t="n"/>
    </row>
    <row r="30" ht="15" customHeight="1">
      <c r="B30" s="5" t="inlineStr">
        <is>
          <t>LT DTA</t>
        </is>
      </c>
      <c r="C30" s="115" t="n">
        <v>60384</v>
      </c>
      <c r="D30" s="116" t="n">
        <v>0.95</v>
      </c>
      <c r="E30" s="332">
        <f>C30*D30</f>
        <v/>
      </c>
      <c r="F30" s="344" t="n"/>
    </row>
    <row r="31" ht="14" customHeight="1">
      <c r="B31" s="5" t="inlineStr">
        <is>
          <t>LT AR</t>
        </is>
      </c>
      <c r="C31" s="115" t="n">
        <v>547</v>
      </c>
      <c r="D31" s="116" t="n">
        <v>0.2</v>
      </c>
      <c r="E31" s="332">
        <f>C31*D31</f>
        <v/>
      </c>
      <c r="F31" s="344" t="n"/>
    </row>
    <row r="32" ht="15" customHeight="1">
      <c r="B32" s="5" t="inlineStr">
        <is>
          <t>LT Depositis</t>
        </is>
      </c>
      <c r="C32" s="115" t="n">
        <v>81853</v>
      </c>
      <c r="D32" s="116" t="n">
        <v>1</v>
      </c>
      <c r="E32" s="332" t="n">
        <v>0</v>
      </c>
      <c r="F32" s="344" t="n"/>
    </row>
    <row r="33" ht="15" customHeight="1">
      <c r="B33" s="5" t="inlineStr">
        <is>
          <t>Other assets &amp; Goodwill</t>
        </is>
      </c>
      <c r="C33" s="115" t="n">
        <v>64133</v>
      </c>
      <c r="D33" s="116" t="n">
        <v>0</v>
      </c>
      <c r="E33" s="332">
        <f>C33*D33</f>
        <v/>
      </c>
      <c r="F33" s="344" t="n"/>
    </row>
    <row r="34" ht="15" customHeight="1">
      <c r="C34" s="344" t="n"/>
      <c r="D34" s="344" t="n"/>
      <c r="E34" s="344" t="n"/>
      <c r="H34" s="344" t="n"/>
    </row>
    <row r="35" ht="14" customHeight="1">
      <c r="B35" s="5" t="inlineStr">
        <is>
          <t>Noncurrent Assets</t>
        </is>
      </c>
      <c r="C35" s="118">
        <f>SUM(C23:C33)</f>
        <v/>
      </c>
      <c r="D35" s="16">
        <f>E35/C35</f>
        <v/>
      </c>
      <c r="E35" s="332">
        <f>SUM(E23:E33)</f>
        <v/>
      </c>
      <c r="F35" s="344" t="n"/>
      <c r="G35" s="5" t="inlineStr">
        <is>
          <t>Noncurrent Liabilities</t>
        </is>
      </c>
      <c r="H35" s="118">
        <f>SUM(H23:H28)</f>
        <v/>
      </c>
      <c r="I35" s="344" t="n"/>
    </row>
    <row r="36" ht="15" customHeight="1">
      <c r="C36" s="344" t="n"/>
      <c r="D36" s="344" t="n"/>
      <c r="E36" s="344" t="n"/>
      <c r="H36" s="344" t="n"/>
    </row>
    <row r="37" ht="15" customHeight="1">
      <c r="B37" s="117" t="inlineStr">
        <is>
          <t xml:space="preserve">Total Core Monetary Asset = </t>
        </is>
      </c>
      <c r="C37" s="118">
        <f>C19+(C28+C29)+C32</f>
        <v/>
      </c>
      <c r="D37" s="119">
        <f>E37/C37</f>
        <v/>
      </c>
      <c r="E37" s="120">
        <f>E19+(E28+E29)+E32</f>
        <v/>
      </c>
      <c r="F37" s="344" t="n"/>
      <c r="G37" s="117" t="inlineStr">
        <is>
          <t>core LCR =</t>
        </is>
      </c>
      <c r="H37" s="399">
        <f>E37/$H$39</f>
        <v/>
      </c>
      <c r="I37" s="15">
        <f>IF(H37&lt;1,"Liquidity Problem!","")</f>
        <v/>
      </c>
    </row>
    <row r="38" ht="15" customHeight="1">
      <c r="B38" s="117" t="inlineStr">
        <is>
          <t xml:space="preserve">Total Monetary Asset = </t>
        </is>
      </c>
      <c r="C38" s="122">
        <f>C37+C31</f>
        <v/>
      </c>
      <c r="D38" s="119">
        <f>E38/C38</f>
        <v/>
      </c>
      <c r="E38" s="332">
        <f>E37+E31</f>
        <v/>
      </c>
      <c r="F38" s="344" t="n"/>
      <c r="G38" s="117" t="inlineStr">
        <is>
          <t>LCR =</t>
        </is>
      </c>
      <c r="H38" s="399">
        <f>E38/$H$39</f>
        <v/>
      </c>
      <c r="I38" s="344" t="n"/>
    </row>
    <row r="39" ht="15" customHeight="1">
      <c r="B39" s="5" t="inlineStr">
        <is>
          <t>Total Assets =</t>
        </is>
      </c>
      <c r="C39" s="122">
        <f>C21+C35</f>
        <v/>
      </c>
      <c r="D39" s="16">
        <f>E39/C39</f>
        <v/>
      </c>
      <c r="E39" s="332">
        <f>E21+E35</f>
        <v/>
      </c>
      <c r="F39" s="344" t="n"/>
      <c r="G39" s="5" t="inlineStr">
        <is>
          <t>Total Liabilities =</t>
        </is>
      </c>
      <c r="H39" s="122">
        <f>H21+H35</f>
        <v/>
      </c>
      <c r="I39" s="344" t="n"/>
    </row>
    <row r="40" ht="15" customHeight="1">
      <c r="C40" s="344" t="n"/>
      <c r="D40" s="344" t="n"/>
      <c r="E40" s="344" t="n"/>
      <c r="H40" s="344" t="n"/>
    </row>
    <row r="41" ht="14" customHeight="1">
      <c r="B41" s="25" t="inlineStr">
        <is>
          <t>Balance Sheet items Adjustments</t>
        </is>
      </c>
      <c r="C41" s="25" t="n"/>
      <c r="D41" s="81" t="n"/>
    </row>
    <row r="42" ht="14" customHeight="1">
      <c r="B42" s="123" t="inlineStr">
        <is>
          <t>1. MV of Minority Interests</t>
        </is>
      </c>
      <c r="C42" s="5" t="n"/>
      <c r="D42" s="344" t="n"/>
    </row>
    <row r="43" ht="14" customHeight="1">
      <c r="B43" s="5" t="inlineStr">
        <is>
          <t>Minority Interest</t>
        </is>
      </c>
      <c r="C43" s="345" t="n">
        <v>138648</v>
      </c>
      <c r="D43" s="77">
        <f>IF(E43=C43,"BV of the MI","P/B Approach")</f>
        <v/>
      </c>
      <c r="E43" s="332">
        <f>MAX(C43,C43*Dashboard!H11)</f>
        <v/>
      </c>
      <c r="F43" s="344" t="n"/>
    </row>
    <row r="44" ht="15" customHeight="1">
      <c r="C44" s="344" t="n"/>
      <c r="D44" s="344" t="n"/>
      <c r="E44" s="344" t="n"/>
    </row>
    <row r="45" ht="14" customHeight="1">
      <c r="B45" s="5" t="inlineStr">
        <is>
          <t>2. Total Debt and Options</t>
        </is>
      </c>
      <c r="C45" s="5" t="n"/>
      <c r="D45" s="344" t="n"/>
      <c r="F45" s="82" t="n"/>
    </row>
    <row r="46" ht="14" customHeight="1">
      <c r="B46" s="109" t="inlineStr">
        <is>
          <t>+ Preference Shares</t>
        </is>
      </c>
      <c r="C46" s="344" t="n"/>
      <c r="D46" s="345" t="n">
        <v>0</v>
      </c>
      <c r="E46" s="363" t="n"/>
      <c r="F46" s="5" t="n"/>
    </row>
    <row r="47" ht="14" customHeight="1">
      <c r="B47" s="109" t="inlineStr">
        <is>
          <t>+ MV of the Options</t>
        </is>
      </c>
      <c r="C47" s="344" t="n"/>
      <c r="D47" s="345" t="n">
        <v>0</v>
      </c>
      <c r="E47" s="363" t="n"/>
      <c r="F47" s="344" t="inlineStr">
        <is>
          <t>// If avg exercise price &gt; current price, then assume 0</t>
        </is>
      </c>
    </row>
    <row r="48" ht="12.5" customHeight="1">
      <c r="B48" s="82" t="inlineStr">
        <is>
          <t>Interest-bearing Debt = Total Debt</t>
        </is>
      </c>
      <c r="C48" s="344" t="n"/>
      <c r="D48" s="332">
        <f>Data!C24+D46+D47</f>
        <v/>
      </c>
      <c r="E48" s="363" t="n"/>
      <c r="F48" s="5" t="inlineStr">
        <is>
          <t>// Use BV Debt by default</t>
        </is>
      </c>
    </row>
    <row r="49" ht="15" customHeight="1">
      <c r="D49" s="344" t="n"/>
      <c r="E49" s="344" t="n"/>
    </row>
    <row r="50" ht="14" customHeight="1">
      <c r="B50" s="5" t="inlineStr">
        <is>
          <t>3. Non-operating Assets, STI &amp; Cash</t>
        </is>
      </c>
      <c r="C50" s="5" t="n"/>
      <c r="D50" s="344" t="n"/>
      <c r="F50" s="21" t="inlineStr">
        <is>
          <t>Discount %</t>
        </is>
      </c>
    </row>
    <row r="51" ht="15" customHeight="1">
      <c r="B51" s="82" t="inlineStr">
        <is>
          <t>Quickly realizable Non-operating Assets</t>
        </is>
      </c>
      <c r="C51" s="344" t="n"/>
      <c r="D51" s="346">
        <f>E11+E12+E25+E28+E29</f>
        <v/>
      </c>
      <c r="E51" s="363" t="n"/>
      <c r="F51" s="16">
        <f>1-(E12+E25+E28+E29)/(C12+C25+C28+C29)</f>
        <v/>
      </c>
      <c r="G51" s="344" t="n"/>
    </row>
    <row r="52" ht="14" customHeight="1">
      <c r="B52" s="82" t="inlineStr">
        <is>
          <t>Cash and cash equivalents</t>
        </is>
      </c>
      <c r="C52" s="344" t="n"/>
      <c r="D52" s="332">
        <f>C10+C32</f>
        <v/>
      </c>
      <c r="E52" s="363" t="n"/>
      <c r="F52" s="344" t="n"/>
    </row>
    <row r="53" ht="14" customHeight="1">
      <c r="B53" s="82" t="inlineStr">
        <is>
          <t>Market EV</t>
        </is>
      </c>
      <c r="C53" s="344" t="n"/>
      <c r="D53" s="332">
        <f>((Dashboard!H6*1000)+D48+E43-(C12+C25+C28+C29)-D52)</f>
        <v/>
      </c>
      <c r="E53" s="363" t="n"/>
      <c r="F53" s="344" t="n"/>
    </row>
    <row r="54" ht="15" customHeight="1">
      <c r="D54" s="344" t="n"/>
      <c r="E54" s="344" t="n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sqref="D43" showErrorMessage="1" showInputMessage="1" allowBlank="1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B6D7A8"/>
    <outlinePr summaryBelow="0" summaryRight="0"/>
    <pageSetUpPr/>
  </sheetPr>
  <dimension ref="A1:M64"/>
  <sheetViews>
    <sheetView showGridLines="0" zoomScale="125" workbookViewId="0">
      <selection activeCell="G17" sqref="G17"/>
    </sheetView>
  </sheetViews>
  <sheetFormatPr baseColWidth="10" defaultColWidth="12.5" defaultRowHeight="15" customHeight="1"/>
  <cols>
    <col width="2.5" customWidth="1" style="3" min="1" max="1"/>
    <col width="26.83203125" customWidth="1" style="3" min="2" max="2"/>
    <col width="22.6640625" customWidth="1" style="3" min="3" max="7"/>
    <col width="2.5" customWidth="1" style="3" min="8" max="8"/>
    <col width="12.5" customWidth="1" style="3" min="9" max="16384"/>
  </cols>
  <sheetData>
    <row r="1" ht="15" customHeight="1">
      <c r="C1" s="344" t="n"/>
      <c r="D1" s="344" t="n"/>
      <c r="E1" s="344" t="n"/>
    </row>
    <row r="2" ht="15.75" customHeight="1">
      <c r="A2" s="4" t="n"/>
      <c r="B2" s="200" t="inlineStr">
        <is>
          <t>FCF Model</t>
        </is>
      </c>
      <c r="C2" s="277" t="n"/>
      <c r="D2" s="277" t="n"/>
      <c r="E2" s="277" t="n"/>
      <c r="F2" s="277" t="n"/>
      <c r="G2" s="277" t="n"/>
      <c r="H2" s="277" t="n"/>
      <c r="I2" s="277" t="n"/>
      <c r="J2" s="277" t="n"/>
      <c r="K2" s="277" t="n"/>
      <c r="L2" s="277" t="n"/>
    </row>
    <row r="3" ht="15.75" customHeight="1">
      <c r="A3" s="344" t="n"/>
      <c r="B3" s="125" t="inlineStr">
        <is>
          <t>Value Drivers</t>
        </is>
      </c>
      <c r="C3" s="400" t="n">
        <v>4</v>
      </c>
      <c r="D3" s="127">
        <f>IF(E7="","next 1 years","next 3 years")</f>
        <v/>
      </c>
      <c r="E3" s="127" t="inlineStr">
        <is>
          <t>Terminal Growth</t>
        </is>
      </c>
      <c r="F3" s="27" t="n"/>
      <c r="G3" s="344" t="n"/>
      <c r="H3" s="344" t="n"/>
      <c r="I3" s="344" t="n"/>
      <c r="J3" s="344" t="n"/>
      <c r="K3" s="344" t="n"/>
      <c r="L3" s="344" t="n"/>
    </row>
    <row r="4" ht="15.75" customHeight="1">
      <c r="A4" s="344" t="n"/>
      <c r="B4" s="128" t="inlineStr">
        <is>
          <t>EBIT Growth</t>
        </is>
      </c>
      <c r="C4" s="129">
        <f>Data!J4</f>
        <v/>
      </c>
      <c r="D4" s="130">
        <f>IF(E7="",D16/C16-1,(G16/C16)^(1/4)-1)</f>
        <v/>
      </c>
      <c r="E4" s="129">
        <f>IF(Dashboard!D9&gt;5%,5%,IF(Dashboard!D9&lt;3.5%,3.5%,Dashboard!D9))</f>
        <v/>
      </c>
      <c r="F4" s="131" t="inlineStr">
        <is>
          <t>// When forecasting: 1. decompose your forecast 2. inside &amp; outside views 3. invert by finding what's impossible to happen.</t>
        </is>
      </c>
    </row>
    <row r="5" ht="15.75" customHeight="1">
      <c r="B5" s="132" t="n"/>
      <c r="C5" s="344" t="n"/>
      <c r="D5" s="344" t="n"/>
      <c r="E5" s="344" t="n"/>
    </row>
    <row r="6" ht="15.75" customHeight="1">
      <c r="B6" s="41">
        <f>"(Numbers in "&amp;Data!C4&amp;Dashboard!H12&amp;")"</f>
        <v/>
      </c>
      <c r="C6" s="40">
        <f>RIGHT(Data!C6,4)</f>
        <v/>
      </c>
      <c r="D6" s="40" t="n">
        <v>1</v>
      </c>
      <c r="E6" s="40">
        <f>"2 "&amp;IF(F7="","(Normalized)","(Base)")</f>
        <v/>
      </c>
      <c r="F6" s="40">
        <f>IF(F15="","","3 (Normalized)")</f>
        <v/>
      </c>
      <c r="G6" s="40" t="inlineStr">
        <is>
          <t>Terminal Year</t>
        </is>
      </c>
      <c r="I6" s="133" t="inlineStr">
        <is>
          <t>Note</t>
        </is>
      </c>
    </row>
    <row r="7" ht="15.75" customHeight="1">
      <c r="B7" s="5" t="inlineStr">
        <is>
          <t>Revenue Growth</t>
        </is>
      </c>
      <c r="C7" s="61">
        <f>Data!C8</f>
        <v/>
      </c>
      <c r="D7" s="134">
        <f>D8/C8-1</f>
        <v/>
      </c>
      <c r="E7" s="135" t="n"/>
      <c r="F7" s="238" t="n"/>
      <c r="G7" s="226" t="n"/>
      <c r="H7" s="344" t="n"/>
      <c r="I7" s="136" t="n"/>
    </row>
    <row r="8" ht="15.75" customHeight="1">
      <c r="B8" s="5" t="inlineStr">
        <is>
          <t>Total Revenue =</t>
        </is>
      </c>
      <c r="C8" s="137">
        <f>Data!C7</f>
        <v/>
      </c>
      <c r="D8" s="244">
        <f>2033134*2</f>
        <v/>
      </c>
      <c r="E8" s="401">
        <f>IF(E7="","",D8*(1+E7))</f>
        <v/>
      </c>
      <c r="F8" s="402" t="n"/>
      <c r="G8" s="226" t="n"/>
      <c r="H8" s="344" t="n"/>
      <c r="I8" s="136" t="n"/>
      <c r="M8" s="107" t="n"/>
    </row>
    <row r="9" ht="15.75" customHeight="1">
      <c r="B9" s="8" t="inlineStr">
        <is>
          <t>COGS =</t>
        </is>
      </c>
      <c r="C9" s="72">
        <f>Data!C9</f>
        <v/>
      </c>
      <c r="D9" s="245">
        <f>D8*(1-D10)</f>
        <v/>
      </c>
      <c r="E9" s="403">
        <f>IF(E7="","",E8*(1-E10))</f>
        <v/>
      </c>
      <c r="F9" s="402" t="n"/>
      <c r="G9" s="226" t="n"/>
      <c r="H9" s="344" t="n"/>
      <c r="I9" s="240" t="n"/>
      <c r="M9" s="1" t="n"/>
    </row>
    <row r="10" ht="15.75" customHeight="1">
      <c r="B10" s="139" t="inlineStr">
        <is>
          <t>Gross Margin =</t>
        </is>
      </c>
      <c r="C10" s="61">
        <f>Data!C10</f>
        <v/>
      </c>
      <c r="D10" s="140" t="n">
        <v>0.314247</v>
      </c>
      <c r="E10" s="140" t="n"/>
      <c r="F10" s="241" t="n"/>
      <c r="G10" s="226" t="n"/>
      <c r="H10" s="344" t="n"/>
      <c r="I10" s="136" t="n"/>
    </row>
    <row r="11" ht="15.75" customHeight="1">
      <c r="B11" s="5" t="inlineStr">
        <is>
          <t xml:space="preserve">Gross profit = </t>
        </is>
      </c>
      <c r="C11" s="332">
        <f>C8-C9</f>
        <v/>
      </c>
      <c r="D11" s="70">
        <f>D8-D9</f>
        <v/>
      </c>
      <c r="E11" s="70">
        <f>IF(E7="","",E8-E9)</f>
        <v/>
      </c>
      <c r="F11" s="242" t="n"/>
      <c r="G11" s="226" t="n"/>
      <c r="H11" s="344" t="n"/>
      <c r="I11" s="136" t="n"/>
    </row>
    <row r="12" ht="15.75" customHeight="1">
      <c r="B12" s="139" t="inlineStr">
        <is>
          <t>Operating Expenses/Sales</t>
        </is>
      </c>
      <c r="C12" s="355">
        <f>Data!C12</f>
        <v/>
      </c>
      <c r="D12" s="141">
        <f>D13/D8</f>
        <v/>
      </c>
      <c r="E12" s="142" t="n"/>
      <c r="F12" s="241" t="n"/>
      <c r="G12" s="226" t="n"/>
      <c r="H12" s="344" t="n"/>
      <c r="I12" s="136" t="n"/>
    </row>
    <row r="13" ht="15.75" customHeight="1">
      <c r="B13" s="8" t="inlineStr">
        <is>
          <t>Operating Expenses =</t>
        </is>
      </c>
      <c r="C13" s="143">
        <f>Data!C11</f>
        <v/>
      </c>
      <c r="D13" s="144">
        <f>(266649+140848+17023)*2</f>
        <v/>
      </c>
      <c r="E13" s="138">
        <f>IF(E7="","",E8*E12)</f>
        <v/>
      </c>
      <c r="F13" s="242" t="n"/>
      <c r="G13" s="226" t="n"/>
      <c r="H13" s="344" t="n"/>
      <c r="I13" s="136" t="n"/>
    </row>
    <row r="14" ht="15.75" customHeight="1">
      <c r="B14" s="139" t="inlineStr">
        <is>
          <t>EBIT Margin =</t>
        </is>
      </c>
      <c r="C14" s="20">
        <f>Data!C13</f>
        <v/>
      </c>
      <c r="D14" s="134">
        <f>D16/D8</f>
        <v/>
      </c>
      <c r="E14" s="134">
        <f>IF(E7="","",E16/E8)</f>
        <v/>
      </c>
      <c r="F14" s="243" t="n"/>
      <c r="G14" s="226" t="n"/>
      <c r="H14" s="344" t="n"/>
      <c r="I14" s="136" t="n"/>
      <c r="M14" s="107" t="n"/>
    </row>
    <row r="15" ht="15.75" customHeight="1">
      <c r="B15" s="145" t="inlineStr">
        <is>
          <t>EBIT growth rate</t>
        </is>
      </c>
      <c r="C15" s="16">
        <f>Data!C15</f>
        <v/>
      </c>
      <c r="D15" s="141">
        <f>IF(ABS(C16+D16)=ABS(C16)+ABS(D16),IF(D16&lt;0,-1,1)*(D16-C16)/C16,"Turn")</f>
        <v/>
      </c>
      <c r="E15" s="141">
        <f>IF(E7="","",IF(ABS(D16+E16)=ABS(D16)+ABS(E16),IF(E16&lt;0,-1,1)*(E16-D16)/D16,"Turn"))</f>
        <v/>
      </c>
      <c r="F15" s="246" t="n"/>
      <c r="G15" s="146">
        <f>G19*G20</f>
        <v/>
      </c>
      <c r="H15" s="344" t="n"/>
      <c r="I15" s="147" t="inlineStr">
        <is>
          <t>// Risk free as proxy in the Long-run, with an range of 3.5-5%</t>
        </is>
      </c>
      <c r="K15" s="148" t="n"/>
      <c r="M15" s="148" t="n"/>
    </row>
    <row r="16" ht="15.75" customHeight="1">
      <c r="B16" s="5" t="inlineStr">
        <is>
          <t>EBIT</t>
        </is>
      </c>
      <c r="C16" s="332">
        <f>IF(Data!D50="No",Data!C69,Data!D69)</f>
        <v/>
      </c>
      <c r="D16" s="70">
        <f>D11-D13</f>
        <v/>
      </c>
      <c r="E16" s="70">
        <f>IF(E7="","",E11-E13)</f>
        <v/>
      </c>
      <c r="F16" s="70">
        <f>IF(F15="","",E16*(1+F15))</f>
        <v/>
      </c>
      <c r="G16" s="332">
        <f>IF(F15="",IF(E15="",C28,E16*(1+G15)),F16*(1+G15))</f>
        <v/>
      </c>
      <c r="H16" s="344" t="n"/>
      <c r="I16" s="149" t="n"/>
      <c r="K16" s="106" t="n"/>
      <c r="M16" s="106" t="n"/>
    </row>
    <row r="17" ht="15.75" customHeight="1">
      <c r="B17" s="22" t="inlineStr">
        <is>
          <t>Tax rate</t>
        </is>
      </c>
      <c r="C17" s="227" t="n"/>
      <c r="D17" s="150" t="n">
        <v>0.25</v>
      </c>
      <c r="E17" s="42">
        <f>IF(E7="","",D17)</f>
        <v/>
      </c>
      <c r="F17" s="42">
        <f>IF(F15="","",D17)</f>
        <v/>
      </c>
      <c r="G17" s="75">
        <f>D17</f>
        <v/>
      </c>
      <c r="H17" s="344" t="n"/>
      <c r="I17" s="148" t="n"/>
      <c r="K17" s="107" t="n"/>
      <c r="M17" s="107" t="n"/>
    </row>
    <row r="18" ht="15.75" customHeight="1">
      <c r="B18" s="5" t="inlineStr">
        <is>
          <t>NOPAT</t>
        </is>
      </c>
      <c r="C18" s="151">
        <f>IF(Data!D50="No",Data!C72,Data!D72)</f>
        <v/>
      </c>
      <c r="D18" s="152">
        <f>IF(D16&lt;=0,D16,D16*(1-D17))</f>
        <v/>
      </c>
      <c r="E18" s="152">
        <f>IF(E7="","",IF(E16&lt;=0,E16,E16*(1-E17)))</f>
        <v/>
      </c>
      <c r="F18" s="152">
        <f>IF(F15="","",IF(F16&lt;=0,F16,F16*(1-F17)))</f>
        <v/>
      </c>
      <c r="G18" s="151">
        <f>G16*(1-G17)</f>
        <v/>
      </c>
      <c r="H18" s="344" t="n"/>
      <c r="I18" s="153" t="n"/>
      <c r="K18" s="106" t="n"/>
      <c r="M18" s="106" t="n"/>
    </row>
    <row r="19" ht="15.75" customHeight="1">
      <c r="B19" s="19" t="inlineStr">
        <is>
          <t>Incremental ROCE</t>
        </is>
      </c>
      <c r="C19" s="154" t="n"/>
      <c r="D19" s="154" t="n"/>
      <c r="E19" s="154" t="n"/>
      <c r="F19" s="39" t="n"/>
      <c r="G19" s="16">
        <f>G23</f>
        <v/>
      </c>
      <c r="H19" s="344" t="n"/>
      <c r="I19" s="136" t="inlineStr">
        <is>
          <t>// 0 excess return assumption at terminal year</t>
        </is>
      </c>
      <c r="K19" s="107" t="n"/>
      <c r="M19" s="107" t="n"/>
    </row>
    <row r="20" ht="15.75" customHeight="1">
      <c r="B20" s="19" t="inlineStr">
        <is>
          <t>Reinvestment/NOPAT</t>
        </is>
      </c>
      <c r="C20" s="16">
        <f>C21/C18</f>
        <v/>
      </c>
      <c r="D20" s="39">
        <f>IF(E7="",G20,D21/D18)</f>
        <v/>
      </c>
      <c r="E20" s="116" t="n"/>
      <c r="F20" s="39">
        <f>IF(F15="","",G15/G19)</f>
        <v/>
      </c>
      <c r="G20" s="16">
        <f>E4/G19</f>
        <v/>
      </c>
      <c r="H20" s="344" t="n"/>
      <c r="I20" s="147" t="inlineStr">
        <is>
          <t>// Growth rate=Reinvestment rate*ROIC in the Long-run</t>
        </is>
      </c>
    </row>
    <row r="21" ht="15" customHeight="1" thickBot="1">
      <c r="B21" s="155" t="inlineStr">
        <is>
          <t>Reinvestment</t>
        </is>
      </c>
      <c r="C21" s="156">
        <f>IF(Data!D50="No",Data!C71,Data!D71)</f>
        <v/>
      </c>
      <c r="D21" s="157" t="n"/>
      <c r="E21" s="158">
        <f>IF(E7="","",IF(F15="",E18*G20,E20*E18))</f>
        <v/>
      </c>
      <c r="F21" s="247" t="n"/>
      <c r="G21" s="247" t="n"/>
      <c r="H21" s="159" t="n"/>
      <c r="I21" s="106" t="n"/>
      <c r="M21" s="106" t="n"/>
    </row>
    <row r="22" ht="15.75" customHeight="1" thickTop="1">
      <c r="B22" s="8" t="inlineStr">
        <is>
          <t>FCFF</t>
        </is>
      </c>
      <c r="C22" s="249" t="n"/>
      <c r="D22" s="160">
        <f>IF(D18="","",IF(E7="",D18*(1-D20),D18-D21))</f>
        <v/>
      </c>
      <c r="E22" s="160">
        <f>IF(E7="","",E18-E21)</f>
        <v/>
      </c>
      <c r="F22" s="160">
        <f>IF(F15="","",F18*(1-F20))</f>
        <v/>
      </c>
      <c r="G22" s="161">
        <f>G18*(1-G20)</f>
        <v/>
      </c>
      <c r="H22" s="159" t="n"/>
      <c r="I22" s="106" t="n"/>
      <c r="M22" s="106" t="n"/>
    </row>
    <row r="23" ht="15.75" customHeight="1">
      <c r="B23" s="19" t="inlineStr">
        <is>
          <t>Discount Rate</t>
        </is>
      </c>
      <c r="C23" s="231" t="n"/>
      <c r="D23" s="229">
        <f>Dashboard!D11</f>
        <v/>
      </c>
      <c r="E23" s="134">
        <f>IF(E7="","",D23)</f>
        <v/>
      </c>
      <c r="F23" s="134">
        <f>IF(F15="","",D23)</f>
        <v/>
      </c>
      <c r="G23" s="20">
        <f>Dashboard!D13</f>
        <v/>
      </c>
      <c r="H23" s="113" t="n"/>
      <c r="I23" s="107" t="n"/>
      <c r="J23" s="344" t="n"/>
      <c r="M23" s="107" t="n"/>
    </row>
    <row r="24" ht="15.75" customHeight="1" thickBot="1">
      <c r="B24" s="162" t="inlineStr">
        <is>
          <t>Cumulated Discount factor</t>
        </is>
      </c>
      <c r="C24" s="230" t="n"/>
      <c r="D24" s="232">
        <f>IF(D16="","",1+D23)</f>
        <v/>
      </c>
      <c r="E24" s="163">
        <f>IF(E7="","",(1+D23)*(1+E23))</f>
        <v/>
      </c>
      <c r="F24" s="163">
        <f>IF(F15="","",(1+D23)*(1+E23)*(1+F23))</f>
        <v/>
      </c>
      <c r="G24" s="164">
        <f>IF(F15="",IF(E7="",D24,E24),F24)*(1+G23)</f>
        <v/>
      </c>
      <c r="H24" s="113" t="n"/>
      <c r="I24" s="107" t="n"/>
      <c r="M24" s="107" t="n"/>
    </row>
    <row r="25" ht="15.75" customHeight="1" thickTop="1">
      <c r="B25" s="8" t="inlineStr">
        <is>
          <t>PV of FCFF</t>
        </is>
      </c>
      <c r="C25" s="228" t="n"/>
      <c r="D25" s="233">
        <f>IF(D16="","",D22/D24)</f>
        <v/>
      </c>
      <c r="E25" s="248">
        <f>IF(E7="","",E22/E24)</f>
        <v/>
      </c>
      <c r="F25" s="248">
        <f>IF(F15="","",F22/F24)</f>
        <v/>
      </c>
      <c r="G25" s="234" t="n"/>
      <c r="H25" s="153" t="n"/>
      <c r="I25" s="106" t="n"/>
      <c r="M25" s="106" t="n"/>
    </row>
    <row r="26" ht="15.75" customHeight="1">
      <c r="F26" s="344" t="n"/>
      <c r="G26" s="235" t="n"/>
    </row>
    <row r="27" ht="15.75" customHeight="1">
      <c r="B27" s="30" t="inlineStr">
        <is>
          <t>Base case return Scenario</t>
        </is>
      </c>
      <c r="C27" s="136" t="inlineStr">
        <is>
          <t>// used as the valuation floor</t>
        </is>
      </c>
      <c r="G27" s="344" t="n"/>
    </row>
    <row r="28" ht="15.75" customHeight="1">
      <c r="B28" s="3" t="inlineStr">
        <is>
          <t>Terminal Yr EBIT =</t>
        </is>
      </c>
      <c r="C28" s="165">
        <f>IF(OR(E15="",F15=""),D16,E16)*(1+G15)</f>
        <v/>
      </c>
      <c r="E28" s="344" t="inlineStr">
        <is>
          <t>NOPAT/TV Yield =</t>
        </is>
      </c>
      <c r="F28" s="16">
        <f>G23</f>
        <v/>
      </c>
      <c r="G28" s="344" t="n"/>
    </row>
    <row r="29" ht="15.75" customHeight="1" thickBot="1">
      <c r="B29" s="3" t="inlineStr">
        <is>
          <t>Terminal Value =</t>
        </is>
      </c>
      <c r="C29" s="166">
        <f>(C28*(1-G17))/F28</f>
        <v/>
      </c>
      <c r="G29" s="344" t="n"/>
    </row>
    <row r="30" ht="15.75" customHeight="1" thickTop="1">
      <c r="B30" s="109" t="inlineStr">
        <is>
          <t>+ PV of Terminal Value =</t>
        </is>
      </c>
      <c r="C30" s="165">
        <f>C29/(IF(OR(E15="",F15=""),D24,E24)*(1+G23))</f>
        <v/>
      </c>
      <c r="G30" s="344" t="n"/>
    </row>
    <row r="31" ht="15.75" customHeight="1">
      <c r="B31" s="109" t="inlineStr">
        <is>
          <t>+ PV of FCFF =</t>
        </is>
      </c>
      <c r="C31" s="165">
        <f>IF(OR(E15="",F15=""),D18*0.5/D24,D25+E25)</f>
        <v/>
      </c>
    </row>
    <row r="32" ht="15.75" customHeight="1">
      <c r="B32" s="109" t="inlineStr">
        <is>
          <t>+ Non-Operating Asset</t>
        </is>
      </c>
      <c r="C32" s="165">
        <f>'Asset Model'!D51</f>
        <v/>
      </c>
    </row>
    <row r="33" ht="15.75" customHeight="1">
      <c r="B33" s="109" t="inlineStr">
        <is>
          <t>+ Cash</t>
        </is>
      </c>
      <c r="C33" s="165">
        <f>Data!C27</f>
        <v/>
      </c>
    </row>
    <row r="34" ht="15.75" customHeight="1">
      <c r="B34" s="82" t="inlineStr">
        <is>
          <t>- Total outstanding debt =</t>
        </is>
      </c>
      <c r="C34" s="165">
        <f>'Asset Model'!D48</f>
        <v/>
      </c>
    </row>
    <row r="35" ht="15.75" customHeight="1" thickBot="1">
      <c r="B35" s="167" t="inlineStr">
        <is>
          <t>- MV of Minority Interests</t>
        </is>
      </c>
      <c r="C35" s="165">
        <f>'Asset Model'!E43</f>
        <v/>
      </c>
    </row>
    <row r="36" ht="15.75" customHeight="1" thickTop="1">
      <c r="B36" s="5" t="inlineStr">
        <is>
          <t>Value per common share =</t>
        </is>
      </c>
      <c r="C36" s="168">
        <f>C30+C31+(C32+C33-C34-C35)</f>
        <v/>
      </c>
      <c r="D36" s="169">
        <f>Dashboard!H12</f>
        <v/>
      </c>
      <c r="E36" s="344" t="n"/>
    </row>
    <row r="37" ht="15.75" customHeight="1">
      <c r="B37" s="5" t="inlineStr">
        <is>
          <t>Value of equity per share =</t>
        </is>
      </c>
      <c r="C37" s="170">
        <f>C36*Data!C4/Common_Shares*Exchange_Rate</f>
        <v/>
      </c>
      <c r="D37" s="78">
        <f>Dashboard!I4</f>
        <v/>
      </c>
      <c r="E37" s="344" t="n"/>
    </row>
    <row r="38" ht="15.75" customHeight="1">
      <c r="C38" s="344" t="n"/>
      <c r="D38" s="344" t="n"/>
      <c r="G38" s="344" t="n"/>
    </row>
    <row r="39" ht="15.75" customHeight="1">
      <c r="B39" s="30" t="inlineStr">
        <is>
          <t>Normalized return Scenario</t>
        </is>
      </c>
      <c r="C39" s="171" t="n"/>
      <c r="D39" s="27" t="n"/>
      <c r="E39" s="172" t="n"/>
      <c r="F39" s="404" t="n"/>
    </row>
    <row r="40" ht="15.75" customHeight="1">
      <c r="B40" s="3" t="inlineStr">
        <is>
          <t>Terminal Yr EBIT =</t>
        </is>
      </c>
      <c r="C40" s="165">
        <f>G16</f>
        <v/>
      </c>
      <c r="D40" s="27" t="n"/>
      <c r="E40" s="172" t="n"/>
      <c r="F40" s="404" t="n"/>
    </row>
    <row r="41" ht="15.75" customHeight="1" thickBot="1">
      <c r="B41" s="82" t="inlineStr">
        <is>
          <t>Terminal Value =</t>
        </is>
      </c>
      <c r="C41" s="166">
        <f>G22/(G23-G15)</f>
        <v/>
      </c>
      <c r="D41" s="174" t="n"/>
      <c r="E41" s="344" t="inlineStr">
        <is>
          <t>NOPAT/TV Yield =</t>
        </is>
      </c>
      <c r="F41" s="16">
        <f>G18/C41</f>
        <v/>
      </c>
      <c r="G41" s="344" t="n"/>
      <c r="M41" s="1" t="n"/>
    </row>
    <row r="42" ht="15.75" customHeight="1" thickTop="1">
      <c r="B42" s="109" t="inlineStr">
        <is>
          <t>+ PV of Terminal Value =</t>
        </is>
      </c>
      <c r="C42" s="165">
        <f>C41/G24</f>
        <v/>
      </c>
      <c r="D42" s="175" t="n"/>
      <c r="F42" s="344" t="n"/>
      <c r="G42" s="344" t="n"/>
      <c r="I42" s="348" t="n"/>
      <c r="L42" s="405" t="n"/>
      <c r="M42" s="177" t="n"/>
    </row>
    <row r="43" ht="15.75" customHeight="1" thickBot="1">
      <c r="B43" s="109" t="inlineStr">
        <is>
          <t>+ PV of FCFF =</t>
        </is>
      </c>
      <c r="C43" s="165">
        <f>SUM(D25:F25)</f>
        <v/>
      </c>
      <c r="D43" s="175" t="n"/>
      <c r="F43" s="344" t="n"/>
      <c r="G43" s="344" t="n"/>
      <c r="I43" s="348" t="n"/>
      <c r="J43" s="348" t="n"/>
      <c r="K43" s="348" t="n"/>
      <c r="L43" s="405" t="n"/>
      <c r="M43" s="177" t="n"/>
    </row>
    <row r="44" ht="15.75" customHeight="1" thickTop="1">
      <c r="B44" s="5" t="inlineStr">
        <is>
          <t>Value per common share =</t>
        </is>
      </c>
      <c r="C44" s="168">
        <f>C43+C42+(C32+C33-C34-C35)</f>
        <v/>
      </c>
      <c r="D44" s="169">
        <f>Dashboard!H12</f>
        <v/>
      </c>
      <c r="E44" s="172" t="inlineStr">
        <is>
          <t xml:space="preserve">PE = </t>
        </is>
      </c>
      <c r="F44" s="368">
        <f>IF(Data!F3&lt;=0,"NNI",C45/((Data!F3*Exchange_Rate)/(Common_Shares/Data!C4)))</f>
        <v/>
      </c>
      <c r="G44" s="344" t="n"/>
      <c r="H44" s="178" t="n"/>
      <c r="I44" s="344" t="n"/>
    </row>
    <row r="45" ht="15.75" customHeight="1">
      <c r="B45" s="5" t="inlineStr">
        <is>
          <t>Value of equity per share =</t>
        </is>
      </c>
      <c r="C45" s="170">
        <f>C44*Data!C4/Common_Shares*Exchange_Rate</f>
        <v/>
      </c>
      <c r="D45" s="78">
        <f>Dashboard!I4</f>
        <v/>
      </c>
      <c r="E45" s="172" t="inlineStr">
        <is>
          <t xml:space="preserve">PB = </t>
        </is>
      </c>
      <c r="F45" s="368">
        <f>C45/(Data!C25*Exchange_Rate*Data!C4/Common_Shares)</f>
        <v/>
      </c>
      <c r="G45" s="344" t="n"/>
    </row>
    <row r="46" ht="15.75" customHeight="1">
      <c r="C46" s="344" t="n"/>
      <c r="D46" s="344" t="n"/>
      <c r="F46" s="344" t="n"/>
      <c r="I46" s="82" t="n"/>
      <c r="J46" s="179" t="n"/>
    </row>
    <row r="47" ht="15.75" customHeight="1">
      <c r="C47" s="180" t="inlineStr">
        <is>
          <t>Exit TV/NOPAT</t>
        </is>
      </c>
      <c r="D47" s="276" t="inlineStr">
        <is>
          <t>Exit NOPAT Rate</t>
        </is>
      </c>
      <c r="E47" s="180" t="inlineStr">
        <is>
          <t>Terminal Value</t>
        </is>
      </c>
      <c r="F47" s="181" t="inlineStr">
        <is>
          <t>Value per share</t>
        </is>
      </c>
      <c r="G47" s="180" t="inlineStr">
        <is>
          <t>LFY PE</t>
        </is>
      </c>
      <c r="I47" s="182" t="inlineStr">
        <is>
          <t>Note</t>
        </is>
      </c>
    </row>
    <row r="48" hidden="1" ht="15.75" customHeight="1">
      <c r="C48" s="344" t="n"/>
      <c r="D48" s="344" t="n"/>
      <c r="E48" s="183">
        <f>G18/F41</f>
        <v/>
      </c>
      <c r="F48" s="184" t="n"/>
      <c r="I48" s="185" t="n"/>
    </row>
    <row r="49" ht="15.75" customHeight="1">
      <c r="B49" s="3" t="inlineStr">
        <is>
          <t>Worst case</t>
        </is>
      </c>
      <c r="C49" s="406">
        <f>1/D49</f>
        <v/>
      </c>
      <c r="D49" s="16">
        <f>F41</f>
        <v/>
      </c>
      <c r="E49" s="187">
        <f/>
        <v/>
      </c>
      <c r="F49" s="188">
        <f>(E49/G24+C43+(C32+C33-C34-C35))*Data!C$4/Common_Shares*Exchange_Rate</f>
        <v/>
      </c>
      <c r="G49" s="407">
        <f>IF(Data!F$3&lt;=0,"NNI",F49/((Data!F$3*Exchange_Rate)/(Common_Shares/Data!C$4)))</f>
        <v/>
      </c>
      <c r="I49" s="136" t="inlineStr">
        <is>
          <t>No excess return</t>
        </is>
      </c>
    </row>
    <row r="50" ht="15.75" customHeight="1">
      <c r="C50" s="408">
        <f>1/D50</f>
        <v/>
      </c>
      <c r="D50" s="16">
        <f>D49-((D$49-D$54)/5)</f>
        <v/>
      </c>
      <c r="E50" s="191" t="n">
        <v>4578703.253000599</v>
      </c>
      <c r="F50" s="188">
        <f>(E50/G24+C43+(C32+C33-C34-C35))*Data!C$4/Common_Shares*Exchange_Rate</f>
        <v/>
      </c>
      <c r="G50" s="408">
        <f>IF(Data!F$3&lt;=0,"NNI",F50/((Data!F$3*Exchange_Rate)/(Common_Shares/Data!C$4)))</f>
        <v/>
      </c>
      <c r="I50" s="136" t="n"/>
    </row>
    <row r="51" ht="15.75" customHeight="1">
      <c r="C51" s="408">
        <f>1/D51</f>
        <v/>
      </c>
      <c r="D51" s="16">
        <f>D50-((D$49-D$54)/5)</f>
        <v/>
      </c>
      <c r="E51" s="191" t="n">
        <v>5509718.370370061</v>
      </c>
      <c r="F51" s="188">
        <f>(E51/G24+C43+(C32+C33-C34-C35))*Data!C$4/Common_Shares*Exchange_Rate</f>
        <v/>
      </c>
      <c r="G51" s="408">
        <f>IF(Data!F$3&lt;=0,"NNI",F51/((Data!F$3*Exchange_Rate)/(Common_Shares/Data!C$4)))</f>
        <v/>
      </c>
      <c r="I51" s="136" t="n"/>
    </row>
    <row r="52" ht="15.75" customHeight="1">
      <c r="C52" s="408">
        <f>1/D52</f>
        <v/>
      </c>
      <c r="D52" s="16">
        <f>D51-((D$49-D$54)/5)</f>
        <v/>
      </c>
      <c r="E52" s="191" t="n">
        <v>6743861.003593143</v>
      </c>
      <c r="F52" s="188">
        <f>(E52/G24+C43+(C32+C33-C34-C35))*Data!C$4/Common_Shares*Exchange_Rate</f>
        <v/>
      </c>
      <c r="G52" s="408">
        <f>IF(Data!F$3&lt;=0,"NNI",F52/((Data!F$3*Exchange_Rate)/(Common_Shares/Data!C$4)))</f>
        <v/>
      </c>
      <c r="I52" s="136" t="inlineStr">
        <is>
          <t>NOPAT yield &lt; Discount rate ⇒ growth expectation</t>
        </is>
      </c>
    </row>
    <row r="53" ht="15.75" customHeight="1">
      <c r="C53" s="408">
        <f>1/D53</f>
        <v/>
      </c>
      <c r="D53" s="16">
        <f>D52-((D$49-D$54)/5)</f>
        <v/>
      </c>
      <c r="E53" s="191" t="n">
        <v>7658807.830561219</v>
      </c>
      <c r="F53" s="188">
        <f>(E53/G24+C43+(C32+C33-C34-C35))*Data!C$4/Common_Shares*Exchange_Rate</f>
        <v/>
      </c>
      <c r="G53" s="408">
        <f>IF(Data!F$3&lt;=0,"NNI",F53/((Data!F$3*Exchange_Rate)/(Common_Shares/Data!C$4)))</f>
        <v/>
      </c>
      <c r="I53" s="136" t="n"/>
    </row>
    <row r="54" ht="15.75" customHeight="1">
      <c r="B54" s="3" t="inlineStr">
        <is>
          <t>Reasonable Case</t>
        </is>
      </c>
      <c r="C54" s="409">
        <f>1/D54</f>
        <v/>
      </c>
      <c r="D54" s="150" t="n">
        <v>0.042</v>
      </c>
      <c r="E54" s="193" t="n">
        <v>7927697.63233818</v>
      </c>
      <c r="F54" s="194">
        <f>(E54/G24+C43+(C32+C33-C34-C35))*Data!C$4/Common_Shares*Exchange_Rate</f>
        <v/>
      </c>
      <c r="G54" s="409">
        <f>IF(Data!F$3&lt;=0,"NNI",F54/((Data!F$3*Exchange_Rate)/(Common_Shares/Data!C$4)))</f>
        <v/>
      </c>
      <c r="I54" s="136" t="n"/>
    </row>
    <row r="55" ht="15.5" customHeight="1">
      <c r="C55" s="344" t="n"/>
      <c r="D55" s="344" t="n"/>
      <c r="E55" s="344" t="n"/>
      <c r="F55" s="344" t="n"/>
      <c r="G55" s="344" t="n"/>
    </row>
    <row r="56" ht="15.75" customHeight="1">
      <c r="A56" s="12" t="n"/>
      <c r="B56" s="343" t="inlineStr">
        <is>
          <t>Valuation Output:</t>
        </is>
      </c>
      <c r="C56" s="276" t="inlineStr">
        <is>
          <t>No excess return</t>
        </is>
      </c>
      <c r="D56" s="181" t="n"/>
      <c r="E56" s="181">
        <f>IF(D57="&gt;","Hight future interest rate scenario","Optimistic scenario")</f>
        <v/>
      </c>
      <c r="F56" s="181" t="n"/>
      <c r="G56" s="181" t="n"/>
      <c r="H56" s="277" t="n"/>
      <c r="I56" s="196" t="n"/>
      <c r="J56" s="277" t="n"/>
      <c r="K56" s="277" t="n"/>
      <c r="L56" s="277" t="n"/>
    </row>
    <row r="57" ht="15.75" customHeight="1">
      <c r="A57" s="344" t="n"/>
      <c r="B57" s="123" t="inlineStr">
        <is>
          <t>Valuation Range =</t>
        </is>
      </c>
      <c r="C57" s="197">
        <f>C37</f>
        <v/>
      </c>
      <c r="D57" s="27">
        <f>IF(C57&lt;E57,"&lt;",IF(C57=E57,"=","&gt;"))</f>
        <v/>
      </c>
      <c r="E57" s="198">
        <f>F54</f>
        <v/>
      </c>
      <c r="F57" s="344" t="n"/>
      <c r="G57" s="344" t="n"/>
      <c r="H57" s="344" t="n"/>
      <c r="I57" s="344" t="n"/>
      <c r="J57" s="344" t="n"/>
      <c r="K57" s="344" t="n"/>
      <c r="L57" s="344" t="n"/>
    </row>
    <row r="58" hidden="1" ht="15.75" customHeight="1">
      <c r="A58" s="344" t="n"/>
      <c r="B58" s="344" t="n"/>
      <c r="C58" s="344" t="n"/>
      <c r="D58" s="344" t="n"/>
      <c r="E58" s="344" t="n"/>
      <c r="F58" s="344" t="n"/>
      <c r="G58" s="344" t="n"/>
      <c r="H58" s="344" t="n"/>
      <c r="I58" s="344" t="n"/>
      <c r="J58" s="352" t="inlineStr">
        <is>
          <t xml:space="preserve">IRR = </t>
        </is>
      </c>
      <c r="K58" s="353">
        <f>IRR(C60:G60)</f>
        <v/>
      </c>
    </row>
    <row r="59" hidden="1" ht="15.75" customHeight="1">
      <c r="B59" s="3" t="inlineStr">
        <is>
          <t>IRR Approach</t>
        </is>
      </c>
      <c r="C59" s="46" t="inlineStr">
        <is>
          <t>Outlay</t>
        </is>
      </c>
      <c r="D59" s="46" t="n">
        <v>1</v>
      </c>
      <c r="E59" s="46" t="n">
        <v>2</v>
      </c>
      <c r="F59" s="263" t="n">
        <v>3</v>
      </c>
      <c r="G59" s="263" t="n">
        <v>4</v>
      </c>
      <c r="H59" s="344" t="n"/>
      <c r="I59" s="46" t="inlineStr">
        <is>
          <t>Implied TV</t>
        </is>
      </c>
      <c r="J59" s="354">
        <f>-Dashboard!H4+(C32+C33-C34-C35)/(Dashboard!H5/Data!C4)</f>
        <v/>
      </c>
      <c r="K59" s="353">
        <f/>
        <v/>
      </c>
    </row>
    <row r="60" hidden="1" ht="15.75" customHeight="1">
      <c r="B60" s="344" t="n"/>
      <c r="C60" s="188">
        <f>J59</f>
        <v/>
      </c>
      <c r="D60" s="188">
        <f>D22/(Dashboard!H5/Data!C4)</f>
        <v/>
      </c>
      <c r="E60" s="188">
        <f>IF(E7="",I60,E22)/(Dashboard!H5/Data!C4)</f>
        <v/>
      </c>
      <c r="F60" s="266">
        <f>IF(E7="","",IF(F14="",I60,F22)/(Dashboard!H5/Data!C4))</f>
        <v/>
      </c>
      <c r="G60" s="267">
        <f>IF(OR(E7&lt;&gt;"",F15&lt;&gt;""),I60/(Dashboard!H5/Data!C4),"")</f>
        <v/>
      </c>
      <c r="H60" s="344" t="n"/>
      <c r="I60" s="351">
        <f>(C63*Dashboard!H5/Data!C4-(C32+C33-C34-C35)-C43)*G24</f>
        <v/>
      </c>
      <c r="J60" s="354">
        <f>-Dashboard!C21+(C32+C33-C34-C35)/(Dashboard!H5/Data!C4)</f>
        <v/>
      </c>
      <c r="K60" s="353" t="n">
        <v>0.185960242509126</v>
      </c>
    </row>
    <row r="61" ht="15.75" customHeight="1">
      <c r="B61" s="344" t="n"/>
      <c r="C61" s="273" t="n"/>
      <c r="D61" s="273" t="n"/>
      <c r="E61" s="273" t="n"/>
      <c r="F61" s="273" t="n"/>
      <c r="G61" s="274" t="n"/>
      <c r="H61" s="344" t="n"/>
      <c r="I61" s="191" t="n"/>
      <c r="J61" s="344" t="n"/>
    </row>
    <row r="62" ht="15.75" customHeight="1">
      <c r="C62" s="276" t="inlineStr">
        <is>
          <t>E(Value per share)</t>
        </is>
      </c>
      <c r="D62" s="358" t="n"/>
      <c r="E62" s="46" t="inlineStr">
        <is>
          <t>PE</t>
        </is>
      </c>
      <c r="F62" s="46" t="inlineStr">
        <is>
          <t>PB</t>
        </is>
      </c>
      <c r="G62" s="46" t="inlineStr">
        <is>
          <t>Current IRR</t>
        </is>
      </c>
      <c r="H62" s="344" t="n"/>
    </row>
    <row r="63" ht="15.75" customHeight="1">
      <c r="B63" s="344" t="inlineStr">
        <is>
          <t>Model Output =</t>
        </is>
      </c>
      <c r="C63" s="199">
        <f>MIN(C57,E57)+(ABS(C57-E57)*'Qualitative Analysis'!E56)</f>
        <v/>
      </c>
      <c r="D63" s="264">
        <f>D45</f>
        <v/>
      </c>
      <c r="E63" s="410">
        <f>IF(Data!F3&lt;=0,"NNI",C63/((Data!F3*Exchange_Rate)/(Common_Shares/Data!C4)))</f>
        <v/>
      </c>
      <c r="F63" s="410">
        <f>C63/(Data!C25*Exchange_Rate*Data!C4/Common_Shares)</f>
        <v/>
      </c>
      <c r="G63" s="350">
        <f>IRR(C60:G60)</f>
        <v/>
      </c>
      <c r="H63" s="344" t="n"/>
      <c r="I63" s="136" t="inlineStr">
        <is>
          <t>The expected value incoporates business risk</t>
        </is>
      </c>
    </row>
    <row r="64" ht="15.75" customHeight="1">
      <c r="D64" s="344" t="n"/>
      <c r="E64" s="344" t="n"/>
      <c r="F64" s="344" t="n"/>
      <c r="G64" s="344" t="n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</sheetData>
  <mergeCells count="2">
    <mergeCell ref="I42:K42"/>
    <mergeCell ref="C62:D62"/>
  </mergeCells>
  <conditionalFormatting sqref="C28">
    <cfRule type="containsBlanks" priority="10" dxfId="2">
      <formula>LEN(TRIM(C28))=0</formula>
    </cfRule>
  </conditionalFormatting>
  <conditionalFormatting sqref="C30">
    <cfRule type="containsBlanks" priority="9" dxfId="2">
      <formula>LEN(TRIM(C30))=0</formula>
    </cfRule>
  </conditionalFormatting>
  <conditionalFormatting sqref="C40">
    <cfRule type="containsBlanks" priority="8" dxfId="2">
      <formula>LEN(TRIM(C40))=0</formula>
    </cfRule>
  </conditionalFormatting>
  <conditionalFormatting sqref="E49:F54">
    <cfRule type="cellIs" priority="23" operator="equal" dxfId="1">
      <formula>$E$57</formula>
    </cfRule>
  </conditionalFormatting>
  <conditionalFormatting sqref="E8:E25 F16:F25">
    <cfRule type="containsBlanks" priority="2" dxfId="0">
      <formula>LEN(TRIM(E8))=0</formula>
    </cfRule>
  </conditionalFormatting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2:H127"/>
  <sheetViews>
    <sheetView showGridLines="0" workbookViewId="0">
      <selection activeCell="B19" sqref="B19"/>
    </sheetView>
  </sheetViews>
  <sheetFormatPr baseColWidth="10" defaultColWidth="12.5" defaultRowHeight="15" customHeight="1"/>
  <cols>
    <col width="2.5" customWidth="1" style="3" min="1" max="1"/>
    <col width="62.5" customWidth="1" style="3" min="2" max="2"/>
    <col width="22.5" customWidth="1" style="3" min="3" max="4"/>
    <col width="32.6640625" customWidth="1" style="3" min="5" max="5"/>
    <col width="12.5" customWidth="1" style="3" min="6" max="16384"/>
  </cols>
  <sheetData>
    <row r="2" ht="16" customHeight="1">
      <c r="A2" s="4" t="n"/>
      <c r="B2" s="343" t="inlineStr">
        <is>
          <t>Market Sentiment Assessment:</t>
        </is>
      </c>
      <c r="C2" s="201" t="n"/>
      <c r="D2" s="8" t="n"/>
      <c r="E2" s="8" t="n"/>
    </row>
    <row r="3" ht="15" customHeight="1">
      <c r="B3" s="5" t="inlineStr">
        <is>
          <t>1. Economy:</t>
        </is>
      </c>
      <c r="C3" s="5" t="n"/>
      <c r="D3" s="202">
        <f>IF(LEFT(E3,1)="H",1,IF(LEFT(E3,1)="C",-1,0))</f>
        <v/>
      </c>
      <c r="E3" s="48" t="inlineStr">
        <is>
          <t>Cold - Sluggish</t>
        </is>
      </c>
      <c r="F3" s="344" t="n"/>
    </row>
    <row r="4" ht="15" customHeight="1">
      <c r="B4" s="82" t="inlineStr">
        <is>
          <t>2. Outlook:</t>
        </is>
      </c>
      <c r="C4" s="82" t="n"/>
      <c r="D4" s="202">
        <f>IF(LEFT(E4,1)="H",1,IF(LEFT(E4,1)="C",-1,0))</f>
        <v/>
      </c>
      <c r="E4" s="335" t="inlineStr">
        <is>
          <t>Cold - Negative</t>
        </is>
      </c>
      <c r="F4" s="344" t="n"/>
    </row>
    <row r="5" ht="15" customHeight="1">
      <c r="B5" s="82" t="inlineStr">
        <is>
          <t>3. Lenders:</t>
        </is>
      </c>
      <c r="C5" s="82" t="n"/>
      <c r="D5" s="202">
        <f>IF(LEFT(E5,1)="H",1,IF(LEFT(E5,1)="C",-1,0))</f>
        <v/>
      </c>
      <c r="E5" s="335" t="inlineStr">
        <is>
          <t>Cold - Reticent</t>
        </is>
      </c>
      <c r="F5" s="344" t="n"/>
    </row>
    <row r="6" ht="15" customHeight="1">
      <c r="B6" s="82" t="inlineStr">
        <is>
          <t>4. Capital markets:</t>
        </is>
      </c>
      <c r="C6" s="82" t="n"/>
      <c r="D6" s="202">
        <f>IF(LEFT(E6,1)="H",1,IF(LEFT(E6,1)="C",-1,0))</f>
        <v/>
      </c>
      <c r="E6" s="335" t="inlineStr">
        <is>
          <t>Cold - Tight</t>
        </is>
      </c>
      <c r="F6" s="344" t="n"/>
    </row>
    <row r="7" ht="15" customHeight="1">
      <c r="B7" s="203" t="inlineStr">
        <is>
          <t>Macro Sentiment</t>
        </is>
      </c>
      <c r="D7" s="202">
        <f>IF(LEFT(E7,1)="H",2,IF(LEFT(E7,1)="C",-1,0))</f>
        <v/>
      </c>
      <c r="E7" s="77">
        <f>IF(SUM(D3:D6)&gt;=3, "Hot", IF(SUM(D3:FC6)&lt;=-3,"Cold", "Mixed"))</f>
        <v/>
      </c>
      <c r="F7" s="344" t="n"/>
    </row>
    <row r="8" ht="15" customHeight="1">
      <c r="B8" s="82" t="inlineStr">
        <is>
          <t>5. Capital:</t>
        </is>
      </c>
      <c r="C8" s="82" t="n"/>
      <c r="D8" s="202">
        <f>IF(LEFT(E8,1)="H",1,IF(LEFT(E8,1)="C",-1,0))</f>
        <v/>
      </c>
      <c r="E8" s="335" t="inlineStr">
        <is>
          <t>Cold - Scarce</t>
        </is>
      </c>
      <c r="F8" s="344" t="n"/>
    </row>
    <row r="9" ht="15" customHeight="1">
      <c r="B9" s="82" t="inlineStr">
        <is>
          <t>6. Terms:</t>
        </is>
      </c>
      <c r="C9" s="82" t="n"/>
      <c r="D9" s="202">
        <f>IF(LEFT(E9,1)="H",1,IF(LEFT(E9,1)="C",-1,0))</f>
        <v/>
      </c>
      <c r="E9" s="335" t="inlineStr">
        <is>
          <t>Cold - Restrictive</t>
        </is>
      </c>
      <c r="F9" s="344" t="n"/>
    </row>
    <row r="10" ht="15" customHeight="1">
      <c r="B10" s="82" t="inlineStr">
        <is>
          <t>7. Interest rates:</t>
        </is>
      </c>
      <c r="C10" s="82" t="n"/>
      <c r="D10" s="202">
        <f>IF(LEFT(E10,1)="H",1,IF(LEFT(E10,1)="C",-1,0))</f>
        <v/>
      </c>
      <c r="E10" s="335" t="inlineStr">
        <is>
          <t>Mixed</t>
        </is>
      </c>
      <c r="F10" s="344" t="n"/>
    </row>
    <row r="11" ht="15" customHeight="1">
      <c r="B11" s="82" t="inlineStr">
        <is>
          <t>8. Yield Spreads:</t>
        </is>
      </c>
      <c r="C11" s="82" t="n"/>
      <c r="D11" s="202">
        <f>IF(LEFT(E11,1)="H",1,IF(LEFT(E11,1)="C",-1,0))</f>
        <v/>
      </c>
      <c r="E11" s="335" t="inlineStr">
        <is>
          <t>Cold - Wide</t>
        </is>
      </c>
      <c r="F11" s="344" t="n"/>
    </row>
    <row r="12" ht="15" customHeight="1">
      <c r="B12" s="203" t="inlineStr">
        <is>
          <t>Avalibility of Money</t>
        </is>
      </c>
      <c r="D12" s="202">
        <f>IF(LEFT(E12,1)="H",2,IF(LEFT(E12,1)="C",-1,0))</f>
        <v/>
      </c>
      <c r="E12" s="77">
        <f>IF(SUM(D8:D11)&gt;=3, "Hot", IF(SUM(D8:D11)&lt;=-3,"Cold", "Mixed"))</f>
        <v/>
      </c>
      <c r="F12" s="344" t="n"/>
    </row>
    <row r="13" ht="15" customHeight="1">
      <c r="B13" s="82" t="inlineStr">
        <is>
          <t>10. Asset owners:</t>
        </is>
      </c>
      <c r="C13" s="82" t="n"/>
      <c r="D13" s="202">
        <f>IF(LEFT(E13,1)="H",1,IF(LEFT(E13,1)="C",-1,0))</f>
        <v/>
      </c>
      <c r="E13" s="335" t="inlineStr">
        <is>
          <t>Cold - Rushing for the exits</t>
        </is>
      </c>
      <c r="F13" s="344" t="n"/>
    </row>
    <row r="14" ht="15" customHeight="1">
      <c r="B14" s="82" t="inlineStr">
        <is>
          <t>15. Asset prices:</t>
        </is>
      </c>
      <c r="C14" s="82" t="n"/>
      <c r="D14" s="202">
        <f>IF(LEFT(E14,1)="H",1,IF(LEFT(E14,1)="C",-1,0))</f>
        <v/>
      </c>
      <c r="E14" s="335" t="inlineStr">
        <is>
          <t>Cold - Low</t>
        </is>
      </c>
      <c r="F14" s="344" t="n"/>
    </row>
    <row r="15" ht="15" customHeight="1">
      <c r="B15" s="82" t="inlineStr">
        <is>
          <t>9. Investors:</t>
        </is>
      </c>
      <c r="C15" s="82" t="n"/>
      <c r="D15" s="202">
        <f>IF(LEFT(E15,1)="H",1,IF(LEFT(E15,1)="C",-1,0))</f>
        <v/>
      </c>
      <c r="E15" s="335" t="inlineStr">
        <is>
          <t>Cold - Pessimistic</t>
        </is>
      </c>
      <c r="F15" s="344" t="n"/>
    </row>
    <row r="16" ht="15" customHeight="1">
      <c r="B16" s="82" t="inlineStr">
        <is>
          <t>11. Sellers:</t>
        </is>
      </c>
      <c r="C16" s="82" t="n"/>
      <c r="D16" s="202">
        <f>IF(LEFT(E16,1)="H",1,IF(LEFT(E16,1)="C",-1,0))</f>
        <v/>
      </c>
      <c r="E16" s="335" t="inlineStr">
        <is>
          <t>Cold - Many</t>
        </is>
      </c>
      <c r="F16" s="344" t="n"/>
    </row>
    <row r="17" ht="15" customHeight="1">
      <c r="B17" s="203" t="inlineStr">
        <is>
          <t>Investment Market Sentiment</t>
        </is>
      </c>
      <c r="D17" s="202">
        <f>IF(LEFT(E17,1)="H",2,IF(LEFT(E17,1)="C",-1,0))</f>
        <v/>
      </c>
      <c r="E17" s="77">
        <f>IF(SUM(D13:D16)&gt;=3, "Hot", IF(SUM(D13:D16)&lt;=-3,"Cold", "Mixed"))</f>
        <v/>
      </c>
      <c r="F17" s="344" t="n"/>
    </row>
    <row r="18" ht="15" customHeight="1">
      <c r="B18" s="82" t="inlineStr">
        <is>
          <t>12. Markets:</t>
        </is>
      </c>
      <c r="C18" s="82" t="n"/>
      <c r="D18" s="202">
        <f>IF(LEFT(E18,1)="H",1,IF(LEFT(E18,1)="C",-1,0))</f>
        <v/>
      </c>
      <c r="E18" s="335" t="inlineStr">
        <is>
          <t>Cold - "Worse is yet to come"</t>
        </is>
      </c>
      <c r="F18" s="344" t="n"/>
    </row>
    <row r="19" ht="15" customHeight="1">
      <c r="B19" s="82" t="inlineStr">
        <is>
          <t>13. Funds:</t>
        </is>
      </c>
      <c r="C19" s="82" t="n"/>
      <c r="D19" s="202">
        <f>IF(LEFT(E19,1)="H",1,IF(LEFT(E19,1)="C",-1,0))</f>
        <v/>
      </c>
      <c r="E19" s="335" t="inlineStr">
        <is>
          <t>Cold - Only the best can raise money</t>
        </is>
      </c>
      <c r="F19" s="344" t="n"/>
    </row>
    <row r="20" ht="15" customHeight="1">
      <c r="B20" s="82" t="inlineStr">
        <is>
          <t>14. Recent performance:</t>
        </is>
      </c>
      <c r="C20" s="82" t="n"/>
      <c r="D20" s="202">
        <f>IF(LEFT(E20,1)="H",1,IF(LEFT(E20,1)="C",-1,0))</f>
        <v/>
      </c>
      <c r="E20" s="335" t="inlineStr">
        <is>
          <t>Cold - Weak</t>
        </is>
      </c>
      <c r="F20" s="344" t="n"/>
    </row>
    <row r="21" ht="15" customHeight="1">
      <c r="B21" s="82" t="inlineStr">
        <is>
          <t>16. Popular qualities:</t>
        </is>
      </c>
      <c r="C21" s="82" t="n"/>
      <c r="D21" s="202">
        <f>IF(LEFT(E21,1)="H",1,IF(LEFT(E21,1)="C",-1,0))</f>
        <v/>
      </c>
      <c r="E21" s="335" t="inlineStr">
        <is>
          <t>Cold - "It's uninvestable"</t>
        </is>
      </c>
      <c r="F21" s="344" t="n"/>
    </row>
    <row r="22" ht="15" customHeight="1">
      <c r="B22" s="203" t="inlineStr">
        <is>
          <t>Financial market Sentiment</t>
        </is>
      </c>
      <c r="D22" s="202">
        <f>IF(LEFT(E22,1)="H",2,IF(LEFT(E22,1)="C",-1,0))</f>
        <v/>
      </c>
      <c r="E22" s="77">
        <f>IF(SUM(D18:D21)&gt;=3, "Hot", IF(SUM(D18:D21)&lt;=-3,"Cold", "Mixed"))</f>
        <v/>
      </c>
      <c r="F22" s="204">
        <f>SUM(D7,D12,D17,D22)</f>
        <v/>
      </c>
    </row>
    <row r="23" ht="15" customHeight="1">
      <c r="E23" s="344" t="n"/>
    </row>
    <row r="24" ht="16" customHeight="1">
      <c r="A24" s="4" t="n"/>
      <c r="B24" s="343" t="inlineStr">
        <is>
          <t>Margin of Safety Analysis</t>
        </is>
      </c>
      <c r="C24" s="205" t="n"/>
      <c r="D24" s="277" t="n"/>
      <c r="E24" s="277" t="n"/>
    </row>
    <row r="25" ht="14" customHeight="1">
      <c r="B25" s="206" t="inlineStr">
        <is>
          <t>PART I: Earnings of the business</t>
        </is>
      </c>
      <c r="C25" s="207" t="n"/>
      <c r="D25" s="344" t="n"/>
      <c r="E25" s="344" t="n"/>
    </row>
    <row r="26" ht="14" customHeight="1">
      <c r="B26" s="344" t="inlineStr">
        <is>
          <t>1. Does the company have a non-cyclical business and a consistent earnings history?</t>
        </is>
      </c>
      <c r="C26" s="207" t="n"/>
      <c r="D26" s="204">
        <f>IF(E26="Strongly disagree",0,IF(E26="disagree",1,IF(E26="unclear",2,IF(E26="agree",3,4))))</f>
        <v/>
      </c>
      <c r="E26" s="335" t="inlineStr">
        <is>
          <t>Strongly agree</t>
        </is>
      </c>
      <c r="F26" s="344" t="n"/>
    </row>
    <row r="27" ht="14" customHeight="1">
      <c r="B27" s="344" t="inlineStr">
        <is>
          <t xml:space="preserve">2. Does the company pay a decent and consistent dividend </t>
        </is>
      </c>
      <c r="C27" s="207" t="n"/>
      <c r="D27" s="204">
        <f>IF(E27="Strongly disagree",0,IF(E27="disagree",1,IF(E27="unclear",2,IF(E27="agree",3,4))))</f>
        <v/>
      </c>
      <c r="E27" s="335" t="inlineStr">
        <is>
          <t>agree</t>
        </is>
      </c>
      <c r="F27" s="344" t="n"/>
    </row>
    <row r="28" ht="14" customHeight="1">
      <c r="B28" s="344" t="inlineStr">
        <is>
          <t>3. Does the company have simple operating revenue and cogs sources?</t>
        </is>
      </c>
      <c r="C28" s="207" t="n"/>
      <c r="D28" s="204">
        <f>IF(E28="Strongly disagree",0,IF(E28="disagree",1,IF(E28="unclear",2,IF(E28="agree",3,4))))</f>
        <v/>
      </c>
      <c r="E28" s="335" t="inlineStr">
        <is>
          <t>Strongly agree</t>
        </is>
      </c>
      <c r="F28" s="344" t="n"/>
    </row>
    <row r="29" ht="14" customHeight="1">
      <c r="B29" s="208" t="inlineStr">
        <is>
          <t>The earnings forecast quality rating is:</t>
        </is>
      </c>
      <c r="C29" s="207" t="n"/>
      <c r="D29" s="204">
        <f>AVERAGE(D26:D28)</f>
        <v/>
      </c>
      <c r="E29" s="209">
        <f>D29/4</f>
        <v/>
      </c>
      <c r="F29" s="344" t="n"/>
    </row>
    <row r="30" ht="14" customHeight="1">
      <c r="B30" s="207" t="n"/>
      <c r="C30" s="207" t="n"/>
      <c r="E30" s="344" t="n"/>
    </row>
    <row r="31" ht="14" customHeight="1">
      <c r="B31" s="210" t="inlineStr">
        <is>
          <t>PART II: Business Quality</t>
        </is>
      </c>
      <c r="C31" s="203" t="n"/>
    </row>
    <row r="32" ht="14" customHeight="1">
      <c r="B32" s="203" t="inlineStr">
        <is>
          <t>a. Business Tenets:</t>
        </is>
      </c>
      <c r="C32" s="203" t="n"/>
      <c r="E32" s="344" t="n"/>
    </row>
    <row r="33" ht="14" customHeight="1">
      <c r="B33" s="82" t="inlineStr">
        <is>
          <t>1. Does the company have a consistent operating and earning and dividend history?</t>
        </is>
      </c>
      <c r="D33" s="211">
        <f>IF(E33="Strongly disagree",0,IF(E33="disagree",1,IF(E33="unclear",2,IF(E33="agree",3,4))))</f>
        <v/>
      </c>
      <c r="E33" s="275">
        <f>IF(D29&gt;=3.5,"Strongly agree",IF(D29&gt;=2.5,"agree",IF(D29&gt;=1.5,"unclear",IF(D29&gt;=0.5,"disagree","Strongly disagree"))))</f>
        <v/>
      </c>
      <c r="F33" s="344" t="n"/>
    </row>
    <row r="34" ht="14" customHeight="1">
      <c r="B34" s="82" t="inlineStr">
        <is>
          <t>2. Does the company have sustainable competitive advantages?</t>
        </is>
      </c>
      <c r="D34" s="211">
        <f>IF(E34="Strongly disagree",0,IF(E34="disagree",1,IF(E34="unclear",2,IF(E34="agree",3,4))))</f>
        <v/>
      </c>
      <c r="E34" s="335" t="inlineStr">
        <is>
          <t>agree</t>
        </is>
      </c>
      <c r="F34" s="344" t="n"/>
    </row>
    <row r="35" ht="14" customHeight="1">
      <c r="B35" s="82" t="inlineStr">
        <is>
          <t>3. Does the company have lots of reinvestment opportunities within their moats?</t>
        </is>
      </c>
      <c r="D35" s="211">
        <f>IF(E35="Strongly disagree",0,IF(E35="disagree",1,IF(E35="unclear",2,IF(E35="agree",3,4))))</f>
        <v/>
      </c>
      <c r="E35" s="335" t="inlineStr">
        <is>
          <t>unclear</t>
        </is>
      </c>
      <c r="F35" s="344" t="n"/>
    </row>
    <row r="36" ht="14" customHeight="1">
      <c r="B36" s="82" t="inlineStr">
        <is>
          <t>4. Does the company have low amount of operating leverage?</t>
        </is>
      </c>
      <c r="D36" s="211">
        <f>IF(E36="Strongly disagree",0,IF(E36="disagree",1,IF(E36="unclear",2,IF(E36="agree",3,4))))</f>
        <v/>
      </c>
      <c r="E36" s="335" t="inlineStr">
        <is>
          <t>disagree</t>
        </is>
      </c>
      <c r="F36" s="344" t="n"/>
    </row>
    <row r="37" ht="14" customHeight="1">
      <c r="B37" s="82" t="inlineStr">
        <is>
          <t>5. Does the company have a good opeartional risk management history?</t>
        </is>
      </c>
      <c r="D37" s="211">
        <f>IF(E37="Strongly disagree",0,IF(E37="disagree",1,IF(E37="unclear",2,IF(E37="agree",3,4))))</f>
        <v/>
      </c>
      <c r="E37" s="335" t="inlineStr">
        <is>
          <t>Strongly agree</t>
        </is>
      </c>
      <c r="F37" s="344" t="n"/>
    </row>
    <row r="38" ht="14" customHeight="1">
      <c r="B38" s="203" t="inlineStr">
        <is>
          <t>b. Financial Tenets:</t>
        </is>
      </c>
      <c r="D38" s="56" t="n"/>
      <c r="E38" s="27" t="n"/>
    </row>
    <row r="39" ht="14" customHeight="1">
      <c r="B39" s="82" t="inlineStr">
        <is>
          <t>1. Is the company's balance sheet strong?</t>
        </is>
      </c>
      <c r="D39" s="211">
        <f>IF(E39="Strongly disagree",0,IF(E39="disagree",1,IF(E39="unclear",2,IF(E39="agree",3,4))))</f>
        <v/>
      </c>
      <c r="E39" s="77">
        <f>IF(OR('Asset Model'!H19&lt;1,'Asset Model'!H37&lt;1),"Strongly disagree",
IF(OR('Asset Model'!H19&lt;2,'Asset Model'!H37&lt;2),"unclear", IF(OR('Asset Model'!H19&lt;5,'Asset Model'!H37&lt;5),"agree","Strongly agree"))
)</f>
        <v/>
      </c>
      <c r="F39" s="344" t="n"/>
    </row>
    <row r="40" ht="14" customHeight="1">
      <c r="B40" s="82" t="inlineStr">
        <is>
          <t>2. Are the profit margins attractive (better than industry)?</t>
        </is>
      </c>
      <c r="D40" s="211">
        <f>IF(E40="Strongly disagree",0,IF(E40="disagree",1,IF(E40="unclear",2,IF(E40="agree",3,4))))</f>
        <v/>
      </c>
      <c r="E40" s="335" t="inlineStr">
        <is>
          <t>agree</t>
        </is>
      </c>
      <c r="F40" s="344" t="n"/>
    </row>
    <row r="41" ht="15" customHeight="1">
      <c r="B41" s="82" t="inlineStr">
        <is>
          <t xml:space="preserve">3. Can current operations be maintained without too much need to spend? </t>
        </is>
      </c>
      <c r="D41" s="211">
        <f>IF(E41="Strongly disagree",0,IF(E41="disagree",1,IF(E41="unclear",2,IF(E41="agree",3,4))))</f>
        <v/>
      </c>
      <c r="E41" s="335" t="inlineStr">
        <is>
          <t>disagree</t>
        </is>
      </c>
      <c r="F41" s="344" t="n"/>
    </row>
    <row r="42" ht="15" customHeight="1">
      <c r="B42" s="82" t="inlineStr">
        <is>
          <t>4. Can cash be reinvested at attractive compound rates?</t>
        </is>
      </c>
      <c r="D42" s="211">
        <f>IF(E42="Strongly disagree",0,IF(E42="disagree",1,IF(E42="unclear",2,IF(E42="agree",3,4))))</f>
        <v/>
      </c>
      <c r="E42" s="335" t="inlineStr">
        <is>
          <t>agree</t>
        </is>
      </c>
      <c r="F42" s="344" t="n"/>
    </row>
    <row r="43" ht="15" customHeight="1">
      <c r="B43" s="82" t="inlineStr">
        <is>
          <t>5. Does the company have low working capital requirements and fast cash conversion cycle?</t>
        </is>
      </c>
      <c r="D43" s="211">
        <f>IF(E43="Strongly disagree",0,IF(E43="disagree",1,IF(E43="unclear",2,IF(E43="agree",3,4))))</f>
        <v/>
      </c>
      <c r="E43" s="335" t="inlineStr">
        <is>
          <t>agree</t>
        </is>
      </c>
      <c r="F43" s="344" t="n"/>
    </row>
    <row r="44" ht="15" customHeight="1">
      <c r="B44" s="203" t="inlineStr">
        <is>
          <t>c. Management Tenets:</t>
        </is>
      </c>
      <c r="D44" s="56" t="n"/>
      <c r="E44" s="27" t="n"/>
    </row>
    <row r="45" ht="14" customHeight="1">
      <c r="B45" s="82" t="inlineStr">
        <is>
          <t>1. Is the company operated by the owner operator?</t>
        </is>
      </c>
      <c r="D45" s="211">
        <f>IF(E45="Strongly disagree",0,IF(E45="disagree",1,IF(E45="unclear",2,IF(E45="agree",3,4))))</f>
        <v/>
      </c>
      <c r="E45" s="335" t="inlineStr">
        <is>
          <t>Strongly agree</t>
        </is>
      </c>
      <c r="F45" s="344" t="n"/>
    </row>
    <row r="46" ht="15" customHeight="1">
      <c r="B46" s="82" t="inlineStr">
        <is>
          <t>2. Can the management make clear and smart decisions?</t>
        </is>
      </c>
      <c r="D46" s="211">
        <f>IF(E46="Strongly disagree",0,IF(E46="disagree",1,IF(E46="unclear",2,IF(E46="agree",3,4))))</f>
        <v/>
      </c>
      <c r="E46" s="335" t="inlineStr">
        <is>
          <t>agree</t>
        </is>
      </c>
      <c r="F46" s="344" t="n"/>
    </row>
    <row r="47" ht="15" customHeight="1">
      <c r="B47" s="82" t="inlineStr">
        <is>
          <t>3. Has management resisted the temptation to grow quickly by merger?</t>
        </is>
      </c>
      <c r="D47" s="211">
        <f>IF(E47="Strongly disagree",0,IF(E47="disagree",1,IF(E47="unclear",2,IF(E47="agree",3,4))))</f>
        <v/>
      </c>
      <c r="E47" s="335" t="inlineStr">
        <is>
          <t>Strongly agree</t>
        </is>
      </c>
      <c r="F47" s="344" t="n"/>
    </row>
    <row r="48" ht="15" customHeight="1">
      <c r="B48" s="82" t="inlineStr">
        <is>
          <t>4. Have the managers been buying the stock? Has the company resist buying back stock opportunistically?</t>
        </is>
      </c>
      <c r="D48" s="211">
        <f>IF(E48="Strongly disagree",0,IF(E48="disagree",1,IF(E48="unclear",2,IF(E48="agree",3,4))))</f>
        <v/>
      </c>
      <c r="E48" s="335" t="inlineStr">
        <is>
          <t>unclear</t>
        </is>
      </c>
      <c r="F48" s="344" t="n"/>
    </row>
    <row r="49" ht="14" customHeight="1">
      <c r="B49" s="82" t="inlineStr">
        <is>
          <t>5. Are managers' interest positively aligned to benefit all stakeholders?</t>
        </is>
      </c>
      <c r="D49" s="211">
        <f>IF(E49="Strongly disagree",0,IF(E49="disagree",1,IF(E49="unclear",2,IF(E49="agree",3,4))))</f>
        <v/>
      </c>
      <c r="E49" s="335" t="inlineStr">
        <is>
          <t>agree</t>
        </is>
      </c>
      <c r="F49" s="344" t="n"/>
    </row>
    <row r="50" ht="14" customHeight="1">
      <c r="B50" s="203" t="inlineStr">
        <is>
          <t>d. Market Tenets (Porter's Five forces):</t>
        </is>
      </c>
      <c r="D50" s="56" t="n"/>
      <c r="E50" s="27" t="n"/>
    </row>
    <row r="51" ht="14" customHeight="1">
      <c r="B51" s="82" t="inlineStr">
        <is>
          <t>1. Threat of New Entrants =</t>
        </is>
      </c>
      <c r="D51" s="46" t="n"/>
      <c r="E51" s="77">
        <f>E67</f>
        <v/>
      </c>
      <c r="F51" s="344" t="n"/>
    </row>
    <row r="52" ht="14" customHeight="1">
      <c r="B52" s="82" t="inlineStr">
        <is>
          <t>2. Power of Suppliers =</t>
        </is>
      </c>
      <c r="D52" s="46" t="n"/>
      <c r="E52" s="77">
        <f>E77</f>
        <v/>
      </c>
      <c r="F52" s="344" t="n"/>
    </row>
    <row r="53" ht="14" customHeight="1">
      <c r="B53" s="82" t="inlineStr">
        <is>
          <t>3. Power of Buyers =</t>
        </is>
      </c>
      <c r="D53" s="46" t="n"/>
      <c r="E53" s="77">
        <f>E85</f>
        <v/>
      </c>
      <c r="F53" s="344" t="n"/>
    </row>
    <row r="54" ht="14" customHeight="1">
      <c r="B54" s="82" t="inlineStr">
        <is>
          <t>4. Threat of Substitutions =</t>
        </is>
      </c>
      <c r="D54" s="46" t="n"/>
      <c r="E54" s="77">
        <f>E95</f>
        <v/>
      </c>
      <c r="F54" s="344" t="n"/>
    </row>
    <row r="55" ht="14" customHeight="1">
      <c r="B55" s="82" t="inlineStr">
        <is>
          <t>5. Rivalry among existing Competitors =</t>
        </is>
      </c>
      <c r="D55" s="46" t="n"/>
      <c r="E55" s="77">
        <f>E102</f>
        <v/>
      </c>
      <c r="F55" s="344" t="n"/>
    </row>
    <row r="56" ht="14" customHeight="1">
      <c r="B56" s="208" t="inlineStr">
        <is>
          <t>The business quality rating is:</t>
        </is>
      </c>
      <c r="D56" s="204">
        <f>E56*4</f>
        <v/>
      </c>
      <c r="E56" s="355">
        <f>AVERAGE(AVERAGE(D33:D37)/4,AVERAGE(D39:D43)/4,AVERAGE(D45:D49)/4,E114)</f>
        <v/>
      </c>
      <c r="F56" s="344" t="n"/>
    </row>
    <row r="57" ht="14" customHeight="1">
      <c r="E57" s="344" t="n"/>
    </row>
    <row r="58" ht="14" customHeight="1">
      <c r="B58" s="210" t="inlineStr">
        <is>
          <t>PART III: Valuation Error</t>
        </is>
      </c>
      <c r="C58" s="82" t="n"/>
      <c r="D58" s="56" t="n"/>
      <c r="E58" s="27" t="n"/>
    </row>
    <row r="59" ht="14" customHeight="1">
      <c r="B59" s="3" t="inlineStr">
        <is>
          <t>1. Reputation Risk: Does the company have a good reputation?</t>
        </is>
      </c>
      <c r="D59" s="211">
        <f>IF(E59="Strongly disagree",0,IF(E59="disagree",1,IF(E59="unclear",2,IF(E59="agree",3,4))))</f>
        <v/>
      </c>
      <c r="E59" s="335" t="inlineStr">
        <is>
          <t>Strongly agree</t>
        </is>
      </c>
      <c r="F59" s="344" t="n"/>
    </row>
    <row r="60" ht="14" customHeight="1">
      <c r="B60" s="3" t="inlineStr">
        <is>
          <t>2. Business Risk: Does the company have a potent and predictable business?</t>
        </is>
      </c>
      <c r="D60" s="211">
        <f>IF(E60="Strongly disagree",0,IF(E60="disagree",1,IF(E60="unclear",2,IF(E60="agree",3,4))))</f>
        <v/>
      </c>
      <c r="E60" s="275">
        <f>IF(D56&gt;=3.5,"Strongly agree",IF(D56&gt;=2.5,"agree",IF(D56&gt;=1.5,"unclear",IF(D56&gt;=0.5,"disagree","Strongly disagree"))))</f>
        <v/>
      </c>
      <c r="F60" s="344" t="n"/>
    </row>
    <row r="61" ht="14" customHeight="1">
      <c r="B61" s="3" t="inlineStr">
        <is>
          <t>3. Forecast Risk: Does the company have stable and consistent earnings and dividend?</t>
        </is>
      </c>
      <c r="C61" s="82" t="n"/>
      <c r="D61" s="211">
        <f>IF(E61="Strongly disagree",0,IF(E61="disagree",1,IF(E61="unclear",2,IF(E61="agree",3,4))))</f>
        <v/>
      </c>
      <c r="E61" s="213">
        <f>E33</f>
        <v/>
      </c>
      <c r="F61" s="344" t="n"/>
    </row>
    <row r="62" ht="14" customHeight="1">
      <c r="B62" s="3" t="inlineStr">
        <is>
          <t>4. Financial market risk: Is the market sentiment not in extreme?</t>
        </is>
      </c>
      <c r="D62" s="211">
        <f>IF(E62="Strongly disagree",0,IF(E62="disagree",1,IF(E62="unclear",2,IF(E62="agree",3,4))))</f>
        <v/>
      </c>
      <c r="E62" s="77">
        <f>IF(OR(F22=4,F22=-4),"Strongly disagree",IF(F22=0,"Strongly agree",IF(OR(F22=1,F22=-1),"agree",IF(OR(F22=3,F22=-3),"disagree","unclear"))))</f>
        <v/>
      </c>
      <c r="F62" s="344" t="n"/>
    </row>
    <row r="63" ht="14" customHeight="1">
      <c r="B63" s="208" t="inlineStr">
        <is>
          <t>The valuation quality rating is:</t>
        </is>
      </c>
      <c r="D63" s="211" t="n"/>
      <c r="E63" s="209">
        <f>SUM(D59:D62)/12</f>
        <v/>
      </c>
      <c r="F63" s="344" t="n"/>
    </row>
    <row r="64" ht="15" customHeight="1">
      <c r="E64" s="344" t="n"/>
    </row>
    <row r="65" ht="15" customHeight="1">
      <c r="A65" s="4" t="n"/>
      <c r="B65" s="343" t="inlineStr">
        <is>
          <t>Competitive enviroment analysis to estimate CAP</t>
        </is>
      </c>
      <c r="C65" s="23" t="n"/>
      <c r="D65" s="23" t="n"/>
      <c r="E65" s="277" t="n"/>
    </row>
    <row r="66" ht="15" customHeight="1">
      <c r="B66" s="5" t="inlineStr">
        <is>
          <t>To answer the below questions, Each force is ranked by Very High, High, Medium, Low, and Very Low:</t>
        </is>
      </c>
      <c r="C66" s="344" t="n"/>
      <c r="D66" s="27" t="n"/>
      <c r="E66" s="344" t="n"/>
    </row>
    <row r="67" ht="15" customHeight="1">
      <c r="B67" s="82" t="inlineStr">
        <is>
          <t>I. Threat of New Entrants =</t>
        </is>
      </c>
      <c r="D67" s="214">
        <f>SUM(D68:D75)/(8*4)</f>
        <v/>
      </c>
      <c r="E67" s="77">
        <f>IF(D67&gt;80%,"Very High",IF(D67&lt;=20%,"Very Low",IF(D67&lt;=40%,"Low",IF(D67&lt;=60%,"Medium","High"))))</f>
        <v/>
      </c>
      <c r="F67" s="344" t="n"/>
    </row>
    <row r="68" ht="15" customHeight="1">
      <c r="B68" s="82" t="inlineStr">
        <is>
          <t>1. There is no cost advantage associated with the supply-side economics of scale.</t>
        </is>
      </c>
      <c r="D68" s="211">
        <f>IF(E68="Strongly disagree",0,IF(E68="disagree",1,IF(E68="unclear",2,IF(E68="agree",3,4))))</f>
        <v/>
      </c>
      <c r="E68" s="335" t="inlineStr">
        <is>
          <t>Strongly disagree</t>
        </is>
      </c>
      <c r="F68" s="344" t="n"/>
    </row>
    <row r="69" ht="15" customHeight="1">
      <c r="B69" s="82" t="inlineStr">
        <is>
          <t>2. There is no network effect associated with the products/services.</t>
        </is>
      </c>
      <c r="D69" s="211">
        <f>IF(E69="Strongly disagree",0,IF(E69="disagree",1,IF(E69="unclear",2,IF(E69="agree",3,4))))</f>
        <v/>
      </c>
      <c r="E69" s="335" t="inlineStr">
        <is>
          <t>agree</t>
        </is>
      </c>
      <c r="F69" s="344" t="n"/>
    </row>
    <row r="70" ht="15" customHeight="1">
      <c r="B70" s="82" t="inlineStr">
        <is>
          <t>3. There is low customer switching cost.</t>
        </is>
      </c>
      <c r="D70" s="211">
        <f>IF(E70="Strongly disagree",0,IF(E70="disagree",1,IF(E70="unclear",2,IF(E70="agree",3,4))))</f>
        <v/>
      </c>
      <c r="E70" s="335" t="inlineStr">
        <is>
          <t>Strongly agree</t>
        </is>
      </c>
      <c r="F70" s="344" t="n"/>
    </row>
    <row r="71" ht="15" customHeight="1">
      <c r="B71" s="82" t="inlineStr">
        <is>
          <t>4. There are low capital requirements.</t>
        </is>
      </c>
      <c r="D71" s="211">
        <f>IF(E71="Strongly disagree",0,IF(E71="disagree",1,IF(E71="unclear",2,IF(E71="agree",3,4))))</f>
        <v/>
      </c>
      <c r="E71" s="335" t="inlineStr">
        <is>
          <t>Strongly disagree</t>
        </is>
      </c>
      <c r="F71" s="344" t="n"/>
    </row>
    <row r="72" ht="15" customHeight="1">
      <c r="B72" s="82" t="inlineStr">
        <is>
          <t xml:space="preserve">5. There is no incumbency advantages independent of size. (like management skill etc) </t>
        </is>
      </c>
      <c r="D72" s="211">
        <f>IF(E72="Strongly disagree",0,IF(E72="disagree",1,IF(E72="unclear",2,IF(E72="agree",3,4))))</f>
        <v/>
      </c>
      <c r="E72" s="335" t="inlineStr">
        <is>
          <t>Strongly disagree</t>
        </is>
      </c>
      <c r="F72" s="344" t="n"/>
    </row>
    <row r="73" ht="15" customHeight="1">
      <c r="B73" s="82" t="inlineStr">
        <is>
          <t>6. There are equal access to distribution channels.</t>
        </is>
      </c>
      <c r="D73" s="211">
        <f>IF(E73="Strongly disagree",0,IF(E73="disagree",1,IF(E73="unclear",2,IF(E73="agree",3,4))))</f>
        <v/>
      </c>
      <c r="E73" s="335" t="inlineStr">
        <is>
          <t>unclear</t>
        </is>
      </c>
      <c r="F73" s="344" t="n"/>
    </row>
    <row r="74" ht="15" customHeight="1">
      <c r="B74" s="82" t="inlineStr">
        <is>
          <t>7. There is no restrictive government policy.</t>
        </is>
      </c>
      <c r="D74" s="211">
        <f>IF(E74="Strongly disagree",0,IF(E74="disagree",1,IF(E74="unclear",2,IF(E74="agree",3,4))))</f>
        <v/>
      </c>
      <c r="E74" s="335" t="inlineStr">
        <is>
          <t>Strongly agree</t>
        </is>
      </c>
      <c r="F74" s="344" t="n"/>
    </row>
    <row r="75" ht="15" customHeight="1">
      <c r="B75" s="82" t="inlineStr">
        <is>
          <t>8. There is little "real" brand barriers. (like the trust in brands in food industry)</t>
        </is>
      </c>
      <c r="D75" s="211">
        <f>IF(E75="Strongly disagree",0,IF(E75="disagree",1,IF(E75="unclear",2,IF(E75="agree",3,4))))</f>
        <v/>
      </c>
      <c r="E75" s="335" t="inlineStr">
        <is>
          <t>Strongly disagree</t>
        </is>
      </c>
      <c r="F75" s="344" t="n"/>
    </row>
    <row r="76" ht="15" customHeight="1">
      <c r="E76" s="344" t="n"/>
    </row>
    <row r="77" ht="15" customHeight="1">
      <c r="B77" s="82" t="inlineStr">
        <is>
          <t>II. Power of Suppliers =</t>
        </is>
      </c>
      <c r="D77" s="214">
        <f>SUM(D78:D83)/(6*4)</f>
        <v/>
      </c>
      <c r="E77" s="77">
        <f>IF(D77&gt;80%,"Very High",IF(D77&lt;=20%,"Very Low",IF(D77&lt;=40%,"Low",IF(D77&lt;=60%,"Medium","High"))))</f>
        <v/>
      </c>
      <c r="F77" s="344" t="n"/>
    </row>
    <row r="78" ht="15" customHeight="1">
      <c r="B78" s="82" t="inlineStr">
        <is>
          <t>1. The supplier is more concentrated than the industry it sells to.</t>
        </is>
      </c>
      <c r="D78" s="211">
        <f>IF(E78="Strongly disagree",0,IF(E78="disagree",1,IF(E78="unclear",2,IF(E78="agree",3,4))))</f>
        <v/>
      </c>
      <c r="E78" s="335" t="inlineStr">
        <is>
          <t>Strongly disagree</t>
        </is>
      </c>
      <c r="F78" s="344" t="n"/>
    </row>
    <row r="79" ht="15" customHeight="1">
      <c r="B79" s="82" t="inlineStr">
        <is>
          <t>2. The supplier group does not depends heavily on the industry for its revenues.</t>
        </is>
      </c>
      <c r="D79" s="211">
        <f>IF(E79="Strongly disagree",0,IF(E79="disagree",1,IF(E79="unclear",2,IF(E79="agree",3,4))))</f>
        <v/>
      </c>
      <c r="E79" s="335" t="inlineStr">
        <is>
          <t>Strongly disagree</t>
        </is>
      </c>
      <c r="F79" s="344" t="n"/>
    </row>
    <row r="80" ht="15" customHeight="1">
      <c r="B80" s="82" t="inlineStr">
        <is>
          <t>3. There is high switching costs in changing suppliers.</t>
        </is>
      </c>
      <c r="D80" s="211">
        <f>IF(E80="Strongly disagree",0,IF(E80="disagree",1,IF(E80="unclear",2,IF(E80="agree",3,4))))</f>
        <v/>
      </c>
      <c r="E80" s="335" t="inlineStr">
        <is>
          <t>Strongly disagree</t>
        </is>
      </c>
      <c r="F80" s="344" t="n"/>
    </row>
    <row r="81" ht="15" customHeight="1">
      <c r="B81" s="82" t="inlineStr">
        <is>
          <t>4. The suppliers offer products that are differentiated.</t>
        </is>
      </c>
      <c r="D81" s="211">
        <f>IF(E81="Strongly disagree",0,IF(E81="disagree",1,IF(E81="unclear",2,IF(E81="agree",3,4))))</f>
        <v/>
      </c>
      <c r="E81" s="335" t="inlineStr">
        <is>
          <t>Strongly disagree</t>
        </is>
      </c>
      <c r="F81" s="344" t="n"/>
    </row>
    <row r="82" ht="15" customHeight="1">
      <c r="B82" s="82" t="inlineStr">
        <is>
          <t>5. There is no substitute for what the supplier group provides.</t>
        </is>
      </c>
      <c r="D82" s="211">
        <f>IF(E82="Strongly disagree",0,IF(E82="disagree",1,IF(E82="unclear",2,IF(E82="agree",3,4))))</f>
        <v/>
      </c>
      <c r="E82" s="335" t="inlineStr">
        <is>
          <t>Strongly disagree</t>
        </is>
      </c>
      <c r="F82" s="344" t="n"/>
    </row>
    <row r="83" ht="15" customHeight="1">
      <c r="B83" s="82" t="inlineStr">
        <is>
          <t>6. The supplier group can credibly threaten to integrate forward into the industry.</t>
        </is>
      </c>
      <c r="D83" s="211">
        <f>IF(E83="Strongly disagree",0,IF(E83="disagree",1,IF(E83="unclear",2,IF(E83="agree",3,4))))</f>
        <v/>
      </c>
      <c r="E83" s="335" t="inlineStr">
        <is>
          <t>Strongly disagree</t>
        </is>
      </c>
      <c r="F83" s="344" t="n"/>
    </row>
    <row r="84" ht="15" customHeight="1">
      <c r="E84" s="344" t="n"/>
    </row>
    <row r="85" ht="15" customHeight="1">
      <c r="B85" s="82" t="inlineStr">
        <is>
          <t>III. Power of Buyers =</t>
        </is>
      </c>
      <c r="D85" s="214">
        <f>SUM(D86:D93)/(8*4)</f>
        <v/>
      </c>
      <c r="E85" s="77">
        <f>IF(D85&gt;80%,"Very High",IF(D85&lt;=20%,"Very Low",IF(D85&lt;=40%,"Low",IF(D85&lt;=60%,"Medium","High"))))</f>
        <v/>
      </c>
      <c r="F85" s="344" t="n"/>
    </row>
    <row r="86" ht="15" customHeight="1">
      <c r="B86" s="82" t="inlineStr">
        <is>
          <t>1. There are few buyers, or some buyers who purchase in relatively large volumes.</t>
        </is>
      </c>
      <c r="D86" s="211">
        <f>IF(E86="Strongly disagree",0,IF(E86="disagree",1,IF(E86="unclear",2,IF(E86="agree",3,4))))</f>
        <v/>
      </c>
      <c r="E86" s="335" t="inlineStr">
        <is>
          <t>Strongly disagree</t>
        </is>
      </c>
      <c r="F86" s="344" t="n"/>
    </row>
    <row r="87" ht="15" customHeight="1">
      <c r="B87" s="82" t="inlineStr">
        <is>
          <t>2. The products are standardized or undifferentiated.</t>
        </is>
      </c>
      <c r="D87" s="211">
        <f>IF(E87="Strongly disagree",0,IF(E87="disagree",1,IF(E87="unclear",2,IF(E87="agree",3,4))))</f>
        <v/>
      </c>
      <c r="E87" s="335" t="inlineStr">
        <is>
          <t>disagree</t>
        </is>
      </c>
      <c r="F87" s="344" t="n"/>
    </row>
    <row r="88" ht="15" customHeight="1">
      <c r="B88" s="82" t="inlineStr">
        <is>
          <t>3. The buyers face low switching costs in changing vendors.</t>
        </is>
      </c>
      <c r="D88" s="211">
        <f>IF(E88="Strongly disagree",0,IF(E88="disagree",1,IF(E88="unclear",2,IF(E88="agree",3,4))))</f>
        <v/>
      </c>
      <c r="E88" s="335" t="inlineStr">
        <is>
          <t>Strongly agree</t>
        </is>
      </c>
      <c r="F88" s="344" t="n"/>
    </row>
    <row r="89" ht="15" customHeight="1">
      <c r="B89" s="82" t="inlineStr">
        <is>
          <t>4. The buyers can credibly threaten to integrate backward.</t>
        </is>
      </c>
      <c r="D89" s="211">
        <f>IF(E89="Strongly disagree",0,IF(E89="disagree",1,IF(E89="unclear",2,IF(E89="agree",3,4))))</f>
        <v/>
      </c>
      <c r="E89" s="335" t="inlineStr">
        <is>
          <t>Strongly disagree</t>
        </is>
      </c>
      <c r="F89" s="344" t="n"/>
    </row>
    <row r="90" ht="15" customHeight="1">
      <c r="B90" s="82" t="inlineStr">
        <is>
          <t>5. The product the buyers purchase are relatively expensive.</t>
        </is>
      </c>
      <c r="D90" s="211">
        <f>IF(E90="Strongly disagree",0,IF(E90="disagree",1,IF(E90="unclear",2,IF(E90="agree",3,4))))</f>
        <v/>
      </c>
      <c r="E90" s="335" t="inlineStr">
        <is>
          <t>Strongly disagree</t>
        </is>
      </c>
      <c r="F90" s="344" t="n"/>
    </row>
    <row r="91" ht="15" customHeight="1">
      <c r="B91" s="82" t="inlineStr">
        <is>
          <t>6.The buyer group earns low income, or is strapped for cash.</t>
        </is>
      </c>
      <c r="D91" s="211">
        <f>IF(E91="Strongly disagree",0,IF(E91="disagree",1,IF(E91="unclear",2,IF(E91="agree",3,4))))</f>
        <v/>
      </c>
      <c r="E91" s="335" t="inlineStr">
        <is>
          <t>unclear</t>
        </is>
      </c>
      <c r="F91" s="344" t="n"/>
    </row>
    <row r="92" ht="15" customHeight="1">
      <c r="B92" s="82" t="inlineStr">
        <is>
          <t>7. The buyers are little affacted by the industry's product.</t>
        </is>
      </c>
      <c r="D92" s="211">
        <f>IF(E92="Strongly disagree",0,IF(E92="disagree",1,IF(E92="unclear",2,IF(E92="agree",3,4))))</f>
        <v/>
      </c>
      <c r="E92" s="335" t="inlineStr">
        <is>
          <t>Strongly agree</t>
        </is>
      </c>
      <c r="F92" s="344" t="n"/>
    </row>
    <row r="93" ht="15" customHeight="1">
      <c r="B93" s="82" t="inlineStr">
        <is>
          <t>8. The industry’s product has little effect on the buyer’s other costs.</t>
        </is>
      </c>
      <c r="D93" s="211">
        <f>IF(E93="Strongly disagree",0,IF(E93="disagree",1,IF(E93="unclear",2,IF(E93="agree",3,4))))</f>
        <v/>
      </c>
      <c r="E93" s="335" t="inlineStr">
        <is>
          <t>Strongly agree</t>
        </is>
      </c>
      <c r="F93" s="344" t="n"/>
    </row>
    <row r="94" ht="15" customHeight="1">
      <c r="E94" s="344" t="n"/>
    </row>
    <row r="95" ht="15" customHeight="1">
      <c r="B95" s="82" t="inlineStr">
        <is>
          <t>IV. Threat of Substitutions =</t>
        </is>
      </c>
      <c r="D95" s="214">
        <f>SUM(D96:D100)/(3*4)</f>
        <v/>
      </c>
      <c r="E95" s="77">
        <f>IF(D95&gt;80%,"Very High",IF(D95&lt;=20%,"Very Low",IF(D95&lt;=40%,"Low",IF(D95&lt;=60%,"Medium","High"))))</f>
        <v/>
      </c>
      <c r="F95" s="344" t="n"/>
    </row>
    <row r="96" ht="15" customHeight="1">
      <c r="B96" s="82" t="inlineStr">
        <is>
          <t>1. There is an unfavorable gap in the price or performance when compared.</t>
        </is>
      </c>
      <c r="D96" s="211">
        <f>IF(E96="Strongly disagree",0,IF(E96="disagree",1,IF(E96="unclear",2,IF(E96="agree",3,4))))</f>
        <v/>
      </c>
      <c r="E96" s="335" t="inlineStr">
        <is>
          <t>Strongly disagree</t>
        </is>
      </c>
      <c r="F96" s="344" t="n"/>
    </row>
    <row r="97" ht="15" customHeight="1">
      <c r="B97" s="82" t="inlineStr">
        <is>
          <t>2. The buyer's cost of switching to the substitute is low.</t>
        </is>
      </c>
      <c r="D97" s="211">
        <f>IF(E97="Strongly disagree",0,IF(E97="disagree",1,IF(E97="unclear",2,IF(E97="agree",3,4))))</f>
        <v/>
      </c>
      <c r="E97" s="335" t="inlineStr">
        <is>
          <t>Strongly agree</t>
        </is>
      </c>
      <c r="F97" s="344" t="n"/>
    </row>
    <row r="98" ht="15" customHeight="1">
      <c r="B98" s="82" t="inlineStr">
        <is>
          <t>3. It's likely the substitutes will become very attractive in three to five years.</t>
        </is>
      </c>
      <c r="D98" s="211">
        <f>IF(E98="Strongly disagree",0,IF(E98="disagree",1,IF(E98="unclear",2,IF(E98="agree",3,4))))</f>
        <v/>
      </c>
      <c r="E98" s="335" t="inlineStr">
        <is>
          <t>agree</t>
        </is>
      </c>
      <c r="F98" s="344" t="n"/>
    </row>
    <row r="99" ht="15" customHeight="1">
      <c r="B99" s="82" t="inlineStr">
        <is>
          <t>4. The company have a negative ESG value.</t>
        </is>
      </c>
      <c r="D99" s="211">
        <f>IF(E99="Strongly disagree",0,IF(E99="disagree",1,IF(E99="unclear",2,IF(E99="agree",3,4))))</f>
        <v/>
      </c>
      <c r="E99" s="335" t="inlineStr">
        <is>
          <t>disagree</t>
        </is>
      </c>
      <c r="F99" s="344" t="n"/>
    </row>
    <row r="100" ht="15" customHeight="1">
      <c r="B100" s="82" t="inlineStr">
        <is>
          <t>5. How long is the industry average asset life?</t>
        </is>
      </c>
      <c r="D100" s="215">
        <f t="array" ref="D100">(1-INDEX(B118:E127,MATCH(E100,B118:B127,0),4))*4</f>
        <v/>
      </c>
      <c r="E100" s="335" t="inlineStr">
        <is>
          <t>Consumer Staples, 15.1y</t>
        </is>
      </c>
      <c r="F100" s="344" t="n"/>
    </row>
    <row r="101" ht="15" customHeight="1">
      <c r="E101" s="344" t="n"/>
    </row>
    <row r="102" ht="15" customHeight="1">
      <c r="B102" s="82" t="inlineStr">
        <is>
          <t>V. Rivalry among existing Competitors =</t>
        </is>
      </c>
      <c r="D102" s="216">
        <f>SUM(D103:D111)/(9*4)</f>
        <v/>
      </c>
      <c r="E102" s="77">
        <f>IF(D102&gt;80%,"Very High",IF(D102&lt;=20%,"Very Low",IF(D102&lt;=40%,"Low",IF(D102&lt;=60%,"Medium","High"))))</f>
        <v/>
      </c>
      <c r="F102" s="344" t="n"/>
    </row>
    <row r="103" ht="15" customHeight="1">
      <c r="B103" s="82" t="inlineStr">
        <is>
          <t>1. There are numerous competitors or are roughly equal in size and power.</t>
        </is>
      </c>
      <c r="D103" s="211">
        <f>IF(E103="Strongly disagree",0,IF(E103="disagree",1,IF(E103="unclear",2,IF(E103="agree",3,4))))</f>
        <v/>
      </c>
      <c r="E103" s="335" t="inlineStr">
        <is>
          <t>Strongly agree</t>
        </is>
      </c>
      <c r="F103" s="344" t="n"/>
    </row>
    <row r="104" ht="15" customHeight="1">
      <c r="B104" s="82" t="inlineStr">
        <is>
          <t>2. Industry growth is slow.</t>
        </is>
      </c>
      <c r="D104" s="211">
        <f>IF(E104="Strongly disagree",0,IF(E104="disagree",1,IF(E104="unclear",2,IF(E104="agree",3,4))))</f>
        <v/>
      </c>
      <c r="E104" s="335" t="inlineStr">
        <is>
          <t>Strongly agree</t>
        </is>
      </c>
      <c r="F104" s="344" t="n"/>
    </row>
    <row r="105" ht="15" customHeight="1">
      <c r="B105" s="82" t="inlineStr">
        <is>
          <t>3. Exit barriers are high.</t>
        </is>
      </c>
      <c r="D105" s="211">
        <f>IF(E105="Strongly disagree",0,IF(E105="disagree",1,IF(E105="unclear",2,IF(E105="agree",3,4))))</f>
        <v/>
      </c>
      <c r="E105" s="335" t="inlineStr">
        <is>
          <t>Strongly agree</t>
        </is>
      </c>
      <c r="F105" s="344" t="n"/>
    </row>
    <row r="106" ht="15" customHeight="1">
      <c r="B106" s="82" t="inlineStr">
        <is>
          <t>4. Rivals are highly committed to the business and have aspirations for leadership.</t>
        </is>
      </c>
      <c r="D106" s="211">
        <f>IF(E106="Strongly disagree",0,IF(E106="disagree",1,IF(E106="unclear",2,IF(E106="agree",3,4))))</f>
        <v/>
      </c>
      <c r="E106" s="335" t="inlineStr">
        <is>
          <t>Strongly agree</t>
        </is>
      </c>
      <c r="F106" s="344" t="n"/>
    </row>
    <row r="107" ht="15" customHeight="1">
      <c r="B107" s="82" t="inlineStr">
        <is>
          <t>5. Firms cannot read each other’s signals well.</t>
        </is>
      </c>
      <c r="D107" s="211">
        <f>IF(E107="Strongly disagree",0,IF(E107="disagree",1,IF(E107="unclear",2,IF(E107="agree",3,4))))</f>
        <v/>
      </c>
      <c r="E107" s="335" t="inlineStr">
        <is>
          <t>Strongly agree</t>
        </is>
      </c>
      <c r="F107" s="344" t="n"/>
    </row>
    <row r="108" ht="15" customHeight="1">
      <c r="B108" s="82" t="inlineStr">
        <is>
          <t>6. Products or services of rivals are nearly identical with few buyer switching costs.</t>
        </is>
      </c>
      <c r="D108" s="211">
        <f>IF(E108="Strongly disagree",0,IF(E108="disagree",1,IF(E108="unclear",2,IF(E108="agree",3,4))))</f>
        <v/>
      </c>
      <c r="E108" s="335" t="inlineStr">
        <is>
          <t>agree</t>
        </is>
      </c>
      <c r="F108" s="344" t="n"/>
    </row>
    <row r="109" ht="15" customHeight="1">
      <c r="B109" s="82" t="inlineStr">
        <is>
          <t>7. Fixed costs are high and marginal costs are low.</t>
        </is>
      </c>
      <c r="D109" s="211">
        <f>IF(E109="Strongly disagree",0,IF(E109="disagree",1,IF(E109="unclear",2,IF(E109="agree",3,4))))</f>
        <v/>
      </c>
      <c r="E109" s="335" t="inlineStr">
        <is>
          <t>Strongly agree</t>
        </is>
      </c>
      <c r="F109" s="344" t="n"/>
    </row>
    <row r="110" ht="15" customHeight="1">
      <c r="B110" s="82" t="inlineStr">
        <is>
          <t>8. Capacity must be expanded in large increments to be efficient.</t>
        </is>
      </c>
      <c r="D110" s="211">
        <f>IF(E110="Strongly disagree",0,IF(E110="disagree",1,IF(E110="unclear",2,IF(E110="agree",3,4))))</f>
        <v/>
      </c>
      <c r="E110" s="335" t="inlineStr">
        <is>
          <t>Strongly agree</t>
        </is>
      </c>
      <c r="F110" s="344" t="n"/>
    </row>
    <row r="111" ht="15" customHeight="1">
      <c r="B111" s="82" t="inlineStr">
        <is>
          <t>9. The product is perishable (The opposition is product that gets better with age).</t>
        </is>
      </c>
      <c r="D111" s="211">
        <f>IF(E111="Strongly disagree",0,IF(E111="disagree",1,IF(E111="non-perishable",2,IF(E111="agree",3,4))))</f>
        <v/>
      </c>
      <c r="E111" s="335" t="inlineStr">
        <is>
          <t>agree</t>
        </is>
      </c>
      <c r="F111" s="344" t="n"/>
    </row>
    <row r="112" ht="15" customHeight="1">
      <c r="E112" s="344" t="n"/>
    </row>
    <row r="113" ht="15" customHeight="1">
      <c r="B113" s="82" t="inlineStr">
        <is>
          <t>Conclusion: the Industry Competition level is</t>
        </is>
      </c>
      <c r="D113" s="344" t="n"/>
      <c r="E113" s="217">
        <f>IF(E114&gt;80%,"Very Low",IF(E114&lt;=20%,"Very High",IF(E114&lt;=40%,"High",IF(E114&lt;=60%,"Medium","Low"))))</f>
        <v/>
      </c>
      <c r="F113" s="344" t="n"/>
    </row>
    <row r="114" ht="15" customHeight="1">
      <c r="B114" s="82" t="inlineStr">
        <is>
          <t>Length of the CAP suggested by the Porter's Five Forces</t>
        </is>
      </c>
      <c r="D114" s="344" t="n"/>
      <c r="E114" s="39">
        <f>1-AVERAGE(D67,D77,D85,D95,D102)</f>
        <v/>
      </c>
      <c r="F114" s="5" t="n"/>
    </row>
    <row r="115" ht="15" customHeight="1">
      <c r="E115" s="344" t="n"/>
    </row>
    <row r="116" ht="15" customHeight="1">
      <c r="B116" s="83" t="inlineStr">
        <is>
          <t>// Reserved for Logic</t>
        </is>
      </c>
      <c r="C116" s="7" t="n"/>
      <c r="D116" s="7" t="n"/>
      <c r="E116" s="85" t="n"/>
      <c r="F116" s="82" t="n"/>
      <c r="G116" s="82" t="n"/>
      <c r="H116" s="82" t="n"/>
    </row>
    <row r="117" ht="15" customHeight="1">
      <c r="B117" s="218" t="inlineStr">
        <is>
          <t>Average Asset Life by Sector, 2013</t>
        </is>
      </c>
      <c r="C117" s="219" t="n"/>
      <c r="D117" s="219" t="n"/>
      <c r="E117" s="220" t="n"/>
      <c r="F117" s="82" t="n"/>
      <c r="G117" s="82" t="n"/>
      <c r="H117" s="82" t="n"/>
    </row>
    <row r="118" ht="15" customHeight="1">
      <c r="B118" s="221" t="inlineStr">
        <is>
          <t>No Barrier Company, 1y</t>
        </is>
      </c>
      <c r="C118" s="219" t="n"/>
      <c r="D118" s="219" t="n">
        <v>1</v>
      </c>
      <c r="E118" s="222">
        <f>D118/MAX($D$118:$D$127)</f>
        <v/>
      </c>
      <c r="F118" s="82" t="n"/>
      <c r="G118" s="82" t="n"/>
      <c r="H118" s="82" t="n"/>
    </row>
    <row r="119" ht="15" customHeight="1">
      <c r="B119" s="221">
        <f>C119&amp;", "&amp;D119&amp;"y"</f>
        <v/>
      </c>
      <c r="C119" s="219" t="inlineStr">
        <is>
          <t>Information Technology Like</t>
        </is>
      </c>
      <c r="D119" s="219" t="n">
        <v>6.6</v>
      </c>
      <c r="E119" s="222">
        <f>D119/MAX($D$118:$D$127)</f>
        <v/>
      </c>
      <c r="F119" s="82" t="n"/>
      <c r="G119" s="82" t="n"/>
      <c r="H119" s="82" t="n"/>
    </row>
    <row r="120" ht="15" customHeight="1">
      <c r="B120" s="221">
        <f>C120&amp;", "&amp;D120&amp;"y"</f>
        <v/>
      </c>
      <c r="C120" s="219" t="inlineStr">
        <is>
          <t>Healthcare</t>
        </is>
      </c>
      <c r="D120" s="219" t="n">
        <v>11.4</v>
      </c>
      <c r="E120" s="222">
        <f>D120/MAX($D$118:$D$127)</f>
        <v/>
      </c>
      <c r="F120" s="82" t="n"/>
      <c r="G120" s="82" t="n"/>
      <c r="H120" s="82" t="n"/>
    </row>
    <row r="121" ht="15" customHeight="1">
      <c r="B121" s="221">
        <f>C121&amp;", "&amp;D121&amp;"y"</f>
        <v/>
      </c>
      <c r="C121" s="219" t="inlineStr">
        <is>
          <t>Consumer Discretionary</t>
        </is>
      </c>
      <c r="D121" s="219" t="n">
        <v>12.4</v>
      </c>
      <c r="E121" s="222">
        <f>D121/MAX($D$118:$D$127)</f>
        <v/>
      </c>
      <c r="F121" s="82" t="n"/>
      <c r="G121" s="82" t="n"/>
      <c r="H121" s="82" t="n"/>
    </row>
    <row r="122" ht="15" customHeight="1">
      <c r="B122" s="221">
        <f>C122&amp;", "&amp;D122&amp;"y"</f>
        <v/>
      </c>
      <c r="C122" s="219" t="inlineStr">
        <is>
          <t>Consumer Staples</t>
        </is>
      </c>
      <c r="D122" s="219" t="n">
        <v>15.1</v>
      </c>
      <c r="E122" s="222">
        <f>D122/MAX($D$118:$D$127)</f>
        <v/>
      </c>
      <c r="F122" s="82" t="n"/>
      <c r="G122" s="82" t="n"/>
      <c r="H122" s="82" t="n"/>
    </row>
    <row r="123" ht="15" customHeight="1">
      <c r="B123" s="221">
        <f>C123&amp;", "&amp;D123&amp;"y"</f>
        <v/>
      </c>
      <c r="C123" s="219" t="inlineStr">
        <is>
          <t>Industrials</t>
        </is>
      </c>
      <c r="D123" s="219" t="n">
        <v>15.4</v>
      </c>
      <c r="E123" s="222">
        <f>D123/MAX($D$118:$D$127)</f>
        <v/>
      </c>
      <c r="F123" s="82" t="n"/>
      <c r="G123" s="82" t="n"/>
      <c r="H123" s="82" t="n"/>
    </row>
    <row r="124" ht="15" customHeight="1">
      <c r="B124" s="221">
        <f>C124&amp;", "&amp;D124&amp;"y"</f>
        <v/>
      </c>
      <c r="C124" s="219" t="inlineStr">
        <is>
          <t>Telecommunication Services</t>
        </is>
      </c>
      <c r="D124" s="219" t="n">
        <v>16.1</v>
      </c>
      <c r="E124" s="222">
        <f>D124/MAX($D$118:$D$127)</f>
        <v/>
      </c>
      <c r="F124" s="82" t="n"/>
      <c r="G124" s="82" t="n"/>
      <c r="H124" s="82" t="n"/>
    </row>
    <row r="125" ht="15" customHeight="1">
      <c r="B125" s="221">
        <f>C125&amp;", "&amp;D125&amp;"y"</f>
        <v/>
      </c>
      <c r="C125" s="219" t="inlineStr">
        <is>
          <t>Energy</t>
        </is>
      </c>
      <c r="D125" s="219" t="n">
        <v>17.6</v>
      </c>
      <c r="E125" s="222">
        <f>D125/MAX($D$118:$D$127)</f>
        <v/>
      </c>
      <c r="F125" s="82" t="n"/>
      <c r="G125" s="82" t="n"/>
      <c r="H125" s="82" t="n"/>
    </row>
    <row r="126" ht="15" customHeight="1">
      <c r="B126" s="221">
        <f>C126&amp;", "&amp;D126&amp;"y"</f>
        <v/>
      </c>
      <c r="C126" s="219" t="inlineStr">
        <is>
          <t>Materials</t>
        </is>
      </c>
      <c r="D126" s="219" t="n">
        <v>18.6</v>
      </c>
      <c r="E126" s="222">
        <f>D126/MAX($D$118:$D$127)</f>
        <v/>
      </c>
      <c r="F126" s="82" t="n"/>
      <c r="G126" s="82" t="n"/>
      <c r="H126" s="82" t="n"/>
    </row>
    <row r="127" ht="15" customHeight="1">
      <c r="B127" s="223">
        <f>C127&amp;", "&amp;D127&amp;"y"</f>
        <v/>
      </c>
      <c r="C127" s="224" t="inlineStr">
        <is>
          <t>Utilities</t>
        </is>
      </c>
      <c r="D127" s="224" t="n">
        <v>29.4</v>
      </c>
      <c r="E127" s="225">
        <f>D127/MAX($D$119:$D$127)</f>
        <v/>
      </c>
      <c r="F127" s="82" t="n"/>
      <c r="G127" s="82" t="n"/>
      <c r="H127" s="82" t="n"/>
    </row>
  </sheetData>
  <dataValidations count="21">
    <dataValidation sqref="E6" showErrorMessage="1" showInputMessage="1" allowBlank="1" type="list">
      <formula1>"Hot - Loose,Cold - Tight,Mixed"</formula1>
    </dataValidation>
    <dataValidation sqref="E10" showErrorMessage="1" showInputMessage="1" allowBlank="1" type="list">
      <formula1>"Hot - Low,Cold - High,Mixed"</formula1>
    </dataValidation>
    <dataValidation sqref="E9" showErrorMessage="1" showInputMessage="1" allowBlank="1" type="list">
      <formula1>"Hot - Easy,Cold - Restrictive,Mixed"</formula1>
    </dataValidation>
    <dataValidation sqref="E67 E77 E85 E95 E102" showErrorMessage="1" showInputMessage="1" allowBlank="1" type="list">
      <formula1>"Very High,High,Medium,Low,Very Low"</formula1>
    </dataValidation>
    <dataValidation sqref="E4" showErrorMessage="1" showInputMessage="1" allowBlank="1" type="list">
      <formula1>"Hot - Positive,Cold - Negative,Mixed"</formula1>
    </dataValidation>
    <dataValidation sqref="E26:E29 E40:E43 E45:E49 E103:E110 E68:E75 E78:E83 E86:E93 E96:E99 E34:E37 E59" showErrorMessage="1" showInputMessage="1" allowBlank="1" type="list">
      <formula1>"Strongly agree,agree,unclear,disagree,Strongly disagree"</formula1>
    </dataValidation>
    <dataValidation sqref="E20" showErrorMessage="1" showInputMessage="1" allowBlank="1" type="list">
      <formula1>"Hot - Strong,Cold - Weak,Mixed"</formula1>
    </dataValidation>
    <dataValidation sqref="E18" showErrorMessage="1" showInputMessage="1" allowBlank="1" type="list">
      <formula1>"Hot - Average person joins the market,Cold - ""Worse is yet to come"",Mixed - ""Market has bottomed"""</formula1>
    </dataValidation>
    <dataValidation sqref="E13" showErrorMessage="1" showInputMessage="1" allowBlank="1" type="list">
      <formula1>"Hot - Happy to hold,Cold - Rushing for the exits,Mixed"</formula1>
    </dataValidation>
    <dataValidation sqref="E111" showErrorMessage="1" showInputMessage="1" allowBlank="1" type="list">
      <formula1>"Strongly agree,agree,non-perishable,disagree,Strongly disagree"</formula1>
    </dataValidation>
    <dataValidation sqref="E21" showErrorMessage="1" showInputMessage="1" allowBlank="1" type="list">
      <formula1>"Hot - Aggressiveness,Cold - Caution and discipline,Hot - Broad reach,Cold - ""It's uninvestable"",Mixed"</formula1>
    </dataValidation>
    <dataValidation sqref="E16" showErrorMessage="1" showInputMessage="1" allowBlank="1" type="list">
      <formula1>"Hot - Few,Cold - Many,Mixed"</formula1>
    </dataValidation>
    <dataValidation sqref="E14" showErrorMessage="1" showInputMessage="1" allowBlank="1" type="list">
      <formula1>"Hot - High,Cold - Low,Mixed"</formula1>
    </dataValidation>
    <dataValidation sqref="E15" showErrorMessage="1" showInputMessage="1" allowBlank="1" type="list">
      <formula1>"Hot - Optimistic,Cold - Pessimistic,Hot - Sanguine,Cold - Distressed,Hot - Eager to buy,Cold - Uninterested in buying,Mixed"</formula1>
    </dataValidation>
    <dataValidation sqref="E5" showErrorMessage="1" showInputMessage="1" allowBlank="1" type="list">
      <formula1>"Hot - Eager,Cold - Reticent,Mixed"</formula1>
    </dataValidation>
    <dataValidation sqref="E3" showErrorMessage="1" showInputMessage="1" allowBlank="1" type="list">
      <formula1>"Hot - Vibrant,Cold - Sluggish,Mixed"</formula1>
    </dataValidation>
    <dataValidation sqref="E19" showErrorMessage="1" showInputMessage="1" allowBlank="1" type="list">
      <formula1>"Hot - Hard to gain entry,Cold - Open to anyone,Hot - 
New ones daily,Cold - Only the best can raise money,Hot - GP hold the cards on terms,Cold - LP have bargaining power,Mixed"</formula1>
    </dataValidation>
    <dataValidation sqref="E8" showErrorMessage="1" showInputMessage="1" allowBlank="1" type="list">
      <formula1>"Hot - Plentiful,Cold - Scarce,Mixed"</formula1>
    </dataValidation>
    <dataValidation sqref="E11" showErrorMessage="1" showInputMessage="1" allowBlank="1" type="list">
      <formula1>"Hot - Narrow,Cold - Wide,Mixed"</formula1>
    </dataValidation>
    <dataValidation sqref="E33 E60:E62" showErrorMessage="1" showInputMessage="1" allowBlank="1"/>
    <dataValidation sqref="E100" showErrorMessage="1" showInputMessage="1" allowBlank="1" type="list">
      <formula1>B118:B127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Jerry.chen</dc:creator>
  <dcterms:created xmlns:dcterms="http://purl.org/dc/terms/" xmlns:xsi="http://www.w3.org/2001/XMLSchema-instance" xsi:type="dcterms:W3CDTF">2022-08-10T03:52:42Z</dcterms:created>
  <dcterms:modified xmlns:dcterms="http://purl.org/dc/terms/" xmlns:xsi="http://www.w3.org/2001/XMLSchema-instance" xsi:type="dcterms:W3CDTF">2022-12-06T13:47:59Z</dcterms:modified>
  <cp:lastModifiedBy>Jerry Chen</cp:lastModifiedBy>
</cp:coreProperties>
</file>