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erry.chen\PycharmProjects\pythonProject\Opportunities\"/>
    </mc:Choice>
  </mc:AlternateContent>
  <xr:revisionPtr revIDLastSave="0" documentId="13_ncr:1_{5BB6018F-21DC-4FD6-909D-FD5561D06F2E}" xr6:coauthVersionLast="47" xr6:coauthVersionMax="47" xr10:uidLastSave="{00000000-0000-0000-0000-000000000000}"/>
  <bookViews>
    <workbookView xWindow="28680" yWindow="-120" windowWidth="29040" windowHeight="15840" xr2:uid="{04C18DA2-D859-514B-9E1B-7E320FEEEDAF}"/>
  </bookViews>
  <sheets>
    <sheet name="Dashboard" sheetId="2" r:id="rId1"/>
    <sheet name="Securities" sheetId="7" r:id="rId2"/>
    <sheet name="Credit Analysis Model" sheetId="9" r:id="rId3"/>
  </sheets>
  <definedNames>
    <definedName name="Common_Shares" localSheetId="2">'Credit Analysis Model'!#REF!</definedName>
    <definedName name="Common_Shares" localSheetId="1">Securities!#REF!</definedName>
    <definedName name="Common_Shares">Dashboard!$H$5</definedName>
    <definedName name="Exchange_Rate" localSheetId="2">'Credit Analysis Model'!#REF!</definedName>
    <definedName name="Exchange_Rate" localSheetId="1">Securities!#REF!</definedName>
    <definedName name="Exchange_Rate">Dashboard!$H$13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3" i="2" l="1"/>
  <c r="D10" i="2"/>
  <c r="H22" i="2"/>
  <c r="Q54" i="9"/>
  <c r="C16" i="7"/>
  <c r="C24" i="7"/>
  <c r="C32" i="7"/>
  <c r="C33" i="7"/>
  <c r="C25" i="7"/>
  <c r="C17" i="7"/>
  <c r="C4" i="7"/>
  <c r="C31" i="7"/>
  <c r="C23" i="7"/>
  <c r="C43" i="9"/>
  <c r="D7" i="9"/>
  <c r="G18" i="9" s="1"/>
  <c r="D23" i="9"/>
  <c r="D24" i="9" s="1"/>
  <c r="E23" i="9" s="1"/>
  <c r="E26" i="9"/>
  <c r="F26" i="9"/>
  <c r="G26" i="9"/>
  <c r="H26" i="9"/>
  <c r="I26" i="9"/>
  <c r="J26" i="9"/>
  <c r="K26" i="9"/>
  <c r="L26" i="9"/>
  <c r="M26" i="9"/>
  <c r="N26" i="9"/>
  <c r="O26" i="9"/>
  <c r="D26" i="9"/>
  <c r="D9" i="7"/>
  <c r="C9" i="7"/>
  <c r="C15" i="7"/>
  <c r="H35" i="2"/>
  <c r="D4" i="7"/>
  <c r="I4" i="2" s="1"/>
  <c r="H10" i="2"/>
  <c r="C8" i="7" l="1"/>
  <c r="O18" i="9"/>
  <c r="O43" i="9" s="1"/>
  <c r="C5" i="7"/>
  <c r="C6" i="7" s="1"/>
  <c r="F18" i="9"/>
  <c r="N18" i="9"/>
  <c r="J18" i="9"/>
  <c r="E24" i="9"/>
  <c r="M18" i="9"/>
  <c r="E18" i="9"/>
  <c r="E43" i="9" s="1"/>
  <c r="L18" i="9"/>
  <c r="H18" i="9"/>
  <c r="D18" i="9"/>
  <c r="D43" i="9" s="1"/>
  <c r="I18" i="9"/>
  <c r="C31" i="9"/>
  <c r="K18" i="9"/>
  <c r="F43" i="9" l="1"/>
  <c r="J43" i="9"/>
  <c r="L43" i="9"/>
  <c r="I43" i="9"/>
  <c r="M43" i="9"/>
  <c r="G43" i="9"/>
  <c r="K43" i="9"/>
  <c r="N43" i="9"/>
  <c r="H43" i="9"/>
  <c r="D32" i="9"/>
  <c r="D39" i="9"/>
  <c r="D38" i="9"/>
  <c r="D41" i="9"/>
  <c r="D36" i="9"/>
  <c r="D33" i="9"/>
  <c r="D42" i="9"/>
  <c r="D35" i="9"/>
  <c r="D34" i="9"/>
  <c r="D40" i="9"/>
  <c r="D37" i="9"/>
  <c r="E41" i="9"/>
  <c r="E36" i="9"/>
  <c r="E33" i="9"/>
  <c r="E38" i="9"/>
  <c r="E42" i="9"/>
  <c r="E35" i="9"/>
  <c r="E34" i="9"/>
  <c r="E39" i="9"/>
  <c r="E40" i="9"/>
  <c r="E37" i="9"/>
  <c r="N42" i="9"/>
  <c r="J42" i="9"/>
  <c r="F42" i="9"/>
  <c r="M41" i="9"/>
  <c r="I41" i="9"/>
  <c r="K40" i="9"/>
  <c r="G40" i="9"/>
  <c r="H39" i="9"/>
  <c r="H38" i="9"/>
  <c r="G37" i="9"/>
  <c r="F35" i="9"/>
  <c r="F34" i="9"/>
  <c r="H40" i="9"/>
  <c r="M42" i="9"/>
  <c r="I42" i="9"/>
  <c r="L41" i="9"/>
  <c r="H41" i="9"/>
  <c r="J40" i="9"/>
  <c r="F40" i="9"/>
  <c r="K39" i="9"/>
  <c r="G39" i="9"/>
  <c r="G38" i="9"/>
  <c r="F37" i="9"/>
  <c r="H36" i="9"/>
  <c r="G42" i="9"/>
  <c r="J41" i="9"/>
  <c r="L40" i="9"/>
  <c r="I39" i="9"/>
  <c r="H37" i="9"/>
  <c r="F36" i="9"/>
  <c r="L42" i="9"/>
  <c r="H42" i="9"/>
  <c r="K41" i="9"/>
  <c r="G41" i="9"/>
  <c r="I40" i="9"/>
  <c r="J39" i="9"/>
  <c r="F39" i="9"/>
  <c r="J38" i="9"/>
  <c r="F38" i="9"/>
  <c r="I37" i="9"/>
  <c r="G36" i="9"/>
  <c r="K42" i="9"/>
  <c r="F41" i="9"/>
  <c r="I38" i="9"/>
  <c r="G35" i="9"/>
  <c r="C39" i="9"/>
  <c r="C38" i="9"/>
  <c r="C37" i="9"/>
  <c r="C41" i="9"/>
  <c r="C36" i="9"/>
  <c r="C33" i="9"/>
  <c r="C40" i="9"/>
  <c r="C42" i="9"/>
  <c r="C35" i="9"/>
  <c r="C34" i="9"/>
  <c r="C32" i="9"/>
  <c r="F23" i="9"/>
  <c r="H34" i="2"/>
  <c r="E6" i="2"/>
  <c r="C2" i="2"/>
  <c r="Q46" i="9" l="1"/>
  <c r="Q47" i="9" s="1"/>
  <c r="F24" i="9"/>
  <c r="G23" i="9" s="1"/>
  <c r="D6" i="9" l="1"/>
  <c r="D5" i="9"/>
  <c r="D8" i="7"/>
  <c r="H5" i="9" s="1"/>
  <c r="G24" i="9"/>
  <c r="H9" i="2"/>
  <c r="H19" i="2" s="1"/>
  <c r="H12" i="2"/>
  <c r="H4" i="2"/>
  <c r="C7" i="7"/>
  <c r="H11" i="2" s="1"/>
  <c r="C19" i="2" s="1"/>
  <c r="D11" i="9" l="1"/>
  <c r="E11" i="9"/>
  <c r="F21" i="9"/>
  <c r="F33" i="9" s="1"/>
  <c r="F46" i="9" s="1"/>
  <c r="F47" i="9" s="1"/>
  <c r="J21" i="9"/>
  <c r="J37" i="9" s="1"/>
  <c r="J46" i="9" s="1"/>
  <c r="J47" i="9" s="1"/>
  <c r="N21" i="9"/>
  <c r="N41" i="9" s="1"/>
  <c r="N46" i="9" s="1"/>
  <c r="N47" i="9" s="1"/>
  <c r="L21" i="9"/>
  <c r="L39" i="9" s="1"/>
  <c r="L46" i="9" s="1"/>
  <c r="L47" i="9" s="1"/>
  <c r="E21" i="9"/>
  <c r="E32" i="9" s="1"/>
  <c r="E46" i="9" s="1"/>
  <c r="E47" i="9" s="1"/>
  <c r="M21" i="9"/>
  <c r="M40" i="9" s="1"/>
  <c r="M46" i="9" s="1"/>
  <c r="M47" i="9" s="1"/>
  <c r="G21" i="9"/>
  <c r="G34" i="9" s="1"/>
  <c r="G46" i="9" s="1"/>
  <c r="G47" i="9" s="1"/>
  <c r="K21" i="9"/>
  <c r="K38" i="9" s="1"/>
  <c r="K46" i="9" s="1"/>
  <c r="K47" i="9" s="1"/>
  <c r="O21" i="9"/>
  <c r="O42" i="9" s="1"/>
  <c r="O46" i="9" s="1"/>
  <c r="O47" i="9" s="1"/>
  <c r="H21" i="9"/>
  <c r="H35" i="9" s="1"/>
  <c r="H46" i="9" s="1"/>
  <c r="H47" i="9" s="1"/>
  <c r="D21" i="9"/>
  <c r="D31" i="9" s="1"/>
  <c r="D46" i="9" s="1"/>
  <c r="D47" i="9" s="1"/>
  <c r="I21" i="9"/>
  <c r="I36" i="9" s="1"/>
  <c r="I46" i="9" s="1"/>
  <c r="I47" i="9" s="1"/>
  <c r="D52" i="9"/>
  <c r="H23" i="9"/>
  <c r="D13" i="9" l="1"/>
  <c r="K22" i="9"/>
  <c r="D22" i="9"/>
  <c r="D25" i="9" s="1"/>
  <c r="D27" i="9" s="1"/>
  <c r="H22" i="9"/>
  <c r="H25" i="9" s="1"/>
  <c r="H27" i="9" s="1"/>
  <c r="M22" i="9"/>
  <c r="J22" i="9"/>
  <c r="H24" i="2"/>
  <c r="O22" i="9"/>
  <c r="E22" i="9"/>
  <c r="E25" i="9" s="1"/>
  <c r="E27" i="9" s="1"/>
  <c r="F22" i="9"/>
  <c r="F25" i="9" s="1"/>
  <c r="F27" i="9" s="1"/>
  <c r="I22" i="9"/>
  <c r="L22" i="9"/>
  <c r="G22" i="9"/>
  <c r="G25" i="9" s="1"/>
  <c r="G27" i="9" s="1"/>
  <c r="N22" i="9"/>
  <c r="H24" i="9"/>
  <c r="E54" i="9" l="1"/>
  <c r="H54" i="9"/>
  <c r="G54" i="9"/>
  <c r="D54" i="9"/>
  <c r="F54" i="9"/>
  <c r="I23" i="9"/>
  <c r="I25" i="9" s="1"/>
  <c r="I27" i="9" s="1"/>
  <c r="I54" i="9" l="1"/>
  <c r="I24" i="9"/>
  <c r="J23" i="9" l="1"/>
  <c r="J25" i="9" l="1"/>
  <c r="J27" i="9" s="1"/>
  <c r="J54" i="9"/>
  <c r="J24" i="9"/>
  <c r="K23" i="9" l="1"/>
  <c r="K25" i="9" l="1"/>
  <c r="K27" i="9" s="1"/>
  <c r="K54" i="9"/>
  <c r="K24" i="9"/>
  <c r="L23" i="9" s="1"/>
  <c r="L25" i="9" l="1"/>
  <c r="L27" i="9" s="1"/>
  <c r="L54" i="9"/>
  <c r="L24" i="9"/>
  <c r="M23" i="9" s="1"/>
  <c r="M25" i="9" l="1"/>
  <c r="M27" i="9" s="1"/>
  <c r="M54" i="9"/>
  <c r="M24" i="9"/>
  <c r="N23" i="9" s="1"/>
  <c r="N25" i="9" l="1"/>
  <c r="N27" i="9" s="1"/>
  <c r="N54" i="9"/>
  <c r="N24" i="9"/>
  <c r="O23" i="9" s="1"/>
  <c r="D51" i="9" l="1"/>
  <c r="O54" i="9"/>
  <c r="O24" i="9"/>
  <c r="O25" i="9"/>
  <c r="O27" i="9" s="1"/>
  <c r="Q27" i="9" s="1"/>
  <c r="D55" i="9" l="1"/>
</calcChain>
</file>

<file path=xl/sharedStrings.xml><?xml version="1.0" encoding="utf-8"?>
<sst xmlns="http://schemas.openxmlformats.org/spreadsheetml/2006/main" count="122" uniqueCount="99">
  <si>
    <t>HKD</t>
  </si>
  <si>
    <t>Discount Rate Assumptions</t>
  </si>
  <si>
    <t>Return Analysis:</t>
  </si>
  <si>
    <t>IRR =</t>
  </si>
  <si>
    <t>Risk Premium =</t>
  </si>
  <si>
    <t>1 sentence Pitch</t>
  </si>
  <si>
    <t>Strength &amp; Weakness</t>
  </si>
  <si>
    <t>Oppertunities &amp; Threat</t>
  </si>
  <si>
    <t>Total</t>
  </si>
  <si>
    <t>Project Park</t>
  </si>
  <si>
    <t>Deal Info:</t>
  </si>
  <si>
    <t>Analysis Date:</t>
  </si>
  <si>
    <t>Valid till Date:</t>
  </si>
  <si>
    <t>Deal Type:</t>
  </si>
  <si>
    <t>Loan Amount:</t>
  </si>
  <si>
    <t>Deal Analysis:</t>
  </si>
  <si>
    <t>Drawdown Date</t>
  </si>
  <si>
    <t>Loan Amount</t>
  </si>
  <si>
    <t>LTV</t>
  </si>
  <si>
    <t>Securities_Analysis</t>
  </si>
  <si>
    <t>Security 1:</t>
  </si>
  <si>
    <t>8 Car parks</t>
  </si>
  <si>
    <t>Description =</t>
  </si>
  <si>
    <t>1. Residential Car Parking space No. 1045, Century Link II, 6 Ying Hong Street, Tung Chung, Hong Kong
2. Residential Car Parking space No. 1050, Century Link II, 6 Ying Hong Street, Tung Chung, Hong Kong
3. Residential Car Parking space No. R108, The Avenue, 200 Queen's Road East, Hong Kong
4. Residential Car Parking space No. R109, The Avenue, 200 Queen's Road East, Hong Kong
5. Car Parking space No. 41 on 2/F of Fortis Tower, 77- 79 Gloucester Road, Hong Kong
6. Car Parking space No. 86 on 4/F of Fortis Tower, 77- 79 Gloucester Road, Hong Kong
7. Car Parking Space No. 166 on 1st floor, South Bay Towers, No. 59 South Bay Road, H. K.
8. Car Parking Space No. 167 on 1st floor, South Bay Towers, No. 59 South Bay Road, H. K.</t>
  </si>
  <si>
    <t>Estimated FV =</t>
  </si>
  <si>
    <t>Total Security FV =</t>
  </si>
  <si>
    <t>Security 2:</t>
  </si>
  <si>
    <t>Flat A, 11/F, Island Building, 439-445 Hennessy, Hong Kong</t>
  </si>
  <si>
    <t>Security 3:</t>
  </si>
  <si>
    <t>Tower 2A, 42/F Flat B, Ocean Supreme, 100 Tai Ho Road, Tsuen Wan, Hong Kong</t>
  </si>
  <si>
    <t>New Luxury flat in Tsuen Wan</t>
  </si>
  <si>
    <t>Old mass-market flat in Wan Chai</t>
  </si>
  <si>
    <t>Analysis:</t>
  </si>
  <si>
    <t>Security Details:</t>
  </si>
  <si>
    <t>LTV =</t>
  </si>
  <si>
    <t>Total Loan Amount =</t>
  </si>
  <si>
    <t>$ Recovery given default =</t>
  </si>
  <si>
    <t>Priority Claims =</t>
  </si>
  <si>
    <t>Interest Rate</t>
  </si>
  <si>
    <t>Annual Interest</t>
  </si>
  <si>
    <t>Notes</t>
  </si>
  <si>
    <t>Expected Recovery value in 1-2 years</t>
  </si>
  <si>
    <t>Car parks are relatively cheap and liquid</t>
  </si>
  <si>
    <t>Low liquidity and old flat</t>
  </si>
  <si>
    <t>Good liquidity new flat with seaview</t>
  </si>
  <si>
    <t>Credit Analysis Model</t>
  </si>
  <si>
    <t>Number of Units</t>
  </si>
  <si>
    <t>Action Plan:</t>
  </si>
  <si>
    <t>Tenor</t>
  </si>
  <si>
    <t>Loan Summary</t>
  </si>
  <si>
    <t>Interest Income</t>
  </si>
  <si>
    <t>Deal ID:</t>
  </si>
  <si>
    <t>Deal Name:</t>
  </si>
  <si>
    <t xml:space="preserve"> Pure Return =</t>
  </si>
  <si>
    <t>Investment Horizon:</t>
  </si>
  <si>
    <t>Total Priority Claims =</t>
  </si>
  <si>
    <t>Recovery Rate =</t>
  </si>
  <si>
    <t>Credit Spread =</t>
  </si>
  <si>
    <t>Probability of Default (PoD) =</t>
  </si>
  <si>
    <t>Key assumptions:</t>
  </si>
  <si>
    <t>Value no default (VND):</t>
  </si>
  <si>
    <t>Credit valuation adjustment (CVA):</t>
  </si>
  <si>
    <t>Benchmark risk-free rate</t>
  </si>
  <si>
    <t>3m Hibor</t>
  </si>
  <si>
    <t>Yr 0</t>
  </si>
  <si>
    <t>Yr 1</t>
  </si>
  <si>
    <t>Loan Amount =</t>
  </si>
  <si>
    <t>Interest Rate =</t>
  </si>
  <si>
    <t>Cash Flow</t>
  </si>
  <si>
    <t>PoS =</t>
  </si>
  <si>
    <t>EL =</t>
  </si>
  <si>
    <t>DF =</t>
  </si>
  <si>
    <t>PVEL =</t>
  </si>
  <si>
    <t>Principal Repayment (%) =</t>
  </si>
  <si>
    <t>Monthly</t>
  </si>
  <si>
    <t>VND (%) =</t>
  </si>
  <si>
    <t>CVA (%)</t>
  </si>
  <si>
    <t>IRR Analysis:</t>
  </si>
  <si>
    <t>Prepaid Monthly Interest (%) =</t>
  </si>
  <si>
    <t>Cashflow @</t>
  </si>
  <si>
    <t>Default @ Month 1</t>
  </si>
  <si>
    <t>IF Default @</t>
  </si>
  <si>
    <t>Exposure on Principal (%) =</t>
  </si>
  <si>
    <t>Recovery (%) =</t>
  </si>
  <si>
    <t>LGD (%) =</t>
  </si>
  <si>
    <t>No Deafult</t>
  </si>
  <si>
    <t>Breakeven Unit Price =</t>
  </si>
  <si>
    <t>60 - 80%</t>
  </si>
  <si>
    <t>60%-80%</t>
  </si>
  <si>
    <t>Monthly IRR given default =</t>
  </si>
  <si>
    <t>IRR without Default</t>
  </si>
  <si>
    <t>Actual Return given default =</t>
  </si>
  <si>
    <t>PoD =</t>
  </si>
  <si>
    <t>Implied PoD for the tenor</t>
  </si>
  <si>
    <t>Excpeted Deal IRR =</t>
  </si>
  <si>
    <t>Expected IRR given probabilities =</t>
  </si>
  <si>
    <t>Credit Spread</t>
  </si>
  <si>
    <t>Park</t>
  </si>
  <si>
    <t>Private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</si>
</sst>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164" formatCode="yyyy\-mm\-dd"/>
    <numFmt numFmtId="165" formatCode="#,##0&quot;mm&quot;"/>
    <numFmt numFmtId="166" formatCode="#,##0.00&quot;x&quot;"/>
    <numFmt numFmtId="167" formatCode="&quot;Base Allocation &quot;0%"/>
    <numFmt numFmtId="168" formatCode="&quot;Increased Allocation &quot;0%"/>
    <numFmt numFmtId="169" formatCode="&quot;Last Allocation &quot;0%"/>
    <numFmt numFmtId="170" formatCode="&quot;Total &quot;0%"/>
    <numFmt numFmtId="171" formatCode="&quot;@ &quot;0.00%"/>
    <numFmt numFmtId="172" formatCode="#,##0&quot; yrs&quot;"/>
    <numFmt numFmtId="173" formatCode="0\ &quot;Years&quot;"/>
    <numFmt numFmtId="174" formatCode="&quot;Month &quot;0"/>
  </numFmts>
  <fonts count="20" x14ac:knownFonts="1">
    <font>
      <sz val="12"/>
      <color theme="1"/>
      <name val="Calibri"/>
      <family val="2"/>
      <scheme val="minor"/>
    </font>
    <font>
      <sz val="10"/>
      <color rgb="FF000000"/>
      <name val="Calibri"/>
      <scheme val="minor"/>
    </font>
    <font>
      <sz val="11"/>
      <color rgb="FF000000"/>
      <name val="Times New Roman"/>
      <family val="1"/>
    </font>
    <font>
      <b/>
      <sz val="12"/>
      <color rgb="FF002060"/>
      <name val="Times New Roman"/>
      <family val="1"/>
    </font>
    <font>
      <b/>
      <sz val="11"/>
      <color theme="1"/>
      <name val="Times New Roman"/>
      <family val="1"/>
    </font>
    <font>
      <sz val="11"/>
      <color theme="1"/>
      <name val="Times New Roman"/>
      <family val="1"/>
    </font>
    <font>
      <sz val="11"/>
      <color rgb="FF0000FF"/>
      <name val="Times New Roman"/>
      <family val="1"/>
    </font>
    <font>
      <sz val="11"/>
      <name val="Times New Roman"/>
      <family val="1"/>
    </font>
    <font>
      <sz val="11"/>
      <color rgb="FFC00000"/>
      <name val="Times New Roman"/>
      <family val="1"/>
    </font>
    <font>
      <b/>
      <sz val="11"/>
      <color rgb="FF000000"/>
      <name val="Times New Roman"/>
      <family val="1"/>
    </font>
    <font>
      <i/>
      <sz val="11"/>
      <color theme="1"/>
      <name val="Times New Roman"/>
      <family val="1"/>
    </font>
    <font>
      <i/>
      <sz val="11"/>
      <name val="Times New Roman"/>
      <family val="1"/>
    </font>
    <font>
      <sz val="11"/>
      <color rgb="FFA61C00"/>
      <name val="Times New Roman"/>
      <family val="1"/>
    </font>
    <font>
      <b/>
      <sz val="11"/>
      <color rgb="FF002060"/>
      <name val="Times New Roman"/>
      <family val="1"/>
    </font>
    <font>
      <i/>
      <sz val="11"/>
      <color rgb="FF000000"/>
      <name val="Times New Roman"/>
      <family val="1"/>
    </font>
    <font>
      <sz val="11"/>
      <color rgb="FFFFFFFF"/>
      <name val="Times New Roman"/>
      <family val="1"/>
    </font>
    <font>
      <i/>
      <sz val="11"/>
      <color rgb="FF0000FF"/>
      <name val="Times New Roman"/>
      <family val="1"/>
    </font>
    <font>
      <b/>
      <sz val="11"/>
      <color rgb="FF0000FF"/>
      <name val="Times New Roman"/>
      <family val="1"/>
    </font>
    <font>
      <sz val="12"/>
      <name val="Times New Roman"/>
      <family val="1"/>
    </font>
    <font>
      <u/>
      <sz val="11"/>
      <color rgb="FF000000"/>
      <name val="Times New Roman"/>
      <family val="1"/>
    </font>
  </fonts>
  <fills count="10">
    <fill>
      <patternFill patternType="none"/>
    </fill>
    <fill>
      <patternFill patternType="gray125"/>
    </fill>
    <fill>
      <patternFill patternType="solid">
        <fgColor rgb="FF002060"/>
        <bgColor indexed="64"/>
      </patternFill>
    </fill>
    <fill>
      <patternFill patternType="solid">
        <fgColor rgb="FFFFFFCC"/>
        <bgColor rgb="FFFFE599"/>
      </patternFill>
    </fill>
    <fill>
      <patternFill patternType="solid">
        <fgColor rgb="FFFFFFCC"/>
        <bgColor indexed="64"/>
      </patternFill>
    </fill>
    <fill>
      <patternFill patternType="solid">
        <fgColor theme="4" tint="0.59999389629810485"/>
        <bgColor indexed="64"/>
      </patternFill>
    </fill>
    <fill>
      <patternFill patternType="solid">
        <fgColor rgb="FFFFFFFF"/>
        <bgColor rgb="FFFFFFFF"/>
      </patternFill>
    </fill>
    <fill>
      <patternFill patternType="solid">
        <fgColor rgb="FFB6D7A8"/>
        <bgColor rgb="FFB6D7A8"/>
      </patternFill>
    </fill>
    <fill>
      <patternFill patternType="solid">
        <fgColor rgb="FFFFFF00"/>
        <bgColor indexed="64"/>
      </patternFill>
    </fill>
    <fill>
      <patternFill patternType="solid">
        <fgColor theme="9" tint="0.59999389629810485"/>
        <bgColor indexed="64"/>
      </patternFill>
    </fill>
  </fills>
  <borders count="29">
    <border>
      <left/>
      <right/>
      <top/>
      <bottom/>
      <diagonal/>
    </border>
    <border>
      <left/>
      <right/>
      <top/>
      <bottom style="thin">
        <color rgb="FF000000"/>
      </bottom>
      <diagonal/>
    </border>
    <border>
      <left/>
      <right style="dotted">
        <color rgb="FF000000"/>
      </right>
      <top/>
      <bottom/>
      <diagonal/>
    </border>
    <border>
      <left style="dotted">
        <color rgb="FF000000"/>
      </left>
      <right/>
      <top/>
      <bottom/>
      <diagonal/>
    </border>
    <border>
      <left/>
      <right/>
      <top style="thin">
        <color rgb="FF000000"/>
      </top>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dotted">
        <color rgb="FF000000"/>
      </left>
      <right/>
      <top style="dotted">
        <color rgb="FF000000"/>
      </top>
      <bottom style="thin">
        <color indexed="64"/>
      </bottom>
      <diagonal/>
    </border>
    <border>
      <left/>
      <right style="dotted">
        <color rgb="FF000000"/>
      </right>
      <top style="dotted">
        <color rgb="FF000000"/>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bottom style="thin">
        <color indexed="64"/>
      </bottom>
      <diagonal/>
    </border>
    <border>
      <left/>
      <right style="hair">
        <color indexed="64"/>
      </right>
      <top/>
      <bottom/>
      <diagonal/>
    </border>
    <border>
      <left style="dotted">
        <color rgb="FF000000"/>
      </left>
      <right/>
      <top style="thin">
        <color indexed="64"/>
      </top>
      <bottom/>
      <diagonal/>
    </border>
    <border>
      <left/>
      <right/>
      <top style="thin">
        <color indexed="64"/>
      </top>
      <bottom/>
      <diagonal/>
    </border>
    <border>
      <left style="dotted">
        <color rgb="FF000000"/>
      </left>
      <right/>
      <top/>
      <bottom style="thin">
        <color indexed="64"/>
      </bottom>
      <diagonal/>
    </border>
  </borders>
  <cellStyleXfs count="2">
    <xf numFmtId="0" fontId="0" fillId="0" borderId="0"/>
    <xf numFmtId="0" fontId="1" fillId="0" borderId="0"/>
  </cellStyleXfs>
  <cellXfs count="156">
    <xf numFmtId="0" fontId="0" fillId="0" borderId="0" xfId="0"/>
    <xf numFmtId="0" fontId="2" fillId="0" borderId="0" xfId="1" applyFont="1"/>
    <xf numFmtId="0" fontId="2" fillId="2" borderId="0" xfId="1" applyFont="1" applyFill="1"/>
    <xf numFmtId="0" fontId="3" fillId="0" borderId="1" xfId="1" applyFont="1" applyBorder="1"/>
    <xf numFmtId="0" fontId="2" fillId="0" borderId="1" xfId="1" applyFont="1" applyBorder="1"/>
    <xf numFmtId="0" fontId="5" fillId="0" borderId="2" xfId="1" applyFont="1" applyBorder="1"/>
    <xf numFmtId="0" fontId="2" fillId="0" borderId="3" xfId="1" applyFont="1" applyBorder="1"/>
    <xf numFmtId="0" fontId="5" fillId="0" borderId="4" xfId="1" applyFont="1" applyBorder="1"/>
    <xf numFmtId="0" fontId="5" fillId="0" borderId="0" xfId="1" applyFont="1"/>
    <xf numFmtId="0" fontId="8" fillId="0" borderId="0" xfId="1" applyFont="1"/>
    <xf numFmtId="0" fontId="5" fillId="0" borderId="1" xfId="1" applyFont="1" applyBorder="1"/>
    <xf numFmtId="0" fontId="9" fillId="5" borderId="0" xfId="1" applyFont="1" applyFill="1"/>
    <xf numFmtId="0" fontId="9" fillId="0" borderId="0" xfId="1" applyFont="1"/>
    <xf numFmtId="0" fontId="5" fillId="0" borderId="0" xfId="1" applyFont="1" applyAlignment="1">
      <alignment horizontal="left"/>
    </xf>
    <xf numFmtId="0" fontId="7" fillId="0" borderId="0" xfId="1" applyFont="1" applyAlignment="1">
      <alignment horizontal="left"/>
    </xf>
    <xf numFmtId="0" fontId="10" fillId="0" borderId="0" xfId="1" applyFont="1" applyAlignment="1">
      <alignment horizontal="right"/>
    </xf>
    <xf numFmtId="0" fontId="11" fillId="0" borderId="0" xfId="1" applyFont="1" applyAlignment="1">
      <alignment horizontal="right"/>
    </xf>
    <xf numFmtId="0" fontId="12" fillId="0" borderId="0" xfId="1" applyFont="1"/>
    <xf numFmtId="0" fontId="5" fillId="6" borderId="0" xfId="1" applyFont="1" applyFill="1"/>
    <xf numFmtId="0" fontId="13" fillId="0" borderId="1" xfId="1" applyFont="1" applyBorder="1"/>
    <xf numFmtId="0" fontId="10" fillId="0" borderId="0" xfId="1" applyFont="1" applyAlignment="1">
      <alignment horizontal="center"/>
    </xf>
    <xf numFmtId="0" fontId="10" fillId="0" borderId="1" xfId="1" applyFont="1" applyBorder="1" applyAlignment="1">
      <alignment horizontal="center"/>
    </xf>
    <xf numFmtId="0" fontId="15" fillId="0" borderId="0" xfId="1" applyFont="1" applyAlignment="1">
      <alignment horizontal="left"/>
    </xf>
    <xf numFmtId="0" fontId="5" fillId="0" borderId="0" xfId="1" applyFont="1" applyAlignment="1">
      <alignment horizontal="center"/>
    </xf>
    <xf numFmtId="10" fontId="2" fillId="0" borderId="0" xfId="1" applyNumberFormat="1" applyFont="1"/>
    <xf numFmtId="0" fontId="5" fillId="0" borderId="0" xfId="1" applyFont="1" applyAlignment="1">
      <alignment horizontal="center" vertical="center"/>
    </xf>
    <xf numFmtId="0" fontId="5" fillId="0" borderId="1" xfId="1" applyFont="1" applyBorder="1" applyAlignment="1">
      <alignment horizontal="center" vertical="center"/>
    </xf>
    <xf numFmtId="0" fontId="5" fillId="0" borderId="1" xfId="1" applyFont="1" applyBorder="1" applyAlignment="1">
      <alignment horizontal="center"/>
    </xf>
    <xf numFmtId="14" fontId="6" fillId="3" borderId="14" xfId="1" applyNumberFormat="1" applyFont="1" applyFill="1" applyBorder="1" applyAlignment="1">
      <alignment horizontal="center"/>
    </xf>
    <xf numFmtId="169" fontId="5" fillId="0" borderId="8" xfId="1" applyNumberFormat="1" applyFont="1" applyBorder="1" applyAlignment="1">
      <alignment horizontal="center"/>
    </xf>
    <xf numFmtId="10" fontId="5" fillId="0" borderId="0" xfId="1" applyNumberFormat="1" applyFont="1" applyAlignment="1">
      <alignment horizontal="center"/>
    </xf>
    <xf numFmtId="4" fontId="6" fillId="0" borderId="0" xfId="1" applyNumberFormat="1" applyFont="1" applyAlignment="1">
      <alignment horizontal="center"/>
    </xf>
    <xf numFmtId="0" fontId="2" fillId="0" borderId="0" xfId="1" applyFont="1" applyAlignment="1">
      <alignment horizontal="center"/>
    </xf>
    <xf numFmtId="0" fontId="4" fillId="0" borderId="1" xfId="1" applyFont="1" applyBorder="1" applyAlignment="1">
      <alignment horizontal="center"/>
    </xf>
    <xf numFmtId="0" fontId="9" fillId="0" borderId="0" xfId="1" applyFont="1" applyAlignment="1">
      <alignment horizontal="center" vertical="center"/>
    </xf>
    <xf numFmtId="0" fontId="2" fillId="0" borderId="0" xfId="1" applyFont="1" applyAlignment="1">
      <alignment horizontal="center" vertical="center"/>
    </xf>
    <xf numFmtId="0" fontId="4" fillId="0" borderId="0" xfId="1" applyFont="1" applyAlignment="1">
      <alignment horizontal="center"/>
    </xf>
    <xf numFmtId="0" fontId="2" fillId="0" borderId="0" xfId="1" applyFont="1" applyAlignment="1">
      <alignment horizontal="right"/>
    </xf>
    <xf numFmtId="0" fontId="18" fillId="0" borderId="0" xfId="1" applyFont="1"/>
    <xf numFmtId="0" fontId="9" fillId="5" borderId="0" xfId="1" applyFont="1" applyFill="1" applyAlignment="1">
      <alignment horizontal="center"/>
    </xf>
    <xf numFmtId="0" fontId="18" fillId="0" borderId="0" xfId="1" applyFont="1" applyAlignment="1">
      <alignment horizontal="center"/>
    </xf>
    <xf numFmtId="3" fontId="6" fillId="3" borderId="15" xfId="1" applyNumberFormat="1" applyFont="1" applyFill="1" applyBorder="1" applyAlignment="1">
      <alignment horizontal="center" vertical="center" wrapText="1"/>
    </xf>
    <xf numFmtId="38" fontId="6" fillId="3" borderId="15" xfId="1" applyNumberFormat="1" applyFont="1" applyFill="1" applyBorder="1" applyAlignment="1">
      <alignment horizontal="center" vertical="center" wrapText="1"/>
    </xf>
    <xf numFmtId="171" fontId="6" fillId="3" borderId="15" xfId="1" applyNumberFormat="1" applyFont="1" applyFill="1" applyBorder="1" applyAlignment="1">
      <alignment horizontal="center" vertical="center" wrapText="1"/>
    </xf>
    <xf numFmtId="3" fontId="7" fillId="0" borderId="15" xfId="1" applyNumberFormat="1" applyFont="1" applyBorder="1" applyAlignment="1">
      <alignment horizontal="center" vertical="center" wrapText="1"/>
    </xf>
    <xf numFmtId="0" fontId="19" fillId="0" borderId="0" xfId="1" applyFont="1"/>
    <xf numFmtId="0" fontId="6" fillId="0" borderId="0" xfId="1" applyFont="1"/>
    <xf numFmtId="0" fontId="6" fillId="0" borderId="0" xfId="1" applyFont="1" applyAlignment="1">
      <alignment horizontal="right"/>
    </xf>
    <xf numFmtId="9" fontId="6" fillId="0" borderId="0" xfId="1" applyNumberFormat="1" applyFont="1" applyAlignment="1">
      <alignment horizontal="left"/>
    </xf>
    <xf numFmtId="10" fontId="7" fillId="0" borderId="15" xfId="1" applyNumberFormat="1" applyFont="1" applyBorder="1" applyAlignment="1">
      <alignment horizontal="center"/>
    </xf>
    <xf numFmtId="172" fontId="6" fillId="4" borderId="15" xfId="1" applyNumberFormat="1" applyFont="1" applyFill="1" applyBorder="1" applyAlignment="1">
      <alignment horizontal="center"/>
    </xf>
    <xf numFmtId="3" fontId="7" fillId="0" borderId="8" xfId="1" applyNumberFormat="1" applyFont="1" applyBorder="1" applyAlignment="1">
      <alignment horizontal="center"/>
    </xf>
    <xf numFmtId="3" fontId="17" fillId="3" borderId="8" xfId="1" applyNumberFormat="1" applyFont="1" applyFill="1" applyBorder="1" applyAlignment="1">
      <alignment horizontal="center"/>
    </xf>
    <xf numFmtId="6" fontId="6" fillId="0" borderId="1" xfId="1" applyNumberFormat="1" applyFont="1" applyBorder="1" applyAlignment="1">
      <alignment horizontal="center"/>
    </xf>
    <xf numFmtId="0" fontId="5" fillId="0" borderId="19" xfId="1" applyFont="1" applyBorder="1"/>
    <xf numFmtId="3" fontId="2" fillId="0" borderId="15" xfId="1" applyNumberFormat="1" applyFont="1" applyBorder="1" applyAlignment="1">
      <alignment horizontal="center"/>
    </xf>
    <xf numFmtId="0" fontId="2" fillId="0" borderId="15" xfId="1" applyFont="1" applyBorder="1" applyAlignment="1">
      <alignment horizontal="center"/>
    </xf>
    <xf numFmtId="0" fontId="5" fillId="0" borderId="24" xfId="1" applyFont="1" applyBorder="1"/>
    <xf numFmtId="0" fontId="9" fillId="5" borderId="0" xfId="0" applyFont="1" applyFill="1"/>
    <xf numFmtId="3" fontId="7" fillId="0" borderId="20" xfId="1" applyNumberFormat="1" applyFont="1" applyBorder="1" applyAlignment="1">
      <alignment horizontal="right"/>
    </xf>
    <xf numFmtId="3" fontId="7" fillId="0" borderId="21" xfId="1" applyNumberFormat="1" applyFont="1" applyBorder="1" applyAlignment="1">
      <alignment horizontal="center"/>
    </xf>
    <xf numFmtId="171" fontId="7" fillId="0" borderId="15" xfId="1" applyNumberFormat="1" applyFont="1" applyBorder="1" applyAlignment="1">
      <alignment horizontal="center" vertical="center" wrapText="1"/>
    </xf>
    <xf numFmtId="38" fontId="7" fillId="0" borderId="15" xfId="1" applyNumberFormat="1" applyFont="1" applyBorder="1" applyAlignment="1">
      <alignment horizontal="center" vertical="center" wrapText="1"/>
    </xf>
    <xf numFmtId="171" fontId="6" fillId="4" borderId="15" xfId="1" applyNumberFormat="1" applyFont="1" applyFill="1" applyBorder="1" applyAlignment="1">
      <alignment horizontal="center"/>
    </xf>
    <xf numFmtId="0" fontId="9" fillId="5" borderId="0" xfId="1" applyFont="1" applyFill="1" applyAlignment="1">
      <alignment horizontal="left"/>
    </xf>
    <xf numFmtId="10" fontId="6" fillId="3" borderId="15" xfId="1" applyNumberFormat="1" applyFont="1" applyFill="1" applyBorder="1" applyAlignment="1">
      <alignment horizontal="center"/>
    </xf>
    <xf numFmtId="0" fontId="6" fillId="4" borderId="16" xfId="1" applyFont="1" applyFill="1" applyBorder="1" applyAlignment="1">
      <alignment horizontal="center"/>
    </xf>
    <xf numFmtId="10" fontId="2" fillId="0" borderId="15" xfId="1" applyNumberFormat="1" applyFont="1" applyBorder="1" applyAlignment="1">
      <alignment horizontal="center"/>
    </xf>
    <xf numFmtId="9" fontId="6" fillId="4" borderId="15" xfId="1" applyNumberFormat="1" applyFont="1" applyFill="1" applyBorder="1" applyAlignment="1">
      <alignment horizontal="center"/>
    </xf>
    <xf numFmtId="3" fontId="6" fillId="4" borderId="15" xfId="1" applyNumberFormat="1" applyFont="1" applyFill="1" applyBorder="1" applyAlignment="1">
      <alignment horizontal="center"/>
    </xf>
    <xf numFmtId="174" fontId="2" fillId="0" borderId="15" xfId="1" applyNumberFormat="1" applyFont="1" applyBorder="1" applyAlignment="1">
      <alignment horizontal="center"/>
    </xf>
    <xf numFmtId="4" fontId="2" fillId="0" borderId="15" xfId="1" applyNumberFormat="1" applyFont="1" applyBorder="1" applyAlignment="1">
      <alignment horizontal="center"/>
    </xf>
    <xf numFmtId="40" fontId="2" fillId="0" borderId="15" xfId="1" applyNumberFormat="1" applyFont="1" applyBorder="1" applyAlignment="1">
      <alignment horizontal="center"/>
    </xf>
    <xf numFmtId="40" fontId="8" fillId="0" borderId="15" xfId="1" applyNumberFormat="1" applyFont="1" applyBorder="1" applyAlignment="1">
      <alignment horizontal="center"/>
    </xf>
    <xf numFmtId="4" fontId="6" fillId="4" borderId="15" xfId="1" applyNumberFormat="1" applyFont="1" applyFill="1" applyBorder="1" applyAlignment="1">
      <alignment horizontal="center"/>
    </xf>
    <xf numFmtId="0" fontId="2" fillId="9" borderId="0" xfId="1" applyFont="1" applyFill="1" applyAlignment="1">
      <alignment horizontal="center"/>
    </xf>
    <xf numFmtId="174" fontId="2" fillId="0" borderId="0" xfId="1" applyNumberFormat="1" applyFont="1" applyAlignment="1">
      <alignment horizontal="center"/>
    </xf>
    <xf numFmtId="2" fontId="2" fillId="0" borderId="0" xfId="1" applyNumberFormat="1" applyFont="1" applyAlignment="1">
      <alignment horizontal="center"/>
    </xf>
    <xf numFmtId="0" fontId="2" fillId="0" borderId="25" xfId="1" applyFont="1" applyBorder="1"/>
    <xf numFmtId="10" fontId="2" fillId="8" borderId="15" xfId="1" applyNumberFormat="1" applyFont="1" applyFill="1" applyBorder="1" applyAlignment="1">
      <alignment horizontal="center"/>
    </xf>
    <xf numFmtId="38" fontId="2" fillId="0" borderId="0" xfId="1" applyNumberFormat="1" applyFont="1"/>
    <xf numFmtId="4" fontId="2" fillId="0" borderId="0" xfId="1" applyNumberFormat="1" applyFont="1" applyAlignment="1">
      <alignment horizontal="center"/>
    </xf>
    <xf numFmtId="40" fontId="2" fillId="0" borderId="0" xfId="1" applyNumberFormat="1" applyFont="1" applyAlignment="1">
      <alignment horizontal="center"/>
    </xf>
    <xf numFmtId="40" fontId="8" fillId="0" borderId="0" xfId="1" applyNumberFormat="1" applyFont="1" applyAlignment="1">
      <alignment horizontal="center"/>
    </xf>
    <xf numFmtId="10" fontId="2" fillId="0" borderId="0" xfId="1" applyNumberFormat="1" applyFont="1" applyAlignment="1">
      <alignment horizontal="center"/>
    </xf>
    <xf numFmtId="0" fontId="6" fillId="4" borderId="15" xfId="1" applyFont="1" applyFill="1" applyBorder="1" applyAlignment="1">
      <alignment horizontal="center"/>
    </xf>
    <xf numFmtId="0" fontId="13" fillId="0" borderId="0" xfId="1" applyFont="1"/>
    <xf numFmtId="0" fontId="4" fillId="0" borderId="1" xfId="1" applyFont="1" applyBorder="1" applyAlignment="1">
      <alignment horizontal="center"/>
    </xf>
    <xf numFmtId="0" fontId="2" fillId="0" borderId="1" xfId="1" applyFont="1" applyBorder="1"/>
    <xf numFmtId="49" fontId="6" fillId="3" borderId="0" xfId="1" applyNumberFormat="1" applyFont="1" applyFill="1" applyAlignment="1">
      <alignment horizontal="center"/>
    </xf>
    <xf numFmtId="0" fontId="7" fillId="4" borderId="0" xfId="1" applyFont="1" applyFill="1"/>
    <xf numFmtId="0" fontId="6" fillId="3" borderId="5" xfId="1" applyFont="1" applyFill="1" applyBorder="1" applyAlignment="1">
      <alignment horizontal="center"/>
    </xf>
    <xf numFmtId="0" fontId="6" fillId="3" borderId="6" xfId="1" applyFont="1" applyFill="1" applyBorder="1" applyAlignment="1">
      <alignment horizontal="center"/>
    </xf>
    <xf numFmtId="0" fontId="6" fillId="3" borderId="7" xfId="1" applyFont="1" applyFill="1" applyBorder="1" applyAlignment="1">
      <alignment horizontal="center"/>
    </xf>
    <xf numFmtId="0" fontId="7" fillId="4" borderId="7" xfId="1" applyFont="1" applyFill="1" applyBorder="1"/>
    <xf numFmtId="164" fontId="6" fillId="3" borderId="7" xfId="1" applyNumberFormat="1" applyFont="1" applyFill="1" applyBorder="1" applyAlignment="1">
      <alignment horizontal="center"/>
    </xf>
    <xf numFmtId="3" fontId="6" fillId="0" borderId="0" xfId="1" applyNumberFormat="1" applyFont="1" applyAlignment="1">
      <alignment horizontal="center"/>
    </xf>
    <xf numFmtId="164" fontId="6" fillId="3" borderId="10" xfId="1" applyNumberFormat="1" applyFont="1" applyFill="1" applyBorder="1" applyAlignment="1">
      <alignment horizontal="center"/>
    </xf>
    <xf numFmtId="0" fontId="7" fillId="4" borderId="10" xfId="1" applyFont="1" applyFill="1" applyBorder="1"/>
    <xf numFmtId="165" fontId="2" fillId="0" borderId="0" xfId="1" applyNumberFormat="1" applyFont="1" applyAlignment="1">
      <alignment horizontal="center"/>
    </xf>
    <xf numFmtId="0" fontId="4" fillId="0" borderId="0" xfId="1" applyFont="1" applyAlignment="1">
      <alignment horizontal="center"/>
    </xf>
    <xf numFmtId="0" fontId="7" fillId="0" borderId="0" xfId="1" applyFont="1"/>
    <xf numFmtId="3" fontId="16" fillId="3" borderId="12" xfId="0" applyNumberFormat="1" applyFont="1" applyFill="1" applyBorder="1" applyAlignment="1">
      <alignment horizontal="center"/>
    </xf>
    <xf numFmtId="10" fontId="7" fillId="0" borderId="15" xfId="0" applyNumberFormat="1" applyFont="1" applyBorder="1" applyAlignment="1">
      <alignment horizontal="center"/>
    </xf>
    <xf numFmtId="172" fontId="7" fillId="0" borderId="22" xfId="1" applyNumberFormat="1" applyFont="1" applyBorder="1" applyAlignment="1">
      <alignment horizontal="center"/>
    </xf>
    <xf numFmtId="10" fontId="5" fillId="0" borderId="23" xfId="1" applyNumberFormat="1" applyFont="1" applyBorder="1" applyAlignment="1">
      <alignment horizontal="center"/>
    </xf>
    <xf numFmtId="3" fontId="2" fillId="0" borderId="15" xfId="1" applyNumberFormat="1" applyFont="1" applyBorder="1" applyAlignment="1">
      <alignment horizontal="center"/>
    </xf>
    <xf numFmtId="0" fontId="2" fillId="0" borderId="15" xfId="1" applyFont="1" applyBorder="1" applyAlignment="1">
      <alignment horizontal="center"/>
    </xf>
    <xf numFmtId="173" fontId="16" fillId="3" borderId="12" xfId="0" applyNumberFormat="1" applyFont="1" applyFill="1" applyBorder="1" applyAlignment="1">
      <alignment horizontal="center"/>
    </xf>
    <xf numFmtId="0" fontId="8" fillId="3" borderId="3" xfId="1" applyFont="1" applyFill="1" applyBorder="1" applyAlignment="1">
      <alignment horizontal="center" vertical="center"/>
    </xf>
    <xf numFmtId="0" fontId="8" fillId="3" borderId="0" xfId="1" applyFont="1" applyFill="1" applyAlignment="1">
      <alignment horizontal="center" vertical="center"/>
    </xf>
    <xf numFmtId="0" fontId="8" fillId="3" borderId="2" xfId="1" applyFont="1" applyFill="1" applyBorder="1" applyAlignment="1">
      <alignment horizontal="center" vertical="center"/>
    </xf>
    <xf numFmtId="2" fontId="5" fillId="0" borderId="0" xfId="1" applyNumberFormat="1" applyFont="1" applyAlignment="1">
      <alignment horizontal="center"/>
    </xf>
    <xf numFmtId="10" fontId="14" fillId="0" borderId="0" xfId="1" applyNumberFormat="1" applyFont="1" applyAlignment="1">
      <alignment horizontal="center"/>
    </xf>
    <xf numFmtId="10" fontId="14" fillId="0" borderId="19" xfId="1" applyNumberFormat="1" applyFont="1" applyBorder="1" applyAlignment="1">
      <alignment horizontal="center"/>
    </xf>
    <xf numFmtId="0" fontId="6" fillId="3" borderId="12" xfId="1" applyFont="1" applyFill="1" applyBorder="1" applyAlignment="1">
      <alignment horizontal="left" vertical="center" wrapText="1"/>
    </xf>
    <xf numFmtId="0" fontId="7" fillId="4" borderId="12" xfId="1" applyFont="1" applyFill="1" applyBorder="1"/>
    <xf numFmtId="0" fontId="6" fillId="3" borderId="10" xfId="1" applyFont="1" applyFill="1" applyBorder="1" applyAlignment="1">
      <alignment horizontal="left" vertical="center" wrapText="1"/>
    </xf>
    <xf numFmtId="14" fontId="6" fillId="3" borderId="13" xfId="1" applyNumberFormat="1" applyFont="1" applyFill="1" applyBorder="1" applyAlignment="1">
      <alignment horizontal="center"/>
    </xf>
    <xf numFmtId="14" fontId="7" fillId="4" borderId="13" xfId="1" applyNumberFormat="1" applyFont="1" applyFill="1" applyBorder="1"/>
    <xf numFmtId="0" fontId="4" fillId="0" borderId="11" xfId="1" applyFont="1" applyBorder="1" applyAlignment="1">
      <alignment horizontal="center"/>
    </xf>
    <xf numFmtId="3" fontId="17" fillId="3" borderId="12" xfId="1" applyNumberFormat="1" applyFont="1" applyFill="1" applyBorder="1" applyAlignment="1">
      <alignment horizontal="center"/>
    </xf>
    <xf numFmtId="3" fontId="7" fillId="4" borderId="12" xfId="1" applyNumberFormat="1" applyFont="1" applyFill="1" applyBorder="1"/>
    <xf numFmtId="3" fontId="5" fillId="0" borderId="12" xfId="1" applyNumberFormat="1" applyFont="1" applyBorder="1" applyAlignment="1">
      <alignment horizontal="center"/>
    </xf>
    <xf numFmtId="0" fontId="5" fillId="0" borderId="12" xfId="1" applyFont="1" applyBorder="1" applyAlignment="1">
      <alignment horizontal="center"/>
    </xf>
    <xf numFmtId="167" fontId="5" fillId="0" borderId="8" xfId="1" applyNumberFormat="1" applyFont="1" applyBorder="1" applyAlignment="1">
      <alignment horizontal="center"/>
    </xf>
    <xf numFmtId="167" fontId="5" fillId="0" borderId="9" xfId="1" applyNumberFormat="1" applyFont="1" applyBorder="1" applyAlignment="1">
      <alignment horizontal="center"/>
    </xf>
    <xf numFmtId="168" fontId="5" fillId="0" borderId="8" xfId="1" applyNumberFormat="1" applyFont="1" applyBorder="1" applyAlignment="1">
      <alignment horizontal="center"/>
    </xf>
    <xf numFmtId="168" fontId="5" fillId="0" borderId="9" xfId="1" applyNumberFormat="1" applyFont="1" applyBorder="1" applyAlignment="1">
      <alignment horizontal="center"/>
    </xf>
    <xf numFmtId="170" fontId="5" fillId="0" borderId="8" xfId="1" applyNumberFormat="1" applyFont="1" applyBorder="1" applyAlignment="1">
      <alignment horizontal="center"/>
    </xf>
    <xf numFmtId="170" fontId="5" fillId="0" borderId="9" xfId="1" applyNumberFormat="1" applyFont="1" applyBorder="1" applyAlignment="1">
      <alignment horizontal="center"/>
    </xf>
    <xf numFmtId="3" fontId="7" fillId="0" borderId="12" xfId="1" applyNumberFormat="1" applyFont="1" applyBorder="1" applyAlignment="1">
      <alignment horizontal="center"/>
    </xf>
    <xf numFmtId="0" fontId="7" fillId="0" borderId="12" xfId="1" applyFont="1" applyBorder="1"/>
    <xf numFmtId="3" fontId="6" fillId="3" borderId="17" xfId="1" applyNumberFormat="1" applyFont="1" applyFill="1" applyBorder="1" applyAlignment="1">
      <alignment horizontal="center" vertical="center" wrapText="1"/>
    </xf>
    <xf numFmtId="3" fontId="6" fillId="3" borderId="18" xfId="1" applyNumberFormat="1" applyFont="1" applyFill="1" applyBorder="1" applyAlignment="1">
      <alignment horizontal="center" vertical="center" wrapText="1"/>
    </xf>
    <xf numFmtId="3" fontId="7" fillId="0" borderId="17" xfId="1" applyNumberFormat="1" applyFont="1" applyBorder="1" applyAlignment="1">
      <alignment horizontal="center" vertical="center" wrapText="1"/>
    </xf>
    <xf numFmtId="3" fontId="7" fillId="0" borderId="18" xfId="1" applyNumberFormat="1" applyFont="1" applyBorder="1" applyAlignment="1">
      <alignment horizontal="center" vertical="center" wrapText="1"/>
    </xf>
    <xf numFmtId="0" fontId="6" fillId="3" borderId="15" xfId="1" applyFont="1" applyFill="1" applyBorder="1" applyAlignment="1">
      <alignment vertical="center" wrapText="1"/>
    </xf>
    <xf numFmtId="10" fontId="2" fillId="0" borderId="17" xfId="1" applyNumberFormat="1" applyFont="1" applyBorder="1" applyAlignment="1">
      <alignment horizontal="center"/>
    </xf>
    <xf numFmtId="10" fontId="2" fillId="0" borderId="15" xfId="1" applyNumberFormat="1" applyFont="1" applyBorder="1" applyAlignment="1">
      <alignment horizontal="center"/>
    </xf>
    <xf numFmtId="10" fontId="14" fillId="7" borderId="3" xfId="1" applyNumberFormat="1" applyFont="1" applyFill="1" applyBorder="1" applyAlignment="1">
      <alignment horizontal="center"/>
    </xf>
    <xf numFmtId="10" fontId="14" fillId="7" borderId="0" xfId="1" applyNumberFormat="1" applyFont="1" applyFill="1" applyBorder="1" applyAlignment="1">
      <alignment horizontal="center"/>
    </xf>
    <xf numFmtId="0" fontId="2" fillId="0" borderId="0" xfId="1" applyFont="1" applyAlignment="1"/>
    <xf numFmtId="0" fontId="14" fillId="0" borderId="0" xfId="1" applyFont="1" applyAlignment="1"/>
    <xf numFmtId="0" fontId="2" fillId="0" borderId="0" xfId="1" applyFont="1" applyBorder="1"/>
    <xf numFmtId="10" fontId="5" fillId="7" borderId="26" xfId="1" applyNumberFormat="1" applyFont="1" applyFill="1" applyBorder="1" applyAlignment="1">
      <alignment horizontal="center"/>
    </xf>
    <xf numFmtId="10" fontId="5" fillId="7" borderId="27" xfId="1" applyNumberFormat="1" applyFont="1" applyFill="1" applyBorder="1" applyAlignment="1">
      <alignment horizontal="center"/>
    </xf>
    <xf numFmtId="0" fontId="2" fillId="0" borderId="19" xfId="1" applyFont="1" applyBorder="1"/>
    <xf numFmtId="0" fontId="2" fillId="0" borderId="19" xfId="1" applyFont="1" applyBorder="1" applyAlignment="1"/>
    <xf numFmtId="10" fontId="5" fillId="8" borderId="28" xfId="1" applyNumberFormat="1" applyFont="1" applyFill="1" applyBorder="1" applyAlignment="1">
      <alignment horizontal="center"/>
    </xf>
    <xf numFmtId="10" fontId="5" fillId="8" borderId="19" xfId="1" applyNumberFormat="1" applyFont="1" applyFill="1" applyBorder="1" applyAlignment="1">
      <alignment horizontal="center"/>
    </xf>
    <xf numFmtId="166" fontId="10" fillId="0" borderId="0" xfId="1" applyNumberFormat="1" applyFont="1" applyFill="1"/>
    <xf numFmtId="0" fontId="7" fillId="0" borderId="0" xfId="1" applyFont="1" applyBorder="1"/>
    <xf numFmtId="4" fontId="16" fillId="0" borderId="27" xfId="1" applyNumberFormat="1" applyFont="1" applyFill="1" applyBorder="1" applyAlignment="1">
      <alignment horizontal="center"/>
    </xf>
    <xf numFmtId="0" fontId="7" fillId="0" borderId="27" xfId="1" applyFont="1" applyFill="1" applyBorder="1"/>
    <xf numFmtId="0" fontId="2" fillId="0" borderId="27" xfId="1" applyFont="1" applyBorder="1"/>
  </cellXfs>
  <cellStyles count="2">
    <cellStyle name="Normal" xfId="0" builtinId="0"/>
    <cellStyle name="Normal 2" xfId="1" xr:uid="{38FD6C1D-07A1-9148-A67E-DE5D597062D2}"/>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BC856-80BB-694E-8DB2-F07FC141D959}">
  <sheetPr>
    <outlinePr summaryBelow="0" summaryRight="0"/>
  </sheetPr>
  <dimension ref="A2:I991"/>
  <sheetViews>
    <sheetView showGridLines="0" tabSelected="1" zoomScaleNormal="100" workbookViewId="0">
      <selection activeCell="G23" sqref="G23"/>
    </sheetView>
  </sheetViews>
  <sheetFormatPr defaultColWidth="12.5" defaultRowHeight="15" customHeight="1" x14ac:dyDescent="0.3"/>
  <cols>
    <col min="1" max="1" width="2.5" style="1" customWidth="1"/>
    <col min="2" max="2" width="28.33203125" style="1" customWidth="1"/>
    <col min="3" max="6" width="14.83203125" style="1" customWidth="1"/>
    <col min="7" max="7" width="28.83203125" style="1" customWidth="1"/>
    <col min="8" max="9" width="14.83203125" style="1" customWidth="1"/>
    <col min="10" max="16384" width="12.5" style="1"/>
  </cols>
  <sheetData>
    <row r="2" spans="1:9" ht="15.75" customHeight="1" x14ac:dyDescent="0.3">
      <c r="A2" s="2"/>
      <c r="B2" s="3" t="s">
        <v>10</v>
      </c>
      <c r="C2" s="87" t="str">
        <f>C3&amp;" : "&amp;C4</f>
        <v>Park : Project Park</v>
      </c>
      <c r="D2" s="88"/>
      <c r="E2" s="4"/>
      <c r="F2" s="4"/>
      <c r="G2" s="4"/>
      <c r="H2" s="4"/>
      <c r="I2" s="4"/>
    </row>
    <row r="3" spans="1:9" ht="15.75" customHeight="1" x14ac:dyDescent="0.3">
      <c r="B3" s="5" t="s">
        <v>51</v>
      </c>
      <c r="C3" s="89" t="s">
        <v>97</v>
      </c>
      <c r="D3" s="90"/>
      <c r="E3" s="6"/>
      <c r="G3" s="7" t="s">
        <v>13</v>
      </c>
      <c r="H3" s="91" t="s">
        <v>98</v>
      </c>
      <c r="I3" s="92"/>
    </row>
    <row r="4" spans="1:9" ht="15.75" customHeight="1" x14ac:dyDescent="0.3">
      <c r="B4" s="8" t="s">
        <v>52</v>
      </c>
      <c r="C4" s="93" t="s">
        <v>9</v>
      </c>
      <c r="D4" s="94"/>
      <c r="G4" s="54" t="s">
        <v>14</v>
      </c>
      <c r="H4" s="59">
        <f>Securities!C5</f>
        <v>23880000</v>
      </c>
      <c r="I4" s="60" t="str">
        <f>Securities!D4</f>
        <v>HKD</v>
      </c>
    </row>
    <row r="5" spans="1:9" ht="15.75" customHeight="1" x14ac:dyDescent="0.3">
      <c r="B5" s="8" t="s">
        <v>11</v>
      </c>
      <c r="C5" s="95">
        <v>44901</v>
      </c>
      <c r="D5" s="94"/>
      <c r="E5" s="9"/>
      <c r="G5" s="8"/>
      <c r="H5" s="96"/>
      <c r="I5" s="96"/>
    </row>
    <row r="6" spans="1:9" ht="15.75" customHeight="1" x14ac:dyDescent="0.3">
      <c r="B6" s="4" t="s">
        <v>12</v>
      </c>
      <c r="C6" s="97">
        <v>44911</v>
      </c>
      <c r="D6" s="98"/>
      <c r="E6" s="9" t="str">
        <f>IF(C6&lt;C5,"Outdated","")</f>
        <v/>
      </c>
      <c r="G6" s="8"/>
      <c r="H6" s="99"/>
      <c r="I6" s="99"/>
    </row>
    <row r="7" spans="1:9" ht="15.75" customHeight="1" x14ac:dyDescent="0.3"/>
    <row r="8" spans="1:9" ht="15.75" customHeight="1" x14ac:dyDescent="0.3">
      <c r="B8" s="11" t="s">
        <v>1</v>
      </c>
      <c r="C8" s="12"/>
      <c r="G8" s="11" t="s">
        <v>49</v>
      </c>
    </row>
    <row r="9" spans="1:9" ht="15.75" customHeight="1" x14ac:dyDescent="0.3">
      <c r="B9" s="13" t="s">
        <v>62</v>
      </c>
      <c r="C9" s="66" t="s">
        <v>63</v>
      </c>
      <c r="D9" s="65">
        <v>5.3955400000000001E-2</v>
      </c>
      <c r="E9" s="8"/>
      <c r="G9" s="8" t="s">
        <v>48</v>
      </c>
      <c r="H9" s="104">
        <f>Securities!C6</f>
        <v>0.62484472049689443</v>
      </c>
      <c r="I9" s="104"/>
    </row>
    <row r="10" spans="1:9" ht="15.75" customHeight="1" x14ac:dyDescent="0.3">
      <c r="B10" s="13" t="s">
        <v>96</v>
      </c>
      <c r="C10" s="14"/>
      <c r="D10" s="84">
        <f>'Credit Analysis Model'!D52:E52</f>
        <v>2.8206030150753768E-3</v>
      </c>
      <c r="E10" s="30"/>
      <c r="G10" s="8" t="s">
        <v>38</v>
      </c>
      <c r="H10" s="103">
        <f>Securities!D7</f>
        <v>0.12</v>
      </c>
      <c r="I10" s="103"/>
    </row>
    <row r="11" spans="1:9" ht="15.75" customHeight="1" x14ac:dyDescent="0.3">
      <c r="B11" s="15"/>
      <c r="C11" s="16"/>
      <c r="E11" s="30"/>
      <c r="G11" s="1" t="s">
        <v>50</v>
      </c>
      <c r="H11" s="106">
        <f>Securities!C7</f>
        <v>2865600</v>
      </c>
      <c r="I11" s="107"/>
    </row>
    <row r="12" spans="1:9" ht="15.5" customHeight="1" x14ac:dyDescent="0.3">
      <c r="B12" s="13"/>
      <c r="C12" s="14"/>
      <c r="D12" s="30"/>
      <c r="E12" s="8"/>
      <c r="G12" s="57" t="s">
        <v>18</v>
      </c>
      <c r="H12" s="105">
        <f>Securities!C6</f>
        <v>0.62484472049689443</v>
      </c>
      <c r="I12" s="105"/>
    </row>
    <row r="13" spans="1:9" ht="15.75" customHeight="1" x14ac:dyDescent="0.3">
      <c r="B13" s="15"/>
      <c r="C13" s="16"/>
      <c r="D13" s="30"/>
      <c r="E13" s="17"/>
      <c r="G13" s="8"/>
      <c r="H13" s="31"/>
      <c r="I13" s="23"/>
    </row>
    <row r="14" spans="1:9" ht="15.75" hidden="1" customHeight="1" x14ac:dyDescent="0.3">
      <c r="B14" s="15"/>
      <c r="C14" s="16"/>
      <c r="D14" s="30"/>
      <c r="E14" s="17"/>
      <c r="G14" s="8"/>
      <c r="H14" s="31"/>
      <c r="I14" s="23"/>
    </row>
    <row r="15" spans="1:9" ht="15.75" hidden="1" customHeight="1" x14ac:dyDescent="0.3"/>
    <row r="16" spans="1:9" ht="15.5" hidden="1" customHeight="1" x14ac:dyDescent="0.3">
      <c r="E16" s="18"/>
    </row>
    <row r="17" spans="1:9" ht="15.75" hidden="1" customHeight="1" x14ac:dyDescent="0.3">
      <c r="B17" s="86"/>
      <c r="C17" s="100"/>
      <c r="D17" s="101"/>
      <c r="E17" s="100"/>
      <c r="F17" s="101"/>
      <c r="I17" s="8"/>
    </row>
    <row r="18" spans="1:9" ht="15.75" hidden="1" customHeight="1" x14ac:dyDescent="0.3">
      <c r="B18" s="13"/>
      <c r="C18" s="112"/>
      <c r="D18" s="101"/>
      <c r="E18" s="112"/>
      <c r="F18" s="101"/>
      <c r="G18" s="20"/>
      <c r="H18" s="113"/>
      <c r="I18" s="113"/>
    </row>
    <row r="19" spans="1:9" ht="15.75" customHeight="1" x14ac:dyDescent="0.3">
      <c r="B19" s="11" t="s">
        <v>50</v>
      </c>
      <c r="C19" s="102">
        <f>H11</f>
        <v>2865600</v>
      </c>
      <c r="D19" s="102"/>
      <c r="G19" s="58" t="s">
        <v>54</v>
      </c>
      <c r="H19" s="108">
        <f>H9</f>
        <v>0.62484472049689443</v>
      </c>
      <c r="I19" s="108"/>
    </row>
    <row r="20" spans="1:9" ht="15.75" customHeight="1" x14ac:dyDescent="0.3">
      <c r="B20" s="22"/>
      <c r="C20" s="22"/>
      <c r="D20" s="22"/>
      <c r="E20" s="22"/>
      <c r="F20" s="22"/>
    </row>
    <row r="21" spans="1:9" ht="15.75" customHeight="1" x14ac:dyDescent="0.3">
      <c r="B21" s="11" t="s">
        <v>2</v>
      </c>
      <c r="C21" s="152"/>
      <c r="D21" s="144"/>
      <c r="E21" s="144"/>
      <c r="F21" s="4"/>
      <c r="G21" s="4"/>
      <c r="H21" s="144"/>
    </row>
    <row r="22" spans="1:9" ht="15.75" customHeight="1" x14ac:dyDescent="0.3">
      <c r="B22" s="23"/>
      <c r="C22" s="153"/>
      <c r="D22" s="154"/>
      <c r="E22" s="155"/>
      <c r="F22" s="142"/>
      <c r="G22" s="142" t="s">
        <v>3</v>
      </c>
      <c r="H22" s="145">
        <f>'Credit Analysis Model'!D55</f>
        <v>6.4027111830930822E-2</v>
      </c>
      <c r="I22" s="146"/>
    </row>
    <row r="23" spans="1:9" ht="15.75" customHeight="1" x14ac:dyDescent="0.3">
      <c r="B23" s="20"/>
      <c r="C23" s="151"/>
      <c r="D23" s="151"/>
      <c r="F23" s="143"/>
      <c r="G23" s="143" t="s">
        <v>4</v>
      </c>
      <c r="H23" s="140">
        <f>D9+D10</f>
        <v>5.6776003015075377E-2</v>
      </c>
      <c r="I23" s="141"/>
    </row>
    <row r="24" spans="1:9" ht="15.75" customHeight="1" x14ac:dyDescent="0.3">
      <c r="B24" s="21"/>
      <c r="C24" s="114"/>
      <c r="D24" s="114"/>
      <c r="E24" s="147"/>
      <c r="F24" s="148"/>
      <c r="G24" s="148" t="s">
        <v>53</v>
      </c>
      <c r="H24" s="149">
        <f>H22-H23</f>
        <v>7.2511088158554449E-3</v>
      </c>
      <c r="I24" s="150"/>
    </row>
    <row r="25" spans="1:9" ht="15.75" customHeight="1" x14ac:dyDescent="0.3"/>
    <row r="26" spans="1:9" ht="15.75" customHeight="1" x14ac:dyDescent="0.3">
      <c r="A26" s="2"/>
      <c r="B26" s="19" t="s">
        <v>15</v>
      </c>
      <c r="C26" s="10"/>
      <c r="D26" s="4"/>
      <c r="E26" s="4"/>
      <c r="F26" s="4"/>
      <c r="G26" s="4"/>
      <c r="H26" s="4"/>
      <c r="I26" s="4"/>
    </row>
    <row r="27" spans="1:9" ht="15.75" customHeight="1" x14ac:dyDescent="0.3">
      <c r="B27" s="25" t="s">
        <v>5</v>
      </c>
      <c r="C27" s="109"/>
      <c r="D27" s="110"/>
      <c r="E27" s="110"/>
      <c r="F27" s="110"/>
      <c r="G27" s="110"/>
      <c r="H27" s="110"/>
      <c r="I27" s="111"/>
    </row>
    <row r="28" spans="1:9" ht="52.5" customHeight="1" x14ac:dyDescent="0.3">
      <c r="B28" s="25" t="s">
        <v>6</v>
      </c>
      <c r="C28" s="115"/>
      <c r="D28" s="116"/>
      <c r="E28" s="116"/>
      <c r="F28" s="116"/>
      <c r="G28" s="115"/>
      <c r="H28" s="116"/>
      <c r="I28" s="116"/>
    </row>
    <row r="29" spans="1:9" ht="52.5" customHeight="1" x14ac:dyDescent="0.3">
      <c r="B29" s="26" t="s">
        <v>7</v>
      </c>
      <c r="C29" s="117"/>
      <c r="D29" s="98"/>
      <c r="E29" s="98"/>
      <c r="F29" s="98"/>
      <c r="G29" s="117"/>
      <c r="H29" s="98"/>
      <c r="I29" s="98"/>
    </row>
    <row r="30" spans="1:9" ht="15.75" customHeight="1" x14ac:dyDescent="0.3">
      <c r="F30" s="18"/>
    </row>
    <row r="31" spans="1:9" ht="15.75" customHeight="1" x14ac:dyDescent="0.3">
      <c r="A31" s="2"/>
      <c r="B31" s="19" t="s">
        <v>47</v>
      </c>
      <c r="C31" s="27"/>
      <c r="D31" s="53"/>
      <c r="E31" s="4"/>
      <c r="F31" s="10"/>
      <c r="G31" s="4"/>
    </row>
    <row r="32" spans="1:9" ht="15.65" customHeight="1" x14ac:dyDescent="0.3">
      <c r="B32" s="23" t="s">
        <v>16</v>
      </c>
      <c r="C32" s="118"/>
      <c r="D32" s="119"/>
      <c r="E32" s="118"/>
      <c r="F32" s="119"/>
      <c r="G32" s="28"/>
      <c r="H32" s="120" t="s">
        <v>8</v>
      </c>
      <c r="I32" s="120"/>
    </row>
    <row r="33" spans="2:9" ht="15.65" customHeight="1" x14ac:dyDescent="0.3">
      <c r="B33" s="23"/>
      <c r="C33" s="125"/>
      <c r="D33" s="126"/>
      <c r="E33" s="127"/>
      <c r="F33" s="128"/>
      <c r="G33" s="29"/>
      <c r="H33" s="129"/>
      <c r="I33" s="130"/>
    </row>
    <row r="34" spans="2:9" ht="15.75" customHeight="1" x14ac:dyDescent="0.3">
      <c r="B34" s="23" t="s">
        <v>46</v>
      </c>
      <c r="C34" s="131">
        <v>1</v>
      </c>
      <c r="D34" s="132"/>
      <c r="E34" s="131">
        <v>1</v>
      </c>
      <c r="F34" s="132"/>
      <c r="G34" s="51">
        <v>1</v>
      </c>
      <c r="H34" s="123">
        <f>C34+E34+G34</f>
        <v>3</v>
      </c>
      <c r="I34" s="123"/>
    </row>
    <row r="35" spans="2:9" ht="15.75" customHeight="1" x14ac:dyDescent="0.3">
      <c r="B35" s="23" t="s">
        <v>17</v>
      </c>
      <c r="C35" s="121"/>
      <c r="D35" s="122"/>
      <c r="E35" s="121"/>
      <c r="F35" s="122"/>
      <c r="G35" s="52"/>
      <c r="H35" s="123">
        <f>C35+E35+G35</f>
        <v>0</v>
      </c>
      <c r="I35" s="124"/>
    </row>
    <row r="36" spans="2:9" ht="15.75" customHeight="1" x14ac:dyDescent="0.3"/>
    <row r="37" spans="2:9" ht="15.75" customHeight="1" x14ac:dyDescent="0.3"/>
    <row r="38" spans="2:9" ht="15.75" customHeight="1" x14ac:dyDescent="0.3"/>
    <row r="39" spans="2:9" ht="15.75" customHeight="1" x14ac:dyDescent="0.3"/>
    <row r="40" spans="2:9" ht="15.75" customHeight="1" x14ac:dyDescent="0.3"/>
    <row r="41" spans="2:9" ht="15.75" customHeight="1" x14ac:dyDescent="0.3"/>
    <row r="42" spans="2:9" ht="15.75" customHeight="1" x14ac:dyDescent="0.3"/>
    <row r="43" spans="2:9" ht="15.75" customHeight="1" x14ac:dyDescent="0.3"/>
    <row r="44" spans="2:9" ht="15.75" customHeight="1" x14ac:dyDescent="0.3"/>
    <row r="45" spans="2:9" ht="15.75" customHeight="1" x14ac:dyDescent="0.3"/>
    <row r="46" spans="2:9" ht="15.75" customHeight="1" x14ac:dyDescent="0.3"/>
    <row r="47" spans="2:9" ht="15.75" customHeight="1" x14ac:dyDescent="0.3"/>
    <row r="48" spans="2:9"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41">
    <mergeCell ref="C35:D35"/>
    <mergeCell ref="E35:F35"/>
    <mergeCell ref="H35:I35"/>
    <mergeCell ref="C33:D33"/>
    <mergeCell ref="E33:F33"/>
    <mergeCell ref="H33:I33"/>
    <mergeCell ref="C34:D34"/>
    <mergeCell ref="E34:F34"/>
    <mergeCell ref="H34:I34"/>
    <mergeCell ref="C28:F28"/>
    <mergeCell ref="G28:I28"/>
    <mergeCell ref="C29:F29"/>
    <mergeCell ref="G29:I29"/>
    <mergeCell ref="C32:D32"/>
    <mergeCell ref="E32:F32"/>
    <mergeCell ref="H32:I32"/>
    <mergeCell ref="C27:I27"/>
    <mergeCell ref="C18:D18"/>
    <mergeCell ref="E18:F18"/>
    <mergeCell ref="H18:I18"/>
    <mergeCell ref="C22:D22"/>
    <mergeCell ref="C24:D24"/>
    <mergeCell ref="H22:I22"/>
    <mergeCell ref="H23:I23"/>
    <mergeCell ref="H24:I24"/>
    <mergeCell ref="C6:D6"/>
    <mergeCell ref="H6:I6"/>
    <mergeCell ref="C17:D17"/>
    <mergeCell ref="E17:F17"/>
    <mergeCell ref="C19:D19"/>
    <mergeCell ref="H10:I10"/>
    <mergeCell ref="H9:I9"/>
    <mergeCell ref="H12:I12"/>
    <mergeCell ref="H11:I11"/>
    <mergeCell ref="H19:I19"/>
    <mergeCell ref="C2:D2"/>
    <mergeCell ref="C3:D3"/>
    <mergeCell ref="H3:I3"/>
    <mergeCell ref="C4:D4"/>
    <mergeCell ref="C5:D5"/>
    <mergeCell ref="H5:I5"/>
  </mergeCells>
  <dataValidations disablePrompts="1" count="1">
    <dataValidation type="list" allowBlank="1" sqref="H3" xr:uid="{A7845922-963A-9A4A-B0A0-331C191D0C34}">
      <formula1>"HK,US:NASDAQ,CN"</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607E-4C97-6E4D-BAC4-B16F72D33E6B}">
  <sheetPr>
    <outlinePr summaryBelow="0" summaryRight="0"/>
  </sheetPr>
  <dimension ref="A2:F973"/>
  <sheetViews>
    <sheetView showGridLines="0" topLeftCell="A10" zoomScaleNormal="100" workbookViewId="0">
      <selection activeCell="C5" sqref="C5"/>
    </sheetView>
  </sheetViews>
  <sheetFormatPr defaultColWidth="12.5" defaultRowHeight="15" customHeight="1" x14ac:dyDescent="0.3"/>
  <cols>
    <col min="1" max="1" width="2.5" style="1" customWidth="1"/>
    <col min="2" max="2" width="22.83203125" style="1" bestFit="1" customWidth="1"/>
    <col min="3" max="3" width="79.08203125" style="1" customWidth="1"/>
    <col min="4" max="4" width="10.25" style="1" customWidth="1"/>
    <col min="5" max="5" width="3.83203125" style="1" customWidth="1"/>
    <col min="6" max="6" width="38.33203125" style="1" customWidth="1"/>
    <col min="7" max="16384" width="12.5" style="1"/>
  </cols>
  <sheetData>
    <row r="2" spans="1:6" ht="15.75" customHeight="1" x14ac:dyDescent="0.3">
      <c r="A2" s="2"/>
      <c r="B2" s="3" t="s">
        <v>19</v>
      </c>
      <c r="C2" s="33"/>
      <c r="D2" s="4"/>
      <c r="E2" s="4"/>
      <c r="F2" s="4"/>
    </row>
    <row r="3" spans="1:6" ht="15.75" customHeight="1" x14ac:dyDescent="0.3">
      <c r="B3" s="39" t="s">
        <v>32</v>
      </c>
      <c r="C3" s="36"/>
      <c r="F3" s="45" t="s">
        <v>40</v>
      </c>
    </row>
    <row r="4" spans="1:6" ht="15.75" customHeight="1" x14ac:dyDescent="0.35">
      <c r="B4" s="40" t="s">
        <v>25</v>
      </c>
      <c r="C4" s="41">
        <f>SUM(C14+C22+C30)</f>
        <v>48300000</v>
      </c>
      <c r="D4" s="135" t="str">
        <f>D14</f>
        <v>HKD</v>
      </c>
      <c r="F4" s="46"/>
    </row>
    <row r="5" spans="1:6" ht="15.75" customHeight="1" x14ac:dyDescent="0.35">
      <c r="B5" s="40" t="s">
        <v>35</v>
      </c>
      <c r="C5" s="41">
        <f>SUM(,C16,C24,C32)</f>
        <v>23880000</v>
      </c>
      <c r="D5" s="136"/>
      <c r="F5" s="46" t="s">
        <v>41</v>
      </c>
    </row>
    <row r="6" spans="1:6" ht="15.75" customHeight="1" x14ac:dyDescent="0.35">
      <c r="B6" s="40" t="s">
        <v>34</v>
      </c>
      <c r="C6" s="49">
        <f>(C5-C9)/C4</f>
        <v>0.62484472049689443</v>
      </c>
      <c r="D6" s="50">
        <v>1</v>
      </c>
      <c r="F6" s="46"/>
    </row>
    <row r="7" spans="1:6" ht="15.75" customHeight="1" x14ac:dyDescent="0.35">
      <c r="B7" s="40" t="s">
        <v>39</v>
      </c>
      <c r="C7" s="44">
        <f>C5*D7</f>
        <v>2865600</v>
      </c>
      <c r="D7" s="43">
        <v>0.12</v>
      </c>
      <c r="F7" s="46"/>
    </row>
    <row r="8" spans="1:6" ht="15.75" customHeight="1" x14ac:dyDescent="0.35">
      <c r="B8" s="38" t="s">
        <v>36</v>
      </c>
      <c r="C8" s="41">
        <f>SUM(C15,C23,C31)+C9</f>
        <v>22680000</v>
      </c>
      <c r="D8" s="61">
        <f>IF(C8/C5&gt;1,100%,C8/C5)</f>
        <v>0.94974874371859297</v>
      </c>
      <c r="F8" s="46"/>
    </row>
    <row r="9" spans="1:6" ht="15.75" customHeight="1" x14ac:dyDescent="0.35">
      <c r="B9" s="40" t="s">
        <v>55</v>
      </c>
      <c r="C9" s="42">
        <f>SUM(C18,C26,C34)</f>
        <v>-6300000</v>
      </c>
      <c r="D9" s="61" t="str">
        <f>D17</f>
        <v>HKD</v>
      </c>
      <c r="F9" s="46"/>
    </row>
    <row r="10" spans="1:6" s="37" customFormat="1" ht="15.75" customHeight="1" x14ac:dyDescent="0.3">
      <c r="F10" s="47"/>
    </row>
    <row r="11" spans="1:6" ht="15.75" customHeight="1" x14ac:dyDescent="0.3">
      <c r="B11" s="39" t="s">
        <v>33</v>
      </c>
      <c r="F11" s="46"/>
    </row>
    <row r="12" spans="1:6" ht="20.149999999999999" customHeight="1" x14ac:dyDescent="0.3">
      <c r="B12" s="34" t="s">
        <v>20</v>
      </c>
      <c r="C12" s="137" t="s">
        <v>21</v>
      </c>
      <c r="D12" s="137"/>
      <c r="F12" s="46"/>
    </row>
    <row r="13" spans="1:6" ht="112" customHeight="1" x14ac:dyDescent="0.3">
      <c r="B13" s="35" t="s">
        <v>22</v>
      </c>
      <c r="C13" s="137" t="s">
        <v>23</v>
      </c>
      <c r="D13" s="137"/>
      <c r="F13" s="46"/>
    </row>
    <row r="14" spans="1:6" ht="15.75" customHeight="1" x14ac:dyDescent="0.3">
      <c r="B14" s="32" t="s">
        <v>24</v>
      </c>
      <c r="C14" s="41">
        <v>18000000</v>
      </c>
      <c r="D14" s="41" t="s">
        <v>0</v>
      </c>
      <c r="F14" s="46"/>
    </row>
    <row r="15" spans="1:6" ht="15.75" customHeight="1" x14ac:dyDescent="0.3">
      <c r="B15" s="32" t="s">
        <v>36</v>
      </c>
      <c r="C15" s="44">
        <f>C14*D15</f>
        <v>10800000</v>
      </c>
      <c r="D15" s="63">
        <v>0.6</v>
      </c>
      <c r="F15" s="46" t="s">
        <v>87</v>
      </c>
    </row>
    <row r="16" spans="1:6" ht="15.75" customHeight="1" x14ac:dyDescent="0.3">
      <c r="B16" s="32" t="s">
        <v>66</v>
      </c>
      <c r="C16" s="62">
        <f>C14*D16+C18</f>
        <v>10800000</v>
      </c>
      <c r="D16" s="63">
        <v>0.6</v>
      </c>
      <c r="F16" s="46" t="s">
        <v>42</v>
      </c>
    </row>
    <row r="17" spans="2:6" ht="15.75" customHeight="1" x14ac:dyDescent="0.3">
      <c r="B17" s="32" t="s">
        <v>86</v>
      </c>
      <c r="C17" s="42">
        <f>C14/8</f>
        <v>2250000</v>
      </c>
      <c r="D17" s="133" t="s">
        <v>0</v>
      </c>
      <c r="F17" s="46"/>
    </row>
    <row r="18" spans="2:6" ht="15.75" customHeight="1" x14ac:dyDescent="0.3">
      <c r="B18" s="32" t="s">
        <v>37</v>
      </c>
      <c r="C18" s="42">
        <v>0</v>
      </c>
      <c r="D18" s="134"/>
      <c r="F18" s="48"/>
    </row>
    <row r="19" spans="2:6" ht="15.75" customHeight="1" x14ac:dyDescent="0.3">
      <c r="F19" s="46"/>
    </row>
    <row r="20" spans="2:6" ht="14" x14ac:dyDescent="0.3">
      <c r="B20" s="34" t="s">
        <v>26</v>
      </c>
      <c r="C20" s="137" t="s">
        <v>31</v>
      </c>
      <c r="D20" s="137"/>
      <c r="F20" s="46"/>
    </row>
    <row r="21" spans="2:6" ht="29.15" customHeight="1" x14ac:dyDescent="0.3">
      <c r="B21" s="35" t="s">
        <v>22</v>
      </c>
      <c r="C21" s="137" t="s">
        <v>27</v>
      </c>
      <c r="D21" s="137"/>
      <c r="F21" s="46"/>
    </row>
    <row r="22" spans="2:6" ht="14" x14ac:dyDescent="0.3">
      <c r="B22" s="32" t="s">
        <v>24</v>
      </c>
      <c r="C22" s="41">
        <v>6300000</v>
      </c>
      <c r="D22" s="41" t="s">
        <v>0</v>
      </c>
      <c r="F22" s="46"/>
    </row>
    <row r="23" spans="2:6" ht="14" x14ac:dyDescent="0.3">
      <c r="B23" s="32" t="s">
        <v>36</v>
      </c>
      <c r="C23" s="44">
        <f>C22*D23</f>
        <v>3780000</v>
      </c>
      <c r="D23" s="63">
        <v>0.6</v>
      </c>
    </row>
    <row r="24" spans="2:6" ht="15.5" customHeight="1" x14ac:dyDescent="0.3">
      <c r="B24" s="32" t="s">
        <v>66</v>
      </c>
      <c r="C24" s="62">
        <f>C22*D24+C26</f>
        <v>3780000</v>
      </c>
      <c r="D24" s="63">
        <v>0.6</v>
      </c>
      <c r="F24" s="46" t="s">
        <v>43</v>
      </c>
    </row>
    <row r="25" spans="2:6" ht="15.5" customHeight="1" x14ac:dyDescent="0.3">
      <c r="B25" s="32" t="s">
        <v>86</v>
      </c>
      <c r="C25" s="42">
        <f>C22/545</f>
        <v>11559.633027522936</v>
      </c>
      <c r="D25" s="133" t="s">
        <v>0</v>
      </c>
      <c r="F25" s="46"/>
    </row>
    <row r="26" spans="2:6" ht="15.65" customHeight="1" x14ac:dyDescent="0.3">
      <c r="B26" s="32" t="s">
        <v>37</v>
      </c>
      <c r="C26" s="42">
        <v>0</v>
      </c>
      <c r="D26" s="134"/>
      <c r="F26" s="46"/>
    </row>
    <row r="27" spans="2:6" ht="15.75" customHeight="1" x14ac:dyDescent="0.3">
      <c r="F27" s="46"/>
    </row>
    <row r="28" spans="2:6" ht="15.75" customHeight="1" x14ac:dyDescent="0.3">
      <c r="B28" s="34" t="s">
        <v>28</v>
      </c>
      <c r="C28" s="137" t="s">
        <v>30</v>
      </c>
      <c r="D28" s="137"/>
      <c r="F28" s="46"/>
    </row>
    <row r="29" spans="2:6" ht="15.75" customHeight="1" x14ac:dyDescent="0.3">
      <c r="B29" s="35" t="s">
        <v>22</v>
      </c>
      <c r="C29" s="137" t="s">
        <v>29</v>
      </c>
      <c r="D29" s="137"/>
      <c r="F29" s="46"/>
    </row>
    <row r="30" spans="2:6" ht="15.75" customHeight="1" x14ac:dyDescent="0.3">
      <c r="B30" s="32" t="s">
        <v>24</v>
      </c>
      <c r="C30" s="41">
        <v>24000000</v>
      </c>
      <c r="D30" s="41" t="s">
        <v>0</v>
      </c>
      <c r="F30" s="46"/>
    </row>
    <row r="31" spans="2:6" ht="15.75" customHeight="1" x14ac:dyDescent="0.3">
      <c r="B31" s="32" t="s">
        <v>36</v>
      </c>
      <c r="C31" s="44">
        <f>C30*D31</f>
        <v>14400000</v>
      </c>
      <c r="D31" s="63">
        <v>0.6</v>
      </c>
      <c r="F31" s="46" t="s">
        <v>88</v>
      </c>
    </row>
    <row r="32" spans="2:6" ht="15.75" customHeight="1" x14ac:dyDescent="0.3">
      <c r="B32" s="32" t="s">
        <v>66</v>
      </c>
      <c r="C32" s="62">
        <f>C30*D32+C34</f>
        <v>9300000</v>
      </c>
      <c r="D32" s="63">
        <v>0.65</v>
      </c>
      <c r="F32" s="46" t="s">
        <v>44</v>
      </c>
    </row>
    <row r="33" spans="2:6" ht="15.75" customHeight="1" x14ac:dyDescent="0.3">
      <c r="B33" s="32" t="s">
        <v>86</v>
      </c>
      <c r="C33" s="42">
        <f>C30/1161</f>
        <v>20671.834625322997</v>
      </c>
      <c r="D33" s="133" t="s">
        <v>0</v>
      </c>
      <c r="F33" s="46"/>
    </row>
    <row r="34" spans="2:6" ht="15.75" customHeight="1" x14ac:dyDescent="0.3">
      <c r="B34" s="32" t="s">
        <v>37</v>
      </c>
      <c r="C34" s="42">
        <v>-6300000</v>
      </c>
      <c r="D34" s="134"/>
      <c r="F34" s="46"/>
    </row>
    <row r="35" spans="2:6" ht="15.75" customHeight="1" x14ac:dyDescent="0.3">
      <c r="C35" s="80"/>
    </row>
    <row r="36" spans="2:6" ht="15.75" customHeight="1" x14ac:dyDescent="0.3"/>
    <row r="37" spans="2:6" ht="15.75" customHeight="1" x14ac:dyDescent="0.3"/>
    <row r="38" spans="2:6" ht="15.75" customHeight="1" x14ac:dyDescent="0.3"/>
    <row r="39" spans="2:6" ht="15.75" customHeight="1" x14ac:dyDescent="0.3"/>
    <row r="40" spans="2:6" ht="15.75" customHeight="1" x14ac:dyDescent="0.3"/>
    <row r="41" spans="2:6" ht="15.75" customHeight="1" x14ac:dyDescent="0.3"/>
    <row r="42" spans="2:6" ht="15.75" customHeight="1" x14ac:dyDescent="0.3"/>
    <row r="43" spans="2:6" ht="15.75" customHeight="1" x14ac:dyDescent="0.3"/>
    <row r="44" spans="2:6" ht="15.75" customHeight="1" x14ac:dyDescent="0.3"/>
    <row r="45" spans="2:6" ht="15.75" customHeight="1" x14ac:dyDescent="0.3"/>
    <row r="46" spans="2:6" ht="15.75" customHeight="1" x14ac:dyDescent="0.3"/>
    <row r="47" spans="2:6" ht="15.75" customHeight="1" x14ac:dyDescent="0.3"/>
    <row r="48" spans="2:6"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sheetData>
  <mergeCells count="10">
    <mergeCell ref="D33:D34"/>
    <mergeCell ref="D4:D5"/>
    <mergeCell ref="C29:D29"/>
    <mergeCell ref="C28:D28"/>
    <mergeCell ref="C20:D20"/>
    <mergeCell ref="C21:D21"/>
    <mergeCell ref="C12:D12"/>
    <mergeCell ref="C13:D13"/>
    <mergeCell ref="D17:D18"/>
    <mergeCell ref="D25:D26"/>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B0176-EDCC-994C-B11F-58A8BDD94701}">
  <sheetPr>
    <outlinePr summaryBelow="0" summaryRight="0"/>
  </sheetPr>
  <dimension ref="A2:Q959"/>
  <sheetViews>
    <sheetView showGridLines="0" topLeftCell="A34" zoomScale="110" zoomScaleNormal="110" workbookViewId="0">
      <selection activeCell="D52" sqref="D52:E52"/>
    </sheetView>
  </sheetViews>
  <sheetFormatPr defaultColWidth="12.5" defaultRowHeight="15" customHeight="1" x14ac:dyDescent="0.3"/>
  <cols>
    <col min="1" max="1" width="2.5" style="1" customWidth="1"/>
    <col min="2" max="2" width="28.58203125" style="1" customWidth="1"/>
    <col min="3" max="3" width="8.08203125" style="1" hidden="1" customWidth="1"/>
    <col min="4" max="16" width="10.58203125" style="1" customWidth="1"/>
    <col min="17" max="17" width="16.83203125" style="1" customWidth="1"/>
    <col min="18" max="16384" width="12.5" style="1"/>
  </cols>
  <sheetData>
    <row r="2" spans="1:10" ht="15.75" customHeight="1" x14ac:dyDescent="0.3">
      <c r="A2" s="2"/>
      <c r="B2" s="3" t="s">
        <v>45</v>
      </c>
      <c r="C2" s="3"/>
      <c r="D2" s="87"/>
      <c r="E2" s="88"/>
      <c r="F2" s="4"/>
      <c r="G2" s="4"/>
      <c r="H2" s="4"/>
      <c r="I2" s="4"/>
      <c r="J2" s="4"/>
    </row>
    <row r="3" spans="1:10" ht="15.75" customHeight="1" x14ac:dyDescent="0.3"/>
    <row r="4" spans="1:10" ht="15.75" customHeight="1" x14ac:dyDescent="0.3">
      <c r="B4" s="11" t="s">
        <v>59</v>
      </c>
      <c r="C4" s="11"/>
    </row>
    <row r="5" spans="1:10" ht="15.75" customHeight="1" x14ac:dyDescent="0.3">
      <c r="B5" s="1" t="s">
        <v>66</v>
      </c>
      <c r="D5" s="55">
        <f>Securities!C5</f>
        <v>23880000</v>
      </c>
      <c r="F5" s="1" t="s">
        <v>56</v>
      </c>
      <c r="H5" s="67">
        <f>Securities!D8</f>
        <v>0.94974874371859297</v>
      </c>
    </row>
    <row r="6" spans="1:10" ht="15.75" customHeight="1" x14ac:dyDescent="0.3">
      <c r="B6" s="1" t="s">
        <v>34</v>
      </c>
      <c r="D6" s="67">
        <f>Securities!C6</f>
        <v>0.62484472049689443</v>
      </c>
    </row>
    <row r="7" spans="1:10" ht="15.75" customHeight="1" x14ac:dyDescent="0.3">
      <c r="B7" s="1" t="s">
        <v>67</v>
      </c>
      <c r="D7" s="67">
        <f>Securities!D7</f>
        <v>0.12</v>
      </c>
    </row>
    <row r="8" spans="1:10" ht="15.75" customHeight="1" x14ac:dyDescent="0.3"/>
    <row r="9" spans="1:10" ht="15.75" hidden="1" customHeight="1" x14ac:dyDescent="0.3">
      <c r="B9" s="64" t="s">
        <v>60</v>
      </c>
      <c r="C9" s="64"/>
    </row>
    <row r="10" spans="1:10" ht="15.75" hidden="1" customHeight="1" x14ac:dyDescent="0.3">
      <c r="D10" s="56" t="s">
        <v>64</v>
      </c>
      <c r="E10" s="56" t="s">
        <v>65</v>
      </c>
    </row>
    <row r="11" spans="1:10" ht="15.75" hidden="1" customHeight="1" x14ac:dyDescent="0.3">
      <c r="B11" s="37" t="s">
        <v>68</v>
      </c>
      <c r="C11" s="37"/>
      <c r="D11" s="69">
        <f>-D5</f>
        <v>-23880000</v>
      </c>
      <c r="E11" s="69">
        <f>D5*(1+D7)</f>
        <v>26745600.000000004</v>
      </c>
    </row>
    <row r="12" spans="1:10" ht="15.75" hidden="1" customHeight="1" x14ac:dyDescent="0.3"/>
    <row r="13" spans="1:10" ht="15.75" hidden="1" customHeight="1" x14ac:dyDescent="0.3">
      <c r="B13" s="1" t="s">
        <v>3</v>
      </c>
      <c r="D13" s="68">
        <f>IRR(D11:E11)</f>
        <v>0.12000000000000033</v>
      </c>
    </row>
    <row r="14" spans="1:10" ht="15.65" hidden="1" customHeight="1" x14ac:dyDescent="0.3">
      <c r="B14" s="1" t="s">
        <v>75</v>
      </c>
      <c r="D14" s="74">
        <v>100</v>
      </c>
    </row>
    <row r="15" spans="1:10" ht="15.75" hidden="1" customHeight="1" x14ac:dyDescent="0.3"/>
    <row r="16" spans="1:10" ht="15.75" customHeight="1" x14ac:dyDescent="0.3">
      <c r="B16" s="64" t="s">
        <v>61</v>
      </c>
      <c r="C16" s="64"/>
    </row>
    <row r="17" spans="2:17" ht="15.75" customHeight="1" x14ac:dyDescent="0.3">
      <c r="B17" s="37"/>
      <c r="C17" s="70">
        <v>0</v>
      </c>
      <c r="D17" s="70">
        <v>1</v>
      </c>
      <c r="E17" s="70">
        <v>2</v>
      </c>
      <c r="F17" s="70">
        <v>3</v>
      </c>
      <c r="G17" s="70">
        <v>4</v>
      </c>
      <c r="H17" s="70">
        <v>5</v>
      </c>
      <c r="I17" s="70">
        <v>6</v>
      </c>
      <c r="J17" s="70">
        <v>7</v>
      </c>
      <c r="K17" s="70">
        <v>8</v>
      </c>
      <c r="L17" s="70">
        <v>9</v>
      </c>
      <c r="M17" s="70">
        <v>10</v>
      </c>
      <c r="N17" s="70">
        <v>11</v>
      </c>
      <c r="O17" s="70">
        <v>12</v>
      </c>
      <c r="P17" s="76"/>
    </row>
    <row r="18" spans="2:17" ht="15.65" customHeight="1" x14ac:dyDescent="0.3">
      <c r="B18" s="37" t="s">
        <v>78</v>
      </c>
      <c r="C18" s="71"/>
      <c r="D18" s="71">
        <f t="shared" ref="D18:O18" si="0">$D$7*100/12</f>
        <v>1</v>
      </c>
      <c r="E18" s="71">
        <f t="shared" si="0"/>
        <v>1</v>
      </c>
      <c r="F18" s="71">
        <f t="shared" si="0"/>
        <v>1</v>
      </c>
      <c r="G18" s="71">
        <f t="shared" si="0"/>
        <v>1</v>
      </c>
      <c r="H18" s="71">
        <f t="shared" si="0"/>
        <v>1</v>
      </c>
      <c r="I18" s="71">
        <f t="shared" si="0"/>
        <v>1</v>
      </c>
      <c r="J18" s="71">
        <f t="shared" si="0"/>
        <v>1</v>
      </c>
      <c r="K18" s="71">
        <f t="shared" si="0"/>
        <v>1</v>
      </c>
      <c r="L18" s="71">
        <f t="shared" si="0"/>
        <v>1</v>
      </c>
      <c r="M18" s="71">
        <f t="shared" si="0"/>
        <v>1</v>
      </c>
      <c r="N18" s="71">
        <f t="shared" si="0"/>
        <v>1</v>
      </c>
      <c r="O18" s="71">
        <f t="shared" si="0"/>
        <v>1</v>
      </c>
      <c r="P18" s="81"/>
    </row>
    <row r="19" spans="2:17" ht="15.65" customHeight="1" x14ac:dyDescent="0.3">
      <c r="B19" s="37" t="s">
        <v>73</v>
      </c>
      <c r="C19" s="37"/>
      <c r="D19" s="71">
        <v>0</v>
      </c>
      <c r="E19" s="71">
        <v>0</v>
      </c>
      <c r="F19" s="71">
        <v>0</v>
      </c>
      <c r="G19" s="71">
        <v>0</v>
      </c>
      <c r="H19" s="71">
        <v>0</v>
      </c>
      <c r="I19" s="71">
        <v>0</v>
      </c>
      <c r="J19" s="71">
        <v>0</v>
      </c>
      <c r="K19" s="71">
        <v>0</v>
      </c>
      <c r="L19" s="71">
        <v>0</v>
      </c>
      <c r="M19" s="71">
        <v>0</v>
      </c>
      <c r="N19" s="71">
        <v>0</v>
      </c>
      <c r="O19" s="71">
        <v>100</v>
      </c>
      <c r="P19" s="81"/>
    </row>
    <row r="20" spans="2:17" ht="15.75" customHeight="1" x14ac:dyDescent="0.3">
      <c r="B20" s="37" t="s">
        <v>82</v>
      </c>
      <c r="C20" s="37"/>
      <c r="D20" s="72">
        <v>100</v>
      </c>
      <c r="E20" s="72">
        <v>100</v>
      </c>
      <c r="F20" s="72">
        <v>100</v>
      </c>
      <c r="G20" s="72">
        <v>100</v>
      </c>
      <c r="H20" s="72">
        <v>100</v>
      </c>
      <c r="I20" s="72">
        <v>100</v>
      </c>
      <c r="J20" s="72">
        <v>100</v>
      </c>
      <c r="K20" s="72">
        <v>100</v>
      </c>
      <c r="L20" s="72">
        <v>100</v>
      </c>
      <c r="M20" s="72">
        <v>100</v>
      </c>
      <c r="N20" s="72">
        <v>100</v>
      </c>
      <c r="O20" s="72">
        <v>100</v>
      </c>
      <c r="P20" s="82"/>
    </row>
    <row r="21" spans="2:17" ht="15.65" customHeight="1" x14ac:dyDescent="0.3">
      <c r="B21" s="37" t="s">
        <v>83</v>
      </c>
      <c r="C21" s="37"/>
      <c r="D21" s="72">
        <f t="shared" ref="D21:O21" si="1">D20*$H$5</f>
        <v>94.9748743718593</v>
      </c>
      <c r="E21" s="72">
        <f t="shared" si="1"/>
        <v>94.9748743718593</v>
      </c>
      <c r="F21" s="72">
        <f t="shared" si="1"/>
        <v>94.9748743718593</v>
      </c>
      <c r="G21" s="72">
        <f t="shared" si="1"/>
        <v>94.9748743718593</v>
      </c>
      <c r="H21" s="72">
        <f t="shared" si="1"/>
        <v>94.9748743718593</v>
      </c>
      <c r="I21" s="72">
        <f t="shared" si="1"/>
        <v>94.9748743718593</v>
      </c>
      <c r="J21" s="72">
        <f t="shared" si="1"/>
        <v>94.9748743718593</v>
      </c>
      <c r="K21" s="72">
        <f t="shared" si="1"/>
        <v>94.9748743718593</v>
      </c>
      <c r="L21" s="72">
        <f t="shared" si="1"/>
        <v>94.9748743718593</v>
      </c>
      <c r="M21" s="72">
        <f t="shared" si="1"/>
        <v>94.9748743718593</v>
      </c>
      <c r="N21" s="72">
        <f t="shared" si="1"/>
        <v>94.9748743718593</v>
      </c>
      <c r="O21" s="72">
        <f t="shared" si="1"/>
        <v>94.9748743718593</v>
      </c>
      <c r="P21" s="82"/>
    </row>
    <row r="22" spans="2:17" ht="15.65" customHeight="1" x14ac:dyDescent="0.3">
      <c r="B22" s="37" t="s">
        <v>84</v>
      </c>
      <c r="C22" s="37"/>
      <c r="D22" s="73">
        <f t="shared" ref="D22:O22" si="2">D20-D21</f>
        <v>5.0251256281406995</v>
      </c>
      <c r="E22" s="73">
        <f t="shared" si="2"/>
        <v>5.0251256281406995</v>
      </c>
      <c r="F22" s="73">
        <f t="shared" si="2"/>
        <v>5.0251256281406995</v>
      </c>
      <c r="G22" s="73">
        <f t="shared" si="2"/>
        <v>5.0251256281406995</v>
      </c>
      <c r="H22" s="73">
        <f t="shared" si="2"/>
        <v>5.0251256281406995</v>
      </c>
      <c r="I22" s="73">
        <f t="shared" si="2"/>
        <v>5.0251256281406995</v>
      </c>
      <c r="J22" s="73">
        <f t="shared" si="2"/>
        <v>5.0251256281406995</v>
      </c>
      <c r="K22" s="73">
        <f t="shared" si="2"/>
        <v>5.0251256281406995</v>
      </c>
      <c r="L22" s="73">
        <f t="shared" si="2"/>
        <v>5.0251256281406995</v>
      </c>
      <c r="M22" s="73">
        <f t="shared" si="2"/>
        <v>5.0251256281406995</v>
      </c>
      <c r="N22" s="73">
        <f t="shared" si="2"/>
        <v>5.0251256281406995</v>
      </c>
      <c r="O22" s="73">
        <f t="shared" si="2"/>
        <v>5.0251256281406995</v>
      </c>
      <c r="P22" s="83"/>
    </row>
    <row r="23" spans="2:17" ht="15.75" customHeight="1" x14ac:dyDescent="0.3">
      <c r="B23" s="37" t="s">
        <v>92</v>
      </c>
      <c r="C23" s="37"/>
      <c r="D23" s="67">
        <f>$D$50</f>
        <v>5.6129999999999999E-2</v>
      </c>
      <c r="E23" s="67">
        <f t="shared" ref="E23:O23" si="3">D24*$D$50</f>
        <v>5.2979423099999999E-2</v>
      </c>
      <c r="F23" s="67">
        <f t="shared" si="3"/>
        <v>5.0005688081397E-2</v>
      </c>
      <c r="G23" s="67">
        <f t="shared" si="3"/>
        <v>4.7198868809388179E-2</v>
      </c>
      <c r="H23" s="67">
        <f t="shared" si="3"/>
        <v>4.4549596303117223E-2</v>
      </c>
      <c r="I23" s="67">
        <f t="shared" si="3"/>
        <v>4.2049027462623255E-2</v>
      </c>
      <c r="J23" s="67">
        <f t="shared" si="3"/>
        <v>3.9688815551146207E-2</v>
      </c>
      <c r="K23" s="67">
        <f t="shared" si="3"/>
        <v>3.7461082334260376E-2</v>
      </c>
      <c r="L23" s="67">
        <f t="shared" si="3"/>
        <v>3.5358391782838339E-2</v>
      </c>
      <c r="M23" s="67">
        <f t="shared" si="3"/>
        <v>3.3373725252067617E-2</v>
      </c>
      <c r="N23" s="67">
        <f t="shared" si="3"/>
        <v>3.1500458053669064E-2</v>
      </c>
      <c r="O23" s="67">
        <f t="shared" si="3"/>
        <v>2.9732337343116619E-2</v>
      </c>
      <c r="P23" s="84"/>
    </row>
    <row r="24" spans="2:17" ht="15.75" customHeight="1" x14ac:dyDescent="0.3">
      <c r="B24" s="37" t="s">
        <v>69</v>
      </c>
      <c r="C24" s="37"/>
      <c r="D24" s="67">
        <f>1-D23</f>
        <v>0.94386999999999999</v>
      </c>
      <c r="E24" s="67">
        <f>D24-E23</f>
        <v>0.89089057689999995</v>
      </c>
      <c r="F24" s="67">
        <f t="shared" ref="F24:O24" si="4">E24-F23</f>
        <v>0.8408848888186029</v>
      </c>
      <c r="G24" s="67">
        <f t="shared" si="4"/>
        <v>0.79368602000921473</v>
      </c>
      <c r="H24" s="67">
        <f t="shared" si="4"/>
        <v>0.74913642370609757</v>
      </c>
      <c r="I24" s="67">
        <f t="shared" si="4"/>
        <v>0.70708739624347428</v>
      </c>
      <c r="J24" s="67">
        <f t="shared" si="4"/>
        <v>0.66739858069232805</v>
      </c>
      <c r="K24" s="67">
        <f t="shared" si="4"/>
        <v>0.62993749835806767</v>
      </c>
      <c r="L24" s="67">
        <f t="shared" si="4"/>
        <v>0.59457910657522928</v>
      </c>
      <c r="M24" s="67">
        <f t="shared" si="4"/>
        <v>0.56120538132316167</v>
      </c>
      <c r="N24" s="67">
        <f t="shared" si="4"/>
        <v>0.52970492326949259</v>
      </c>
      <c r="O24" s="67">
        <f t="shared" si="4"/>
        <v>0.49997258592637595</v>
      </c>
      <c r="P24" s="84"/>
      <c r="Q24" s="24"/>
    </row>
    <row r="25" spans="2:17" ht="15.75" hidden="1" customHeight="1" x14ac:dyDescent="0.3">
      <c r="B25" s="37" t="s">
        <v>70</v>
      </c>
      <c r="C25" s="37"/>
      <c r="D25" s="71">
        <f>D22*D23</f>
        <v>0.28206030150753747</v>
      </c>
      <c r="E25" s="71">
        <f t="shared" ref="E25:O25" si="5">E22*E23</f>
        <v>0.26622825678391937</v>
      </c>
      <c r="F25" s="71">
        <f t="shared" si="5"/>
        <v>0.25128486473063799</v>
      </c>
      <c r="G25" s="71">
        <f t="shared" si="5"/>
        <v>0.23718024527330725</v>
      </c>
      <c r="H25" s="71">
        <f t="shared" si="5"/>
        <v>0.22386731810611651</v>
      </c>
      <c r="I25" s="71">
        <f t="shared" si="5"/>
        <v>0.2113016455408202</v>
      </c>
      <c r="J25" s="71">
        <f t="shared" si="5"/>
        <v>0.19944128417661394</v>
      </c>
      <c r="K25" s="71">
        <f t="shared" si="5"/>
        <v>0.18824664489578063</v>
      </c>
      <c r="L25" s="71">
        <f t="shared" si="5"/>
        <v>0.17768036071778046</v>
      </c>
      <c r="M25" s="71">
        <f t="shared" si="5"/>
        <v>0.16770716207069142</v>
      </c>
      <c r="N25" s="71">
        <f t="shared" si="5"/>
        <v>0.15829375906366352</v>
      </c>
      <c r="O25" s="71">
        <f t="shared" si="5"/>
        <v>0.14940873036742008</v>
      </c>
      <c r="P25" s="81"/>
    </row>
    <row r="26" spans="2:17" ht="15.75" hidden="1" customHeight="1" x14ac:dyDescent="0.3">
      <c r="B26" s="37" t="s">
        <v>71</v>
      </c>
      <c r="C26" s="37"/>
      <c r="D26" s="67">
        <f>1/((1+Dashboard!$D$9/12)^D17)</f>
        <v>0.99552384273796135</v>
      </c>
      <c r="E26" s="67">
        <f>1/((1+Dashboard!$D$9/12)^E17)</f>
        <v>0.99106772145975719</v>
      </c>
      <c r="F26" s="67">
        <f>1/((1+Dashboard!$D$9/12)^F17)</f>
        <v>0.98663154648117291</v>
      </c>
      <c r="G26" s="67">
        <f>1/((1+Dashboard!$D$9/12)^G17)</f>
        <v>0.98221522851943488</v>
      </c>
      <c r="H26" s="67">
        <f>1/((1+Dashboard!$D$9/12)^H17)</f>
        <v>0.9778186786914127</v>
      </c>
      <c r="I26" s="67">
        <f>1/((1+Dashboard!$D$9/12)^I17)</f>
        <v>0.97344180851183104</v>
      </c>
      <c r="J26" s="67">
        <f>1/((1+Dashboard!$D$9/12)^J17)</f>
        <v>0.96908452989148874</v>
      </c>
      <c r="K26" s="67">
        <f>1/((1+Dashboard!$D$9/12)^K17)</f>
        <v>0.9647467551354858</v>
      </c>
      <c r="L26" s="67">
        <f>1/((1+Dashboard!$D$9/12)^L17)</f>
        <v>0.96042839694145798</v>
      </c>
      <c r="M26" s="67">
        <f>1/((1+Dashboard!$D$9/12)^M17)</f>
        <v>0.95612936839782037</v>
      </c>
      <c r="N26" s="67">
        <f>1/((1+Dashboard!$D$9/12)^N17)</f>
        <v>0.95184958298201783</v>
      </c>
      <c r="O26" s="67">
        <f>1/((1+Dashboard!$D$9/12)^O17)</f>
        <v>0.94758895455878456</v>
      </c>
      <c r="P26" s="84"/>
      <c r="Q26" s="75" t="s">
        <v>76</v>
      </c>
    </row>
    <row r="27" spans="2:17" ht="15.75" hidden="1" customHeight="1" x14ac:dyDescent="0.3">
      <c r="B27" s="37" t="s">
        <v>72</v>
      </c>
      <c r="C27" s="37"/>
      <c r="D27" s="71">
        <f>D25*D26</f>
        <v>0.28079775524061168</v>
      </c>
      <c r="E27" s="71">
        <f t="shared" ref="E27:O27" si="6">E25*E26</f>
        <v>0.2638502318390421</v>
      </c>
      <c r="F27" s="71">
        <f t="shared" si="6"/>
        <v>0.2479255746965017</v>
      </c>
      <c r="G27" s="71">
        <f t="shared" si="6"/>
        <v>0.23296204881141711</v>
      </c>
      <c r="H27" s="71">
        <f t="shared" si="6"/>
        <v>0.21890164519271302</v>
      </c>
      <c r="I27" s="71">
        <f t="shared" si="6"/>
        <v>0.20568985597678191</v>
      </c>
      <c r="J27" s="71">
        <f t="shared" si="6"/>
        <v>0.19327546311724875</v>
      </c>
      <c r="K27" s="71">
        <f t="shared" si="6"/>
        <v>0.18161033982834643</v>
      </c>
      <c r="L27" s="71">
        <f t="shared" si="6"/>
        <v>0.17064926401215788</v>
      </c>
      <c r="M27" s="71">
        <f t="shared" si="6"/>
        <v>0.16034974294644108</v>
      </c>
      <c r="N27" s="71">
        <f t="shared" si="6"/>
        <v>0.15067184855340413</v>
      </c>
      <c r="O27" s="71">
        <f t="shared" si="6"/>
        <v>0.14157806261081893</v>
      </c>
      <c r="P27" s="71"/>
      <c r="Q27" s="71">
        <f>SUM(D27:O27)</f>
        <v>2.4482618328254842</v>
      </c>
    </row>
    <row r="28" spans="2:17" ht="15.75" customHeight="1" x14ac:dyDescent="0.3"/>
    <row r="29" spans="2:17" ht="15.75" customHeight="1" x14ac:dyDescent="0.3">
      <c r="B29" s="64" t="s">
        <v>77</v>
      </c>
      <c r="C29" s="64"/>
    </row>
    <row r="30" spans="2:17" ht="15.75" customHeight="1" x14ac:dyDescent="0.3">
      <c r="B30" s="37" t="s">
        <v>79</v>
      </c>
      <c r="C30" s="70">
        <v>0</v>
      </c>
      <c r="D30" s="70">
        <v>1</v>
      </c>
      <c r="E30" s="70">
        <v>2</v>
      </c>
      <c r="F30" s="70">
        <v>3</v>
      </c>
      <c r="G30" s="70">
        <v>4</v>
      </c>
      <c r="H30" s="70">
        <v>5</v>
      </c>
      <c r="I30" s="70">
        <v>6</v>
      </c>
      <c r="J30" s="70">
        <v>7</v>
      </c>
      <c r="K30" s="70">
        <v>8</v>
      </c>
      <c r="L30" s="70">
        <v>9</v>
      </c>
      <c r="M30" s="70">
        <v>10</v>
      </c>
      <c r="N30" s="70">
        <v>11</v>
      </c>
      <c r="O30" s="70">
        <v>12</v>
      </c>
      <c r="P30" s="76"/>
      <c r="Q30" s="32"/>
    </row>
    <row r="31" spans="2:17" ht="15.75" customHeight="1" x14ac:dyDescent="0.3">
      <c r="B31" s="56" t="s">
        <v>80</v>
      </c>
      <c r="C31" s="77">
        <f t="shared" ref="C31:C43" si="7">-$D$14+$C$18</f>
        <v>-100</v>
      </c>
      <c r="D31" s="77">
        <f>D21+D18</f>
        <v>95.9748743718593</v>
      </c>
      <c r="E31" s="77"/>
      <c r="F31" s="77"/>
      <c r="G31" s="77"/>
      <c r="H31" s="77"/>
      <c r="I31" s="77"/>
      <c r="J31" s="77"/>
      <c r="K31" s="77"/>
      <c r="L31" s="77"/>
      <c r="M31" s="77"/>
      <c r="N31" s="77"/>
    </row>
    <row r="32" spans="2:17" ht="15.75" customHeight="1" x14ac:dyDescent="0.3">
      <c r="B32" s="70">
        <v>2</v>
      </c>
      <c r="C32" s="77">
        <f t="shared" si="7"/>
        <v>-100</v>
      </c>
      <c r="D32" s="77">
        <f t="shared" ref="D32:D43" si="8">$D$18</f>
        <v>1</v>
      </c>
      <c r="E32" s="77">
        <f>E21+E18</f>
        <v>95.9748743718593</v>
      </c>
      <c r="F32" s="77"/>
      <c r="G32" s="77"/>
      <c r="H32" s="77"/>
      <c r="I32" s="77"/>
      <c r="J32" s="77"/>
      <c r="K32" s="77"/>
      <c r="L32" s="77"/>
      <c r="M32" s="77"/>
      <c r="N32" s="77"/>
      <c r="O32" s="77"/>
      <c r="P32" s="77"/>
    </row>
    <row r="33" spans="2:17" ht="15.75" customHeight="1" x14ac:dyDescent="0.3">
      <c r="B33" s="70">
        <v>3</v>
      </c>
      <c r="C33" s="77">
        <f t="shared" si="7"/>
        <v>-100</v>
      </c>
      <c r="D33" s="77">
        <f t="shared" si="8"/>
        <v>1</v>
      </c>
      <c r="E33" s="77">
        <f t="shared" ref="E33:E43" si="9">$E$18</f>
        <v>1</v>
      </c>
      <c r="F33" s="77">
        <f>F21+F18</f>
        <v>95.9748743718593</v>
      </c>
      <c r="G33" s="77"/>
      <c r="H33" s="77"/>
      <c r="I33" s="77"/>
      <c r="J33" s="77"/>
      <c r="K33" s="77"/>
      <c r="L33" s="77"/>
      <c r="M33" s="77"/>
      <c r="N33" s="77"/>
      <c r="O33" s="77"/>
      <c r="P33" s="77"/>
    </row>
    <row r="34" spans="2:17" ht="15.75" customHeight="1" x14ac:dyDescent="0.3">
      <c r="B34" s="70">
        <v>4</v>
      </c>
      <c r="C34" s="77">
        <f t="shared" si="7"/>
        <v>-100</v>
      </c>
      <c r="D34" s="77">
        <f t="shared" si="8"/>
        <v>1</v>
      </c>
      <c r="E34" s="77">
        <f t="shared" si="9"/>
        <v>1</v>
      </c>
      <c r="F34" s="77">
        <f t="shared" ref="F34:F43" si="10">$F$18</f>
        <v>1</v>
      </c>
      <c r="G34" s="77">
        <f>G21+G18</f>
        <v>95.9748743718593</v>
      </c>
      <c r="H34" s="77"/>
      <c r="I34" s="77"/>
      <c r="J34" s="77"/>
      <c r="K34" s="77"/>
      <c r="L34" s="77"/>
      <c r="M34" s="77"/>
      <c r="N34" s="77"/>
      <c r="O34" s="77"/>
      <c r="P34" s="77"/>
    </row>
    <row r="35" spans="2:17" ht="15.75" customHeight="1" x14ac:dyDescent="0.3">
      <c r="B35" s="70">
        <v>5</v>
      </c>
      <c r="C35" s="77">
        <f t="shared" si="7"/>
        <v>-100</v>
      </c>
      <c r="D35" s="77">
        <f t="shared" si="8"/>
        <v>1</v>
      </c>
      <c r="E35" s="77">
        <f t="shared" si="9"/>
        <v>1</v>
      </c>
      <c r="F35" s="77">
        <f t="shared" si="10"/>
        <v>1</v>
      </c>
      <c r="G35" s="77">
        <f t="shared" ref="G35:G43" si="11">$F$18</f>
        <v>1</v>
      </c>
      <c r="H35" s="77">
        <f>H21+H18</f>
        <v>95.9748743718593</v>
      </c>
      <c r="I35" s="77"/>
      <c r="J35" s="77"/>
      <c r="K35" s="77"/>
      <c r="L35" s="77"/>
      <c r="M35" s="77"/>
      <c r="N35" s="77"/>
      <c r="O35" s="77"/>
      <c r="P35" s="77"/>
    </row>
    <row r="36" spans="2:17" ht="15.75" customHeight="1" x14ac:dyDescent="0.3">
      <c r="B36" s="70">
        <v>6</v>
      </c>
      <c r="C36" s="77">
        <f t="shared" si="7"/>
        <v>-100</v>
      </c>
      <c r="D36" s="77">
        <f t="shared" si="8"/>
        <v>1</v>
      </c>
      <c r="E36" s="77">
        <f t="shared" si="9"/>
        <v>1</v>
      </c>
      <c r="F36" s="77">
        <f t="shared" si="10"/>
        <v>1</v>
      </c>
      <c r="G36" s="77">
        <f t="shared" si="11"/>
        <v>1</v>
      </c>
      <c r="H36" s="77">
        <f t="shared" ref="H36:H43" si="12">$F$18</f>
        <v>1</v>
      </c>
      <c r="I36" s="77">
        <f>I21+I18</f>
        <v>95.9748743718593</v>
      </c>
      <c r="J36" s="77"/>
      <c r="K36" s="77"/>
      <c r="L36" s="77"/>
      <c r="M36" s="77"/>
      <c r="N36" s="77"/>
      <c r="O36" s="77"/>
      <c r="P36" s="77"/>
    </row>
    <row r="37" spans="2:17" ht="15.75" customHeight="1" x14ac:dyDescent="0.3">
      <c r="B37" s="70">
        <v>7</v>
      </c>
      <c r="C37" s="77">
        <f t="shared" si="7"/>
        <v>-100</v>
      </c>
      <c r="D37" s="77">
        <f t="shared" si="8"/>
        <v>1</v>
      </c>
      <c r="E37" s="77">
        <f t="shared" si="9"/>
        <v>1</v>
      </c>
      <c r="F37" s="77">
        <f t="shared" si="10"/>
        <v>1</v>
      </c>
      <c r="G37" s="77">
        <f t="shared" si="11"/>
        <v>1</v>
      </c>
      <c r="H37" s="77">
        <f t="shared" si="12"/>
        <v>1</v>
      </c>
      <c r="I37" s="77">
        <f t="shared" ref="I37:I43" si="13">$F$18</f>
        <v>1</v>
      </c>
      <c r="J37" s="77">
        <f>J21+J18</f>
        <v>95.9748743718593</v>
      </c>
      <c r="K37" s="77"/>
      <c r="L37" s="77"/>
      <c r="M37" s="77"/>
      <c r="N37" s="77"/>
      <c r="O37" s="77"/>
      <c r="P37" s="77"/>
    </row>
    <row r="38" spans="2:17" ht="15.75" customHeight="1" x14ac:dyDescent="0.3">
      <c r="B38" s="70">
        <v>8</v>
      </c>
      <c r="C38" s="77">
        <f t="shared" si="7"/>
        <v>-100</v>
      </c>
      <c r="D38" s="77">
        <f t="shared" si="8"/>
        <v>1</v>
      </c>
      <c r="E38" s="77">
        <f t="shared" si="9"/>
        <v>1</v>
      </c>
      <c r="F38" s="77">
        <f t="shared" si="10"/>
        <v>1</v>
      </c>
      <c r="G38" s="77">
        <f t="shared" si="11"/>
        <v>1</v>
      </c>
      <c r="H38" s="77">
        <f t="shared" si="12"/>
        <v>1</v>
      </c>
      <c r="I38" s="77">
        <f t="shared" si="13"/>
        <v>1</v>
      </c>
      <c r="J38" s="77">
        <f t="shared" ref="J38:J43" si="14">$F$18</f>
        <v>1</v>
      </c>
      <c r="K38" s="77">
        <f>K21+K18</f>
        <v>95.9748743718593</v>
      </c>
      <c r="L38" s="77"/>
      <c r="M38" s="77"/>
      <c r="N38" s="77"/>
      <c r="O38" s="77"/>
      <c r="P38" s="77"/>
    </row>
    <row r="39" spans="2:17" ht="15.75" customHeight="1" x14ac:dyDescent="0.3">
      <c r="B39" s="70">
        <v>9</v>
      </c>
      <c r="C39" s="77">
        <f t="shared" si="7"/>
        <v>-100</v>
      </c>
      <c r="D39" s="77">
        <f t="shared" si="8"/>
        <v>1</v>
      </c>
      <c r="E39" s="77">
        <f t="shared" si="9"/>
        <v>1</v>
      </c>
      <c r="F39" s="77">
        <f t="shared" si="10"/>
        <v>1</v>
      </c>
      <c r="G39" s="77">
        <f t="shared" si="11"/>
        <v>1</v>
      </c>
      <c r="H39" s="77">
        <f t="shared" si="12"/>
        <v>1</v>
      </c>
      <c r="I39" s="77">
        <f t="shared" si="13"/>
        <v>1</v>
      </c>
      <c r="J39" s="77">
        <f t="shared" si="14"/>
        <v>1</v>
      </c>
      <c r="K39" s="77">
        <f>$F$18</f>
        <v>1</v>
      </c>
      <c r="L39" s="77">
        <f>L21+L18</f>
        <v>95.9748743718593</v>
      </c>
      <c r="M39" s="77"/>
      <c r="N39" s="77"/>
      <c r="O39" s="77"/>
      <c r="P39" s="77"/>
    </row>
    <row r="40" spans="2:17" ht="15.75" customHeight="1" x14ac:dyDescent="0.3">
      <c r="B40" s="70">
        <v>10</v>
      </c>
      <c r="C40" s="77">
        <f t="shared" si="7"/>
        <v>-100</v>
      </c>
      <c r="D40" s="77">
        <f t="shared" si="8"/>
        <v>1</v>
      </c>
      <c r="E40" s="77">
        <f t="shared" si="9"/>
        <v>1</v>
      </c>
      <c r="F40" s="77">
        <f t="shared" si="10"/>
        <v>1</v>
      </c>
      <c r="G40" s="77">
        <f t="shared" si="11"/>
        <v>1</v>
      </c>
      <c r="H40" s="77">
        <f t="shared" si="12"/>
        <v>1</v>
      </c>
      <c r="I40" s="77">
        <f t="shared" si="13"/>
        <v>1</v>
      </c>
      <c r="J40" s="77">
        <f t="shared" si="14"/>
        <v>1</v>
      </c>
      <c r="K40" s="77">
        <f>$F$18</f>
        <v>1</v>
      </c>
      <c r="L40" s="77">
        <f>$F$18</f>
        <v>1</v>
      </c>
      <c r="M40" s="77">
        <f>M21+M18</f>
        <v>95.9748743718593</v>
      </c>
      <c r="N40" s="77"/>
      <c r="O40" s="77"/>
      <c r="P40" s="77"/>
    </row>
    <row r="41" spans="2:17" ht="15.75" customHeight="1" x14ac:dyDescent="0.3">
      <c r="B41" s="70">
        <v>11</v>
      </c>
      <c r="C41" s="77">
        <f t="shared" si="7"/>
        <v>-100</v>
      </c>
      <c r="D41" s="77">
        <f t="shared" si="8"/>
        <v>1</v>
      </c>
      <c r="E41" s="77">
        <f t="shared" si="9"/>
        <v>1</v>
      </c>
      <c r="F41" s="77">
        <f t="shared" si="10"/>
        <v>1</v>
      </c>
      <c r="G41" s="77">
        <f t="shared" si="11"/>
        <v>1</v>
      </c>
      <c r="H41" s="77">
        <f t="shared" si="12"/>
        <v>1</v>
      </c>
      <c r="I41" s="77">
        <f t="shared" si="13"/>
        <v>1</v>
      </c>
      <c r="J41" s="77">
        <f t="shared" si="14"/>
        <v>1</v>
      </c>
      <c r="K41" s="77">
        <f>$F$18</f>
        <v>1</v>
      </c>
      <c r="L41" s="77">
        <f>$F$18</f>
        <v>1</v>
      </c>
      <c r="M41" s="77">
        <f>$F$18</f>
        <v>1</v>
      </c>
      <c r="N41" s="77">
        <f>N21+N18</f>
        <v>95.9748743718593</v>
      </c>
      <c r="O41" s="77"/>
      <c r="P41" s="77"/>
    </row>
    <row r="42" spans="2:17" ht="15.75" customHeight="1" x14ac:dyDescent="0.3">
      <c r="B42" s="70">
        <v>12</v>
      </c>
      <c r="C42" s="77">
        <f t="shared" si="7"/>
        <v>-100</v>
      </c>
      <c r="D42" s="77">
        <f t="shared" si="8"/>
        <v>1</v>
      </c>
      <c r="E42" s="77">
        <f t="shared" si="9"/>
        <v>1</v>
      </c>
      <c r="F42" s="77">
        <f t="shared" si="10"/>
        <v>1</v>
      </c>
      <c r="G42" s="77">
        <f t="shared" si="11"/>
        <v>1</v>
      </c>
      <c r="H42" s="77">
        <f t="shared" si="12"/>
        <v>1</v>
      </c>
      <c r="I42" s="77">
        <f t="shared" si="13"/>
        <v>1</v>
      </c>
      <c r="J42" s="77">
        <f t="shared" si="14"/>
        <v>1</v>
      </c>
      <c r="K42" s="77">
        <f>$F$18</f>
        <v>1</v>
      </c>
      <c r="L42" s="77">
        <f>$F$18</f>
        <v>1</v>
      </c>
      <c r="M42" s="77">
        <f>$F$18</f>
        <v>1</v>
      </c>
      <c r="N42" s="77">
        <f>$F$18</f>
        <v>1</v>
      </c>
      <c r="O42" s="77">
        <f>O21+O18</f>
        <v>95.9748743718593</v>
      </c>
      <c r="P42" s="77"/>
    </row>
    <row r="43" spans="2:17" ht="15.75" customHeight="1" x14ac:dyDescent="0.3">
      <c r="B43" s="56" t="s">
        <v>85</v>
      </c>
      <c r="C43" s="77">
        <f t="shared" si="7"/>
        <v>-100</v>
      </c>
      <c r="D43" s="77">
        <f t="shared" si="8"/>
        <v>1</v>
      </c>
      <c r="E43" s="77">
        <f t="shared" si="9"/>
        <v>1</v>
      </c>
      <c r="F43" s="77">
        <f t="shared" si="10"/>
        <v>1</v>
      </c>
      <c r="G43" s="77">
        <f t="shared" si="11"/>
        <v>1</v>
      </c>
      <c r="H43" s="77">
        <f t="shared" si="12"/>
        <v>1</v>
      </c>
      <c r="I43" s="77">
        <f t="shared" si="13"/>
        <v>1</v>
      </c>
      <c r="J43" s="77">
        <f t="shared" si="14"/>
        <v>1</v>
      </c>
      <c r="K43" s="77">
        <f>$F$18</f>
        <v>1</v>
      </c>
      <c r="L43" s="77">
        <f>$F$18</f>
        <v>1</v>
      </c>
      <c r="M43" s="77">
        <f>$F$18</f>
        <v>1</v>
      </c>
      <c r="N43" s="77">
        <f>$F$18</f>
        <v>1</v>
      </c>
      <c r="O43" s="77">
        <f>100+O18</f>
        <v>101</v>
      </c>
      <c r="P43" s="77"/>
    </row>
    <row r="44" spans="2:17" ht="15.75" customHeight="1" x14ac:dyDescent="0.3">
      <c r="B44" s="76"/>
      <c r="C44" s="76"/>
    </row>
    <row r="45" spans="2:17" ht="15.75" customHeight="1" x14ac:dyDescent="0.3">
      <c r="B45" s="37" t="s">
        <v>81</v>
      </c>
      <c r="C45" s="78"/>
      <c r="D45" s="70">
        <v>1</v>
      </c>
      <c r="E45" s="70">
        <v>2</v>
      </c>
      <c r="F45" s="70">
        <v>3</v>
      </c>
      <c r="G45" s="70">
        <v>4</v>
      </c>
      <c r="H45" s="70">
        <v>5</v>
      </c>
      <c r="I45" s="70">
        <v>6</v>
      </c>
      <c r="J45" s="70">
        <v>7</v>
      </c>
      <c r="K45" s="70">
        <v>8</v>
      </c>
      <c r="L45" s="70">
        <v>9</v>
      </c>
      <c r="M45" s="70">
        <v>10</v>
      </c>
      <c r="N45" s="70">
        <v>11</v>
      </c>
      <c r="O45" s="70">
        <v>12</v>
      </c>
      <c r="Q45" s="56" t="s">
        <v>90</v>
      </c>
    </row>
    <row r="46" spans="2:17" ht="15.5" customHeight="1" x14ac:dyDescent="0.3">
      <c r="B46" s="32" t="s">
        <v>89</v>
      </c>
      <c r="C46" s="78"/>
      <c r="D46" s="67">
        <f>C31/D31+1</f>
        <v>-4.1939368553327361E-2</v>
      </c>
      <c r="E46" s="67">
        <f>IRR($C$32:E32)</f>
        <v>-1.531957061570699E-2</v>
      </c>
      <c r="F46" s="67">
        <f>IRR($C$33:F33)</f>
        <v>-6.8659546112914693E-3</v>
      </c>
      <c r="G46" s="67">
        <f>IRR($C34:G$34)</f>
        <v>-2.6121452019300939E-3</v>
      </c>
      <c r="H46" s="67">
        <f>IRR($C$35:H35)</f>
        <v>-5.1282105228200869E-5</v>
      </c>
      <c r="I46" s="67">
        <f>IRR($C$36:I36)</f>
        <v>1.6594694152978207E-3</v>
      </c>
      <c r="J46" s="67">
        <f>IRR($C$37:J37)</f>
        <v>2.8831019754969045E-3</v>
      </c>
      <c r="K46" s="67">
        <f>IRR($C$38:K38)</f>
        <v>3.8016972852410458E-3</v>
      </c>
      <c r="L46" s="67">
        <f>IRR($C$39:L39)</f>
        <v>4.5166436865142767E-3</v>
      </c>
      <c r="M46" s="67">
        <f>IRR($C$40:M40)</f>
        <v>5.0888786803384711E-3</v>
      </c>
      <c r="N46" s="67">
        <f>IRR($C$41:N41)</f>
        <v>5.5572325605750539E-3</v>
      </c>
      <c r="O46" s="67">
        <f>IRR($C$42:O42)</f>
        <v>5.9476199828485399E-3</v>
      </c>
      <c r="Q46" s="67">
        <f>IRR($C$43:O43)</f>
        <v>1.0000000000000231E-2</v>
      </c>
    </row>
    <row r="47" spans="2:17" ht="15.75" customHeight="1" x14ac:dyDescent="0.3">
      <c r="B47" s="76" t="s">
        <v>91</v>
      </c>
      <c r="C47" s="76"/>
      <c r="D47" s="49">
        <f>D46*D45</f>
        <v>-4.1939368553327361E-2</v>
      </c>
      <c r="E47" s="49">
        <f t="shared" ref="E47:O47" si="15">E46*E45</f>
        <v>-3.063914123141398E-2</v>
      </c>
      <c r="F47" s="49">
        <f t="shared" si="15"/>
        <v>-2.0597863833874408E-2</v>
      </c>
      <c r="G47" s="49">
        <f t="shared" si="15"/>
        <v>-1.0448580807720376E-2</v>
      </c>
      <c r="H47" s="49">
        <f t="shared" si="15"/>
        <v>-2.5641052614100435E-4</v>
      </c>
      <c r="I47" s="49">
        <f t="shared" si="15"/>
        <v>9.956816491786924E-3</v>
      </c>
      <c r="J47" s="49">
        <f t="shared" si="15"/>
        <v>2.0181713828478332E-2</v>
      </c>
      <c r="K47" s="49">
        <f t="shared" si="15"/>
        <v>3.0413578281928366E-2</v>
      </c>
      <c r="L47" s="49">
        <f t="shared" si="15"/>
        <v>4.0649793178628491E-2</v>
      </c>
      <c r="M47" s="49">
        <f t="shared" si="15"/>
        <v>5.0888786803384711E-2</v>
      </c>
      <c r="N47" s="49">
        <f t="shared" si="15"/>
        <v>6.1129558166325593E-2</v>
      </c>
      <c r="O47" s="49">
        <f t="shared" si="15"/>
        <v>7.1371439794182479E-2</v>
      </c>
      <c r="Q47" s="67">
        <f t="shared" ref="Q47" si="16">Q46*12</f>
        <v>0.12000000000000277</v>
      </c>
    </row>
    <row r="48" spans="2:17" ht="15.75" customHeight="1" x14ac:dyDescent="0.3"/>
    <row r="49" spans="2:17" ht="15.75" customHeight="1" x14ac:dyDescent="0.3">
      <c r="B49" s="64" t="s">
        <v>15</v>
      </c>
    </row>
    <row r="50" spans="2:17" ht="15.75" customHeight="1" x14ac:dyDescent="0.3">
      <c r="B50" s="1" t="s">
        <v>58</v>
      </c>
      <c r="D50" s="68">
        <v>5.6129999999999999E-2</v>
      </c>
      <c r="E50" s="85" t="s">
        <v>74</v>
      </c>
    </row>
    <row r="51" spans="2:17" ht="15.75" customHeight="1" x14ac:dyDescent="0.3">
      <c r="B51" s="1" t="s">
        <v>93</v>
      </c>
      <c r="C51" s="76"/>
      <c r="D51" s="138">
        <f>SUM(D23:O23)</f>
        <v>0.50002741407362383</v>
      </c>
      <c r="E51" s="138"/>
      <c r="F51" s="77"/>
      <c r="G51" s="76"/>
      <c r="H51" s="76"/>
      <c r="I51" s="76"/>
      <c r="J51" s="76"/>
      <c r="K51" s="76"/>
      <c r="L51" s="76"/>
      <c r="M51" s="76"/>
      <c r="N51" s="77"/>
      <c r="O51" s="77"/>
      <c r="P51" s="84"/>
      <c r="Q51" s="77"/>
    </row>
    <row r="52" spans="2:17" ht="15.75" customHeight="1" x14ac:dyDescent="0.3">
      <c r="B52" s="1" t="s">
        <v>57</v>
      </c>
      <c r="D52" s="139">
        <f>(1-H5)*D50</f>
        <v>2.8206030150753768E-3</v>
      </c>
      <c r="E52" s="139"/>
    </row>
    <row r="53" spans="2:17" ht="15.75" customHeight="1" x14ac:dyDescent="0.3"/>
    <row r="54" spans="2:17" ht="15.75" customHeight="1" x14ac:dyDescent="0.3">
      <c r="B54" s="32" t="s">
        <v>95</v>
      </c>
      <c r="C54" s="76"/>
      <c r="D54" s="67">
        <f t="shared" ref="D54:O54" si="17">D23*D47</f>
        <v>-2.3540567568982648E-3</v>
      </c>
      <c r="E54" s="67">
        <f t="shared" si="17"/>
        <v>-1.6232440267197363E-3</v>
      </c>
      <c r="F54" s="67">
        <f t="shared" si="17"/>
        <v>-1.0300103540198118E-3</v>
      </c>
      <c r="G54" s="67">
        <f t="shared" si="17"/>
        <v>-4.9316119478788514E-4</v>
      </c>
      <c r="H54" s="67">
        <f t="shared" si="17"/>
        <v>-1.1422985427451629E-5</v>
      </c>
      <c r="I54" s="67">
        <f t="shared" si="17"/>
        <v>4.186744501034485E-4</v>
      </c>
      <c r="J54" s="67">
        <f t="shared" si="17"/>
        <v>8.0098831764449326E-4</v>
      </c>
      <c r="K54" s="67">
        <f t="shared" si="17"/>
        <v>1.1393255600987918E-3</v>
      </c>
      <c r="L54" s="67">
        <f t="shared" si="17"/>
        <v>1.4373113131012955E-3</v>
      </c>
      <c r="M54" s="67">
        <f t="shared" si="17"/>
        <v>1.6983483891872056E-3</v>
      </c>
      <c r="N54" s="67">
        <f t="shared" si="17"/>
        <v>1.9256090828576626E-3</v>
      </c>
      <c r="O54" s="67">
        <f t="shared" si="17"/>
        <v>2.1220397246245713E-3</v>
      </c>
      <c r="Q54" s="67">
        <f>O24*Q47</f>
        <v>5.9996710311166497E-2</v>
      </c>
    </row>
    <row r="55" spans="2:17" ht="15.75" customHeight="1" x14ac:dyDescent="0.3">
      <c r="B55" s="32" t="s">
        <v>94</v>
      </c>
      <c r="C55" s="76"/>
      <c r="D55" s="79">
        <f>SUM(D54:Q54)</f>
        <v>6.4027111830930822E-2</v>
      </c>
      <c r="E55" s="76"/>
      <c r="F55" s="76"/>
      <c r="G55" s="76"/>
      <c r="H55" s="76"/>
      <c r="I55" s="76"/>
      <c r="J55" s="76"/>
      <c r="K55" s="76"/>
      <c r="L55" s="76"/>
      <c r="M55" s="76"/>
      <c r="N55" s="77"/>
      <c r="O55" s="77"/>
      <c r="P55" s="76"/>
      <c r="Q55" s="77"/>
    </row>
    <row r="56" spans="2:17" ht="15.75" customHeight="1" x14ac:dyDescent="0.3">
      <c r="B56" s="32"/>
      <c r="C56" s="76"/>
      <c r="D56" s="76"/>
      <c r="E56" s="76"/>
      <c r="F56" s="76"/>
      <c r="G56" s="76"/>
      <c r="H56" s="76"/>
      <c r="I56" s="76"/>
      <c r="J56" s="76"/>
      <c r="K56" s="76"/>
      <c r="L56" s="76"/>
      <c r="M56" s="76"/>
      <c r="N56" s="77"/>
      <c r="O56" s="77"/>
      <c r="P56" s="77"/>
      <c r="Q56" s="77"/>
    </row>
    <row r="57" spans="2:17" ht="15.75" customHeight="1" x14ac:dyDescent="0.3">
      <c r="B57" s="32"/>
      <c r="C57" s="76"/>
      <c r="D57" s="76"/>
      <c r="E57" s="76"/>
      <c r="F57" s="76"/>
      <c r="G57" s="76"/>
      <c r="H57" s="76"/>
      <c r="I57" s="76"/>
      <c r="J57" s="76"/>
      <c r="K57" s="76"/>
      <c r="L57" s="76"/>
      <c r="M57" s="76"/>
      <c r="N57" s="77"/>
      <c r="O57" s="77"/>
      <c r="P57" s="77"/>
      <c r="Q57" s="77"/>
    </row>
    <row r="58" spans="2:17" ht="15.75" customHeight="1" x14ac:dyDescent="0.3">
      <c r="B58" s="32"/>
      <c r="C58" s="76"/>
      <c r="D58" s="76"/>
      <c r="E58" s="76"/>
      <c r="F58" s="76"/>
      <c r="G58" s="76"/>
      <c r="H58" s="76"/>
      <c r="I58" s="76"/>
      <c r="J58" s="76"/>
      <c r="K58" s="76"/>
      <c r="L58" s="76"/>
      <c r="M58" s="76"/>
      <c r="N58" s="77"/>
      <c r="O58" s="77"/>
      <c r="P58" s="77"/>
      <c r="Q58" s="77"/>
    </row>
    <row r="59" spans="2:17" ht="15.75" customHeight="1" x14ac:dyDescent="0.3">
      <c r="B59" s="32"/>
      <c r="C59" s="76"/>
      <c r="D59" s="76"/>
      <c r="E59" s="76"/>
      <c r="F59" s="76"/>
      <c r="G59" s="76"/>
      <c r="H59" s="76"/>
      <c r="I59" s="76"/>
      <c r="J59" s="76"/>
      <c r="K59" s="76"/>
      <c r="L59" s="76"/>
      <c r="M59" s="76"/>
      <c r="N59" s="77"/>
      <c r="O59" s="77"/>
      <c r="P59" s="77"/>
      <c r="Q59" s="77"/>
    </row>
    <row r="60" spans="2:17" ht="15.75" customHeight="1" x14ac:dyDescent="0.3">
      <c r="E60" s="77"/>
      <c r="F60" s="77"/>
      <c r="G60" s="77"/>
      <c r="H60" s="77"/>
      <c r="I60" s="77"/>
      <c r="J60" s="77"/>
      <c r="K60" s="77"/>
      <c r="L60" s="77"/>
      <c r="M60" s="77"/>
      <c r="N60" s="77"/>
      <c r="O60" s="77"/>
      <c r="P60" s="77"/>
      <c r="Q60" s="77"/>
    </row>
    <row r="61" spans="2:17" ht="15.75" customHeight="1" x14ac:dyDescent="0.3"/>
    <row r="62" spans="2:17" ht="15.75" customHeight="1" x14ac:dyDescent="0.3"/>
    <row r="63" spans="2:17" ht="15.75" customHeight="1" x14ac:dyDescent="0.3"/>
    <row r="64" spans="2:1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sheetData>
  <mergeCells count="3">
    <mergeCell ref="D2:E2"/>
    <mergeCell ref="D51:E51"/>
    <mergeCell ref="D52:E5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Securities</vt:lpstr>
      <vt:lpstr>Credit Analysis Model</vt:lpstr>
      <vt:lpstr>Common_Shares</vt:lpstr>
      <vt:lpstr>Exchange_Rate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Jerry.chen</cp:lastModifiedBy>
  <dcterms:created xsi:type="dcterms:W3CDTF">2022-12-07T23:17:26Z</dcterms:created>
  <dcterms:modified xsi:type="dcterms:W3CDTF">2022-12-08T10:05:37Z</dcterms:modified>
</cp:coreProperties>
</file>