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https://d.docs.live.net/0d466dfd29ba5db3/桌面/Valuation/Yuexiu Services Group/"/>
    </mc:Choice>
  </mc:AlternateContent>
  <xr:revisionPtr revIDLastSave="11" documentId="13_ncr:1_{162B975A-CEF4-488E-B47E-4C1A9DF6D1F8}" xr6:coauthVersionLast="46" xr6:coauthVersionMax="46" xr10:uidLastSave="{2FC375B8-7D11-4FA1-8D70-D2830F828019}"/>
  <bookViews>
    <workbookView xWindow="-120" yWindow="-120" windowWidth="29040" windowHeight="15840" activeTab="2"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Model'!#REF!</definedName>
    <definedName name="Adj_Ebit">Adj!$C$16</definedName>
    <definedName name="Adj_Effective_T">Adj!$C$36</definedName>
    <definedName name="Adj_WCSalesRatio" comment="Adjusted WC-Sales Ratio">Adj!$C$61</definedName>
    <definedName name="Base_Ebit_g">Scenarios!$E$4</definedName>
    <definedName name="Base_ReinvestRate">Scenarios!$E$5</definedName>
    <definedName name="Base_ROC" comment="Base Case AfterTax ROC">Adj!$C$48</definedName>
    <definedName name="Bear_Ebit_g">Scenarios!$D$4</definedName>
    <definedName name="Bear_ReinvestRate">Scenarios!$D$5</definedName>
    <definedName name="Bear_ROC" comment="Bear Case AfterTax ROC">Adj!$B$48</definedName>
    <definedName name="Bull_Ebit_g">Scenarios!$F$4</definedName>
    <definedName name="Bull_ReinvestRate">Scenarios!$F$5</definedName>
    <definedName name="Bull_ROC" comment="Bull Case AfterTax ROC">Adj!$D$48</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Adj!$C$33</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Inputs'!$I$5</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6" i="1" l="1"/>
  <c r="S13" i="1"/>
  <c r="T16" i="1"/>
  <c r="T13" i="1"/>
  <c r="K16" i="1"/>
  <c r="K13" i="1"/>
  <c r="H16" i="1"/>
  <c r="H13" i="1"/>
  <c r="D12" i="14"/>
  <c r="C48" i="11"/>
  <c r="D42" i="14" l="1"/>
  <c r="D30" i="14" l="1"/>
  <c r="M49" i="19" s="1"/>
  <c r="D61" i="14"/>
  <c r="D17" i="1"/>
  <c r="D26" i="14"/>
  <c r="B14" i="1"/>
  <c r="M4" i="1" s="1"/>
  <c r="B17" i="1"/>
  <c r="B20" i="1"/>
  <c r="D14" i="1"/>
  <c r="M6" i="1" s="1"/>
  <c r="D20" i="1"/>
  <c r="E44" i="19"/>
  <c r="D44" i="19"/>
  <c r="F42" i="19"/>
  <c r="F41" i="19"/>
  <c r="F40" i="19"/>
  <c r="M21" i="19"/>
  <c r="C8" i="19"/>
  <c r="L48" i="19" s="1"/>
  <c r="M49" i="18"/>
  <c r="E44" i="18"/>
  <c r="D44" i="18"/>
  <c r="F42" i="18"/>
  <c r="F41" i="18"/>
  <c r="F40" i="18"/>
  <c r="M21" i="18"/>
  <c r="C8" i="18"/>
  <c r="F42" i="15"/>
  <c r="F41" i="15"/>
  <c r="F40" i="15"/>
  <c r="F93" i="11"/>
  <c r="F92" i="11"/>
  <c r="F91" i="11"/>
  <c r="F89" i="11" s="1"/>
  <c r="D42" i="18" l="1"/>
  <c r="D42" i="19"/>
  <c r="G6" i="18"/>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C17" i="11"/>
  <c r="L27" i="18" l="1"/>
  <c r="C16" i="9"/>
  <c r="E12" i="14" l="1"/>
  <c r="C53" i="14"/>
  <c r="C54" i="14"/>
  <c r="E58" i="14"/>
  <c r="D57" i="14"/>
  <c r="C39" i="14"/>
  <c r="C38" i="14"/>
  <c r="E43" i="14"/>
  <c r="E27" i="14"/>
  <c r="C23" i="14"/>
  <c r="C22" i="14"/>
  <c r="D17" i="14"/>
  <c r="E88" i="11"/>
  <c r="M19" i="19" l="1"/>
  <c r="M19" i="18"/>
  <c r="B57" i="9"/>
  <c r="D44" i="15"/>
  <c r="E44" i="15"/>
  <c r="M21" i="15"/>
  <c r="A76" i="11" l="1"/>
  <c r="A77" i="11"/>
  <c r="A78" i="11"/>
  <c r="A79" i="11"/>
  <c r="A80" i="11"/>
  <c r="A81" i="11"/>
  <c r="A82" i="11"/>
  <c r="A83" i="11"/>
  <c r="A84" i="11"/>
  <c r="A85"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W36" i="1" s="1"/>
  <c r="X36" i="1" s="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M5"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C18" i="11" s="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R20" i="1"/>
  <c r="W17" i="1"/>
  <c r="C62" i="11" l="1"/>
  <c r="B24" i="19"/>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4" i="11"/>
  <c r="B76" i="11"/>
  <c r="B77" i="11"/>
  <c r="B78" i="11"/>
  <c r="D78" i="11" s="1"/>
  <c r="B79" i="11"/>
  <c r="B80" i="11"/>
  <c r="D80" i="11" s="1"/>
  <c r="B81" i="11"/>
  <c r="F81" i="11" s="1"/>
  <c r="B82" i="11"/>
  <c r="D82" i="11" s="1"/>
  <c r="B83" i="11"/>
  <c r="B84" i="11"/>
  <c r="B85" i="11"/>
  <c r="D75" i="11"/>
  <c r="E75" i="11" s="1"/>
  <c r="C110" i="14" l="1"/>
  <c r="D111" i="14" s="1"/>
  <c r="E82" i="11"/>
  <c r="F84" i="11"/>
  <c r="D84" i="11"/>
  <c r="E84" i="11" s="1"/>
  <c r="D77" i="11"/>
  <c r="E77" i="11" s="1"/>
  <c r="F77" i="11"/>
  <c r="E78" i="11"/>
  <c r="D76" i="11"/>
  <c r="E76" i="11" s="1"/>
  <c r="F76" i="11"/>
  <c r="E80" i="11"/>
  <c r="F82" i="11"/>
  <c r="F78" i="11"/>
  <c r="D79" i="11"/>
  <c r="E79" i="11" s="1"/>
  <c r="F79" i="11"/>
  <c r="D85" i="11"/>
  <c r="E85" i="11" s="1"/>
  <c r="F85" i="11"/>
  <c r="D83" i="11"/>
  <c r="E83" i="11" s="1"/>
  <c r="F83" i="11"/>
  <c r="D81" i="11"/>
  <c r="E81" i="11" s="1"/>
  <c r="F80" i="11"/>
  <c r="E86" i="11" l="1"/>
  <c r="F87" i="11"/>
  <c r="D110" i="14"/>
  <c r="C24" i="11"/>
  <c r="B48" i="9" s="1"/>
  <c r="I6" i="1" l="1"/>
  <c r="A14" i="1"/>
  <c r="H14" i="1"/>
  <c r="C32" i="11" s="1"/>
  <c r="C36" i="11" s="1"/>
  <c r="C23" i="11"/>
  <c r="C25" i="11" s="1"/>
  <c r="G14" i="1"/>
  <c r="F32" i="9" s="1"/>
  <c r="F31" i="9"/>
  <c r="I5" i="1"/>
  <c r="C26"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1" i="11"/>
  <c r="K52" i="11" s="1"/>
  <c r="C51" i="11"/>
  <c r="J51" i="11"/>
  <c r="I51" i="11"/>
  <c r="E51" i="11"/>
  <c r="H51" i="11"/>
  <c r="D51" i="11"/>
  <c r="G51" i="11"/>
  <c r="F51" i="11"/>
  <c r="B51" i="11"/>
  <c r="H35" i="1"/>
  <c r="I4" i="11"/>
  <c r="B17" i="15"/>
  <c r="C4" i="11"/>
  <c r="C39" i="11"/>
  <c r="B4" i="11"/>
  <c r="H41" i="1"/>
  <c r="B39" i="11"/>
  <c r="G4" i="11"/>
  <c r="I39" i="11"/>
  <c r="D4" i="11"/>
  <c r="H23" i="1"/>
  <c r="H20" i="1"/>
  <c r="H32" i="1"/>
  <c r="H4" i="11"/>
  <c r="H39" i="11"/>
  <c r="J4" i="11"/>
  <c r="H38" i="1"/>
  <c r="H26" i="1"/>
  <c r="E4" i="11"/>
  <c r="D39" i="11"/>
  <c r="J39" i="11"/>
  <c r="K4" i="11"/>
  <c r="E39" i="11"/>
  <c r="K39" i="11"/>
  <c r="F39" i="11"/>
  <c r="F4" i="11"/>
  <c r="H29" i="1"/>
  <c r="G39" i="11"/>
  <c r="C27" i="11"/>
  <c r="D66" i="9"/>
  <c r="B6" i="11" l="1"/>
  <c r="K6" i="11"/>
  <c r="K5" i="11"/>
  <c r="E5" i="11"/>
  <c r="E6" i="11"/>
  <c r="D6" i="11"/>
  <c r="D5" i="11"/>
  <c r="G5" i="11"/>
  <c r="G6" i="11"/>
  <c r="J6" i="11"/>
  <c r="J5" i="11"/>
  <c r="F5" i="11"/>
  <c r="F6" i="11"/>
  <c r="I6" i="11"/>
  <c r="I5" i="11"/>
  <c r="C6" i="11"/>
  <c r="C5" i="11"/>
  <c r="H5" i="11"/>
  <c r="H6" i="11"/>
  <c r="F40" i="11"/>
  <c r="E52" i="11"/>
  <c r="X14" i="1"/>
  <c r="B47" i="15"/>
  <c r="B52" i="11"/>
  <c r="B40" i="11"/>
  <c r="G40" i="11"/>
  <c r="I40" i="11"/>
  <c r="B5" i="11"/>
  <c r="C11" i="11" s="1"/>
  <c r="E7" i="14"/>
  <c r="I52" i="11"/>
  <c r="C52" i="11"/>
  <c r="J40" i="11"/>
  <c r="J52" i="11"/>
  <c r="H52" i="11"/>
  <c r="H40" i="11"/>
  <c r="D52" i="11"/>
  <c r="K40" i="11"/>
  <c r="G52" i="11"/>
  <c r="F52" i="11"/>
  <c r="C8" i="15" l="1"/>
  <c r="C57" i="11"/>
  <c r="C58" i="11"/>
  <c r="C40" i="11"/>
  <c r="K25" i="15" l="1"/>
  <c r="L25" i="15"/>
  <c r="L29" i="15"/>
  <c r="K29" i="15"/>
  <c r="K27" i="15"/>
  <c r="L27" i="15"/>
  <c r="C12" i="11"/>
  <c r="C9" i="15"/>
  <c r="J27" i="15" s="1"/>
  <c r="C61" i="11"/>
  <c r="D62" i="11" s="1"/>
  <c r="E40" i="11"/>
  <c r="B48" i="15"/>
  <c r="C16" i="11"/>
  <c r="B20" i="19" l="1"/>
  <c r="B20" i="18"/>
  <c r="B20" i="15"/>
  <c r="D75" i="9"/>
  <c r="C42" i="11"/>
  <c r="D48" i="11" l="1"/>
  <c r="D58" i="14"/>
  <c r="F5" i="14" s="1"/>
  <c r="D43" i="14"/>
  <c r="D5" i="14" s="1"/>
  <c r="E26" i="14"/>
  <c r="E4" i="14" s="1"/>
  <c r="B48" i="11"/>
  <c r="B22" i="19"/>
  <c r="B18" i="19"/>
  <c r="B22" i="18"/>
  <c r="B18" i="18"/>
  <c r="D27" i="14"/>
  <c r="E5" i="14" s="1"/>
  <c r="E42" i="14"/>
  <c r="D4" i="14" s="1"/>
  <c r="C5" i="19" s="1"/>
  <c r="E57" i="14"/>
  <c r="F4" i="14" s="1"/>
  <c r="C5" i="18" s="1"/>
  <c r="L19" i="18" s="1"/>
  <c r="D76" i="9"/>
  <c r="D77" i="9"/>
  <c r="D79" i="9" s="1"/>
  <c r="B34" i="9" s="1"/>
  <c r="B18" i="15"/>
  <c r="B22" i="15"/>
  <c r="B26" i="15" s="1"/>
  <c r="B37" i="9"/>
  <c r="K19" i="18" l="1"/>
  <c r="J19" i="18"/>
  <c r="C19" i="18"/>
  <c r="C20" i="18" s="1"/>
  <c r="C22" i="18" s="1"/>
  <c r="E19" i="18"/>
  <c r="H19" i="18"/>
  <c r="F19" i="18"/>
  <c r="D19" i="18"/>
  <c r="G19" i="18"/>
  <c r="I19" i="18"/>
  <c r="B26" i="19"/>
  <c r="B49" i="19"/>
  <c r="C6" i="18"/>
  <c r="C6" i="19"/>
  <c r="E19" i="19"/>
  <c r="F19" i="19"/>
  <c r="C19" i="19"/>
  <c r="C20" i="19" s="1"/>
  <c r="D19" i="19"/>
  <c r="I19" i="19"/>
  <c r="G19" i="19"/>
  <c r="H19" i="19"/>
  <c r="B26" i="18"/>
  <c r="B49" i="18"/>
  <c r="C6" i="15"/>
  <c r="C44" i="9"/>
  <c r="C45" i="9" s="1"/>
  <c r="B39" i="9"/>
  <c r="C50" i="9" s="1"/>
  <c r="B62" i="9"/>
  <c r="C43" i="9"/>
  <c r="B49" i="15"/>
  <c r="F23" i="18" l="1"/>
  <c r="L23" i="18"/>
  <c r="C17" i="18"/>
  <c r="C24" i="18" s="1"/>
  <c r="D20" i="18"/>
  <c r="D17" i="18" s="1"/>
  <c r="C23" i="18"/>
  <c r="D23" i="18"/>
  <c r="D23" i="19"/>
  <c r="E23" i="19"/>
  <c r="C23" i="19"/>
  <c r="C17" i="19"/>
  <c r="D20" i="19"/>
  <c r="C22" i="19"/>
  <c r="E23" i="18"/>
  <c r="C48" i="9"/>
  <c r="B24" i="9" s="1"/>
  <c r="B27" i="9" s="1"/>
  <c r="B50" i="9" s="1"/>
  <c r="E23" i="15"/>
  <c r="C23" i="15"/>
  <c r="D23" i="15"/>
  <c r="F23" i="15"/>
  <c r="C25" i="18" l="1"/>
  <c r="C47" i="18" s="1"/>
  <c r="C16" i="18"/>
  <c r="E20" i="18"/>
  <c r="E17" i="18" s="1"/>
  <c r="D22" i="18"/>
  <c r="E20" i="19"/>
  <c r="D17" i="19"/>
  <c r="D22" i="19"/>
  <c r="C16" i="19"/>
  <c r="C24" i="19"/>
  <c r="C25" i="19" s="1"/>
  <c r="C48" i="19" s="1"/>
  <c r="C49" i="19" s="1"/>
  <c r="D36" i="18"/>
  <c r="D36" i="19"/>
  <c r="D16" i="18"/>
  <c r="D24" i="18"/>
  <c r="D36" i="15"/>
  <c r="E48" i="9"/>
  <c r="C49" i="9" s="1"/>
  <c r="C26" i="18" l="1"/>
  <c r="C48" i="18"/>
  <c r="C49" i="18" s="1"/>
  <c r="D25" i="18"/>
  <c r="D26" i="18" s="1"/>
  <c r="E22" i="18"/>
  <c r="F20" i="18"/>
  <c r="G20" i="18" s="1"/>
  <c r="C47" i="19"/>
  <c r="C26" i="19"/>
  <c r="D24" i="19"/>
  <c r="D25" i="19" s="1"/>
  <c r="D16" i="19"/>
  <c r="E17" i="19"/>
  <c r="F20" i="19"/>
  <c r="E22" i="19"/>
  <c r="E24" i="18"/>
  <c r="E16" i="18"/>
  <c r="D49" i="9"/>
  <c r="B49" i="9"/>
  <c r="E25" i="18" l="1"/>
  <c r="E47" i="18" s="1"/>
  <c r="D47" i="18"/>
  <c r="D48" i="18"/>
  <c r="D49" i="18" s="1"/>
  <c r="F17" i="18"/>
  <c r="F24" i="18" s="1"/>
  <c r="F22" i="18"/>
  <c r="E50" i="9"/>
  <c r="C9" i="9" s="1"/>
  <c r="C12" i="9" s="1"/>
  <c r="D48" i="19"/>
  <c r="D47" i="19"/>
  <c r="D26" i="19"/>
  <c r="F22" i="19"/>
  <c r="F17" i="19"/>
  <c r="G20" i="19"/>
  <c r="E16" i="19"/>
  <c r="E24" i="19"/>
  <c r="E25" i="19" s="1"/>
  <c r="E49" i="9"/>
  <c r="H20" i="18"/>
  <c r="G22" i="18"/>
  <c r="G17" i="18"/>
  <c r="L28" i="15"/>
  <c r="K28" i="15"/>
  <c r="E26" i="18" l="1"/>
  <c r="E48" i="18"/>
  <c r="E49" i="18" s="1"/>
  <c r="F25" i="18"/>
  <c r="F26" i="18" s="1"/>
  <c r="F16" i="18"/>
  <c r="C27" i="19"/>
  <c r="D27" i="19"/>
  <c r="E27" i="18"/>
  <c r="D27" i="18"/>
  <c r="F27" i="18"/>
  <c r="C27" i="18"/>
  <c r="E27" i="19"/>
  <c r="E28" i="19" s="1"/>
  <c r="F27" i="15"/>
  <c r="D27" i="15"/>
  <c r="E27" i="15"/>
  <c r="C27" i="15"/>
  <c r="E26" i="19"/>
  <c r="E47" i="19"/>
  <c r="F24" i="19"/>
  <c r="F16" i="19"/>
  <c r="H20" i="19"/>
  <c r="G22" i="19"/>
  <c r="G17" i="19"/>
  <c r="E48" i="19"/>
  <c r="D49" i="19"/>
  <c r="H17" i="18"/>
  <c r="I20" i="18"/>
  <c r="J20" i="18" s="1"/>
  <c r="H22" i="18"/>
  <c r="G24" i="18"/>
  <c r="G16" i="18"/>
  <c r="E29" i="19" l="1"/>
  <c r="F47" i="18"/>
  <c r="F48" i="18"/>
  <c r="F49" i="18" s="1"/>
  <c r="E28" i="15"/>
  <c r="C28" i="15"/>
  <c r="E28" i="18"/>
  <c r="E29" i="18" s="1"/>
  <c r="D28" i="18"/>
  <c r="D29" i="18" s="1"/>
  <c r="C28" i="18"/>
  <c r="C29" i="18" s="1"/>
  <c r="F28" i="18"/>
  <c r="F29" i="18" s="1"/>
  <c r="D28" i="15"/>
  <c r="C28" i="19"/>
  <c r="C29" i="19" s="1"/>
  <c r="D28" i="19"/>
  <c r="D29" i="19" s="1"/>
  <c r="J17" i="18"/>
  <c r="K20" i="18"/>
  <c r="L20" i="18" s="1"/>
  <c r="J22" i="18"/>
  <c r="H17" i="19"/>
  <c r="I20" i="19"/>
  <c r="H22" i="19"/>
  <c r="E49" i="19"/>
  <c r="G24" i="19"/>
  <c r="G16" i="19"/>
  <c r="H16" i="18"/>
  <c r="H24" i="18"/>
  <c r="I22" i="18"/>
  <c r="I17" i="18"/>
  <c r="D40" i="11"/>
  <c r="C43" i="11" s="1"/>
  <c r="M20" i="19"/>
  <c r="M20" i="18"/>
  <c r="L22" i="18" l="1"/>
  <c r="L17" i="18"/>
  <c r="M22" i="18"/>
  <c r="M17" i="18"/>
  <c r="K22" i="18"/>
  <c r="K17" i="18"/>
  <c r="J24" i="18"/>
  <c r="J16" i="18"/>
  <c r="M22" i="19"/>
  <c r="M17" i="19"/>
  <c r="H16" i="19"/>
  <c r="H24" i="19"/>
  <c r="I17" i="19"/>
  <c r="I22" i="19"/>
  <c r="I16" i="18"/>
  <c r="I24" i="18"/>
  <c r="E9" i="14"/>
  <c r="M16" i="18"/>
  <c r="M24" i="18"/>
  <c r="L16" i="18" l="1"/>
  <c r="L24" i="18"/>
  <c r="L25" i="18" s="1"/>
  <c r="L47" i="18" s="1"/>
  <c r="K16" i="18"/>
  <c r="K24" i="18"/>
  <c r="I16" i="19"/>
  <c r="I24" i="19"/>
  <c r="C5" i="15"/>
  <c r="D9" i="14"/>
  <c r="F9" i="14"/>
  <c r="E6" i="14"/>
  <c r="M16" i="19"/>
  <c r="M24" i="19"/>
  <c r="L26" i="18" l="1"/>
  <c r="C7" i="18"/>
  <c r="M23" i="18" s="1"/>
  <c r="I23" i="18" s="1"/>
  <c r="I25" i="18" s="1"/>
  <c r="G23" i="18"/>
  <c r="G25" i="18" s="1"/>
  <c r="H23" i="18"/>
  <c r="H25" i="18" s="1"/>
  <c r="M25" i="18"/>
  <c r="M26" i="18" s="1"/>
  <c r="L19" i="15"/>
  <c r="K19" i="15"/>
  <c r="J19" i="15"/>
  <c r="C19" i="15"/>
  <c r="D19" i="15"/>
  <c r="H19" i="15"/>
  <c r="F19" i="15"/>
  <c r="I19" i="15"/>
  <c r="E19" i="15"/>
  <c r="G19" i="15"/>
  <c r="C7" i="15"/>
  <c r="M23" i="15" s="1"/>
  <c r="K23" i="18" l="1"/>
  <c r="K25" i="18" s="1"/>
  <c r="J23" i="18"/>
  <c r="J25" i="18" s="1"/>
  <c r="I23" i="19"/>
  <c r="I25" i="19" s="1"/>
  <c r="H23" i="19"/>
  <c r="H25" i="19" s="1"/>
  <c r="H47" i="18"/>
  <c r="H26" i="18"/>
  <c r="I47" i="18"/>
  <c r="I26" i="18"/>
  <c r="G26" i="18"/>
  <c r="G47" i="18"/>
  <c r="G48" i="18"/>
  <c r="L23" i="15"/>
  <c r="J23" i="15"/>
  <c r="K23" i="15"/>
  <c r="G23" i="15"/>
  <c r="I23" i="15"/>
  <c r="H23" i="15"/>
  <c r="J26" i="18" l="1"/>
  <c r="J47" i="18"/>
  <c r="K47" i="18"/>
  <c r="K26" i="18"/>
  <c r="H26" i="19"/>
  <c r="H47" i="19"/>
  <c r="I26" i="19"/>
  <c r="I47" i="19"/>
  <c r="H48" i="18"/>
  <c r="G49" i="18"/>
  <c r="K17" i="15"/>
  <c r="K22" i="15"/>
  <c r="L22" i="15"/>
  <c r="L26" i="15" s="1"/>
  <c r="L17" i="15"/>
  <c r="L24" i="15" s="1"/>
  <c r="K47" i="15"/>
  <c r="I48" i="18" l="1"/>
  <c r="H49" i="18"/>
  <c r="K24" i="15"/>
  <c r="K26" i="15" s="1"/>
  <c r="I49" i="18" l="1"/>
  <c r="J48" i="18"/>
  <c r="I48" i="19"/>
  <c r="I49" i="19" s="1"/>
  <c r="L47" i="15"/>
  <c r="K48" i="18" l="1"/>
  <c r="J49" i="18"/>
  <c r="K49" i="18" l="1"/>
  <c r="L48" i="18"/>
  <c r="L49" i="18" s="1"/>
  <c r="K48" i="15"/>
  <c r="L48" i="15" l="1"/>
  <c r="L49" i="15" s="1"/>
  <c r="K49" i="15"/>
  <c r="C67" i="9" l="1"/>
  <c r="D67" i="9" s="1"/>
  <c r="C15" i="9" s="1"/>
  <c r="C18" i="9" s="1"/>
  <c r="M27" i="18" l="1"/>
  <c r="M27" i="19"/>
  <c r="F27" i="19" s="1"/>
  <c r="F28" i="19" s="1"/>
  <c r="G27" i="18"/>
  <c r="H27" i="18"/>
  <c r="I27" i="18"/>
  <c r="F10" i="14"/>
  <c r="E10" i="14"/>
  <c r="M27" i="15"/>
  <c r="D46" i="14"/>
  <c r="M49" i="15"/>
  <c r="F28" i="15"/>
  <c r="K27" i="18" l="1"/>
  <c r="J27" i="18"/>
  <c r="L28" i="18" s="1"/>
  <c r="L29" i="18" s="1"/>
  <c r="G27" i="19"/>
  <c r="I27" i="19"/>
  <c r="H27" i="19"/>
  <c r="H28" i="18"/>
  <c r="H29" i="18" s="1"/>
  <c r="G28" i="18"/>
  <c r="G29" i="18" s="1"/>
  <c r="I28" i="18"/>
  <c r="I27" i="15"/>
  <c r="H27" i="15"/>
  <c r="G27" i="15"/>
  <c r="D10" i="14"/>
  <c r="D47" i="14"/>
  <c r="D6" i="14" s="1"/>
  <c r="C7" i="19" s="1"/>
  <c r="M23" i="19" s="1"/>
  <c r="G28" i="15" l="1"/>
  <c r="J28" i="15"/>
  <c r="K28" i="18"/>
  <c r="J28" i="18"/>
  <c r="J29" i="18" s="1"/>
  <c r="F23" i="19"/>
  <c r="F25" i="19" s="1"/>
  <c r="G23" i="19"/>
  <c r="G25" i="19" s="1"/>
  <c r="M25" i="19"/>
  <c r="M26" i="19" s="1"/>
  <c r="G28" i="19"/>
  <c r="H28" i="19"/>
  <c r="H29" i="19" s="1"/>
  <c r="I28" i="19"/>
  <c r="I29" i="18"/>
  <c r="H28" i="15"/>
  <c r="I28" i="15"/>
  <c r="D33" i="18"/>
  <c r="D33" i="19"/>
  <c r="K29" i="18" l="1"/>
  <c r="D32" i="18" s="1"/>
  <c r="D34" i="18" s="1"/>
  <c r="D37" i="18" s="1"/>
  <c r="D40" i="18" s="1"/>
  <c r="E41" i="18" s="1"/>
  <c r="G47" i="19"/>
  <c r="G26" i="19"/>
  <c r="G29" i="19" s="1"/>
  <c r="F47" i="19"/>
  <c r="F26" i="19"/>
  <c r="F29" i="19" s="1"/>
  <c r="F48" i="19"/>
  <c r="I29" i="19"/>
  <c r="E42" i="18" l="1"/>
  <c r="F13" i="14" s="1"/>
  <c r="D32" i="19"/>
  <c r="D34" i="19" s="1"/>
  <c r="D37" i="19" s="1"/>
  <c r="D40" i="19" s="1"/>
  <c r="E41" i="19" s="1"/>
  <c r="F49" i="19"/>
  <c r="G48" i="19"/>
  <c r="C32" i="18"/>
  <c r="C33" i="18" s="1"/>
  <c r="G49" i="19" l="1"/>
  <c r="H48" i="19"/>
  <c r="H49" i="19" s="1"/>
  <c r="G44" i="18"/>
  <c r="H44" i="18" s="1"/>
  <c r="E42" i="19"/>
  <c r="D13" i="14" s="1"/>
  <c r="C32" i="19"/>
  <c r="C33" i="19" s="1"/>
  <c r="C20" i="15"/>
  <c r="C17" i="15" s="1"/>
  <c r="C24" i="15" s="1"/>
  <c r="G44" i="19" l="1"/>
  <c r="H44" i="19" s="1"/>
  <c r="D20" i="15"/>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K20" i="15"/>
  <c r="L20" i="15"/>
  <c r="L16" i="15"/>
  <c r="K16" i="15"/>
  <c r="F25" i="15" l="1"/>
  <c r="E26" i="15"/>
  <c r="E29" i="15" s="1"/>
  <c r="E48" i="15"/>
  <c r="E49" i="15" s="1"/>
  <c r="F16" i="15"/>
  <c r="G17" i="15"/>
  <c r="G22" i="15"/>
  <c r="H20" i="15"/>
  <c r="F48" i="15" l="1"/>
  <c r="F49" i="15" s="1"/>
  <c r="F26" i="15"/>
  <c r="F29" i="15" s="1"/>
  <c r="F47" i="15"/>
  <c r="H17" i="15"/>
  <c r="I20" i="15"/>
  <c r="J20" i="15" s="1"/>
  <c r="H22" i="15"/>
  <c r="G24" i="15"/>
  <c r="G25" i="15" s="1"/>
  <c r="G16" i="15"/>
  <c r="M20" i="15"/>
  <c r="J17" i="15" l="1"/>
  <c r="J22" i="15"/>
  <c r="M22" i="15"/>
  <c r="M17" i="15"/>
  <c r="G48" i="15"/>
  <c r="G26" i="15"/>
  <c r="G29" i="15" s="1"/>
  <c r="G47" i="15"/>
  <c r="I22" i="15"/>
  <c r="I17" i="15"/>
  <c r="H24" i="15"/>
  <c r="H25" i="15" s="1"/>
  <c r="H16" i="15"/>
  <c r="M24" i="15"/>
  <c r="J24" i="15" l="1"/>
  <c r="J25" i="15" s="1"/>
  <c r="J16" i="15"/>
  <c r="H26" i="15"/>
  <c r="H29" i="15" s="1"/>
  <c r="H47" i="15"/>
  <c r="I24" i="15"/>
  <c r="I25" i="15" s="1"/>
  <c r="I16" i="15"/>
  <c r="H48" i="15"/>
  <c r="G49" i="15"/>
  <c r="M25" i="15"/>
  <c r="M26" i="15" s="1"/>
  <c r="M16" i="15"/>
  <c r="D33" i="15"/>
  <c r="J47" i="15" l="1"/>
  <c r="J26" i="15"/>
  <c r="J29" i="15" s="1"/>
  <c r="I47" i="15"/>
  <c r="H49" i="15"/>
  <c r="I26" i="15" l="1"/>
  <c r="I29" i="15" s="1"/>
  <c r="D32" i="15" s="1"/>
  <c r="I48" i="15"/>
  <c r="I49" i="15" l="1"/>
  <c r="J48" i="15"/>
  <c r="J49" i="15" s="1"/>
  <c r="D34" i="15"/>
  <c r="D37" i="15" l="1"/>
  <c r="D40" i="15" s="1"/>
  <c r="E41" i="15" s="1"/>
  <c r="C32" i="15"/>
  <c r="C33" i="15" s="1"/>
  <c r="E42" i="15" l="1"/>
  <c r="G44" i="15" s="1"/>
  <c r="H44" i="15" s="1"/>
  <c r="E13" i="14" l="1"/>
  <c r="E14" i="14" s="1"/>
  <c r="K6" i="1" l="1"/>
  <c r="K7" i="1"/>
  <c r="K4" i="1"/>
  <c r="K5" i="1"/>
  <c r="D1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1"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3"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3"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4"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6"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2"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2"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7"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2"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5"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9"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9"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2"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<sst xmlns="http://schemas.openxmlformats.org/spreadsheetml/2006/main" count="897" uniqueCount="601">
  <si>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</si>
  <si>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</si>
  <si>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</si>
  <si>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</si>
  <si>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</si>
  <si>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</si>
  <si>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</si>
  <si>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</si>
  <si>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</si>
  <si>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</si>
  <si>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</si>
  <si>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</si>
  <si>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</si>
  <si>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</si>
  <si>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</si>
  <si>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</si>
  <si>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</si>
  <si>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</si>
  <si>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</si>
  <si>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</si>
  <si>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</si>
  <si>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</si>
  <si>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</si>
  <si>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</si>
  <si>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</si>
  <si>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</si>
  <si>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</si>
  <si>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</si>
  <si>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</si>
  <si>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</si>
  <si>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</si>
  <si>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</si>
  <si>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</si>
  <si>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</si>
  <si>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</si>
  <si>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</si>
  <si>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</si>
  <si>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</si>
  <si>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</si>
  <si>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</si>
  <si>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</si>
  <si>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</si>
  <si>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</si>
  <si>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</si>
  <si>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</si>
  <si>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</si>
  <si>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</si>
  <si>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</si>
  <si>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</si>
  <si>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</si>
  <si>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</si>
  <si>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</si>
  <si>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</si>
  <si>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</si>
  <si>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</si>
  <si>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</si>
  <si>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</si>
  <si>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</si>
  <si>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</si>
  <si>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</si>
  <si>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</si>
  <si>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</si>
  <si>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</si>
  <si>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</si>
  <si>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</si>
  <si>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</si>
  <si>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</si>
  <si>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</si>
  <si>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</si>
  <si>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</si>
  <si>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</si>
  <si>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</si>
  <si>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</si>
  <si>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</si>
  <si>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</si>
  <si>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</si>
  <si>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</si>
  <si>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</si>
  <si>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</si>
  <si>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</si>
  <si>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</si>
  <si>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</si>
  <si>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</si>
  <si>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</si>
  <si>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</si>
  <si>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</si>
  <si>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</si>
  <si>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</si>
  <si>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</si>
  <si>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</si>
  <si>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</si>
  <si>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</si>
  <si>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</si>
  <si>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</si>
  <si>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</si>
  <si>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</si>
  <si>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</si>
  <si>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</si>
  <si>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</si>
  <si>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</si>
  <si>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</si>
  <si>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</si>
  <si>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</si>
  <si>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</si>
  <si>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</si>
  <si>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</si>
  <si>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</si>
  <si>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</si>
  <si>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</si>
  <si>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</si>
  <si>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</si>
  <si>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</si>
  <si>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</si>
  <si>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</si>
  <si>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</si>
  <si>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</si>
  <si>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</si>
  <si>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</si>
  <si>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</si>
  <si>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</si>
  <si>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</si>
  <si>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</si>
  <si>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</si>
  <si>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</si>
  <si>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</si>
  <si>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</si>
  <si>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</si>
  <si>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</si>
  <si>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</si>
  <si>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</si>
  <si>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</si>
  <si>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</si>
  <si>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</si>
  <si>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</si>
  <si>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</si>
  <si>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</si>
  <si>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</si>
  <si>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</si>
  <si>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</si>
  <si>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</si>
  <si>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</si>
  <si>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</si>
  <si>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</si>
  <si>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</si>
  <si>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</si>
  <si>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</si>
  <si>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</si>
  <si>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</si>
  <si>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</si>
  <si>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</si>
  <si>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</si>
  <si>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</si>
  <si>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</si>
  <si>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</si>
  <si>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</si>
  <si>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</si>
  <si>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</si>
  <si>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</si>
  <si>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</si>
  <si>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</si>
  <si>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</si>
  <si>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</si>
  <si>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</si>
  <si>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</si>
  <si>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</si>
  <si>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</si>
  <si>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</si>
  <si>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</si>
  <si>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</si>
  <si>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</si>
  <si>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</si>
  <si>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</si>
  <si>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</si>
  <si>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</si>
  <si>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</si>
  <si>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</si>
  <si>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</si>
  <si>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</si>
  <si>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</si>
  <si>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</si>
  <si>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</si>
  <si>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</si>
  <si>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</si>
  <si>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</si>
  <si>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</si>
  <si>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</si>
  <si>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</si>
  <si>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</si>
  <si>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</si>
  <si>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</si>
  <si>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</si>
  <si>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</si>
  <si>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</si>
  <si>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</si>
  <si>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</si>
  <si>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</si>
  <si>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</si>
  <si>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</si>
  <si>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</si>
  <si>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</si>
  <si>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</si>
  <si>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</si>
  <si>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</si>
  <si>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</si>
  <si>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</si>
  <si>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</si>
  <si>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</si>
  <si>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</si>
  <si>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</si>
  <si>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</si>
  <si>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</si>
  <si>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</si>
  <si>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</si>
  <si>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</si>
  <si>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</si>
  <si>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</si>
  <si>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</si>
  <si>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</si>
  <si>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</si>
  <si>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</si>
  <si>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</si>
  <si>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</si>
  <si>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</si>
  <si>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</si>
  <si>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</si>
  <si>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</si>
  <si>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</si>
  <si>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</si>
  <si>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</si>
  <si>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</si>
  <si>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</si>
  <si>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</si>
  <si>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</si>
  <si>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</si>
  <si>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</si>
  <si>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</si>
  <si>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</si>
  <si>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</si>
  <si>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</si>
  <si>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</si>
  <si>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</si>
  <si>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</si>
  <si>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</si>
  <si>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</si>
  <si>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</si>
  <si>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</si>
  <si>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</si>
  <si>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</si>
  <si>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</si>
  <si>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</si>
  <si>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</si>
  <si>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</si>
  <si>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</si>
  <si>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</si>
  <si>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</si>
  <si>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</si>
  <si>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</si>
  <si>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</si>
  <si>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</si>
  <si>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</si>
  <si>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</si>
  <si>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</si>
  <si>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</si>
  <si>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</si>
  <si>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</si>
  <si>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</si>
  <si>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</si>
  <si>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</si>
  <si>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</si>
  <si>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</si>
  <si>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</si>
  <si>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</si>
  <si>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</si>
  <si>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</si>
  <si>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</si>
  <si>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</si>
  <si>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</si>
  <si>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</si>
  <si>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</si>
  <si>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</si>
  <si>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</si>
  <si>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</si>
  <si>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</si>
  <si>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</si>
  <si>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</si>
  <si>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</si>
  <si>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</si>
  <si>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</si>
  <si>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</si>
  <si>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</si>
  <si>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</si>
  <si>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</si>
  <si>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</si>
  <si>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</si>
  <si>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</si>
  <si>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</si>
  <si>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</si>
  <si>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</si>
  <si>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</si>
  <si>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</si>
  <si>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</si>
  <si>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</si>
  <si>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</si>
  <si>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</si>
  <si>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</si>
  <si>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</si>
  <si>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</si>
  <si>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</si>
  <si>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</si>
  <si>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</si>
  <si>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</si>
  <si>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</si>
  <si>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</si>
  <si>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</si>
  <si>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</si>
  <si>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</si>
  <si>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</si>
  <si>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</si>
  <si>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</si>
  <si>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</si>
  <si>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</si>
  <si>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</si>
  <si>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</si>
  <si>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</si>
  <si>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</si>
  <si>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</si>
  <si>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</si>
  <si>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</si>
  <si>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</si>
  <si>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</si>
  <si>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</si>
  <si>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</si>
  <si>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</si>
  <si>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</si>
  <si>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</si>
  <si>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</si>
  <si>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</si>
  <si>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</si>
  <si>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</si>
  <si>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</si>
  <si>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</si>
  <si>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</si>
  <si>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</si>
  <si>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</si>
  <si>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</si>
  <si>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</si>
  <si>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</si>
  <si>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</si>
  <si>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</si>
  <si>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</si>
  <si>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</si>
  <si>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</si>
  <si>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</si>
  <si>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</si>
  <si>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</si>
  <si>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</si>
  <si>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</si>
  <si>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</si>
  <si>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</si>
  <si>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</si>
  <si>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</si>
  <si>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</si>
  <si>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</si>
  <si>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</si>
  <si>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</si>
  <si>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</si>
  <si>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</si>
  <si>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</si>
  <si>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</si>
  <si>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</si>
  <si>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</si>
  <si>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</si>
  <si>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</si>
  <si>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</si>
  <si>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</si>
  <si>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</si>
  <si>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</si>
  <si>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</si>
  <si>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</si>
  <si>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</si>
  <si>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</si>
  <si>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</si>
  <si>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</si>
  <si>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</si>
  <si>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</si>
  <si>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</si>
  <si>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</si>
  <si>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</si>
  <si>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</si>
  <si>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</si>
  <si>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</si>
  <si>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</si>
  <si>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</si>
  <si>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</si>
  <si>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</si>
  <si>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</si>
  <si>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</si>
  <si>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</si>
  <si>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</si>
  <si>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</si>
  <si>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</si>
  <si>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</si>
  <si>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</si>
  <si>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</si>
  <si>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</si>
  <si>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</si>
  <si>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</si>
  <si>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</si>
  <si>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</si>
  <si>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</si>
  <si>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</si>
  <si>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</si>
  <si>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</si>
  <si>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</si>
  <si>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</si>
  <si>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</si>
  <si>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</si>
  <si>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</si>
  <si>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</si>
  <si>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</si>
  <si>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</si>
  <si>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</si>
  <si>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</si>
  <si>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</si>
  <si>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</si>
  <si>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</si>
  <si>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</si>
  <si>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</si>
  <si>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</si>
  <si>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</si>
  <si>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</si>
  <si>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</si>
  <si>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</si>
  <si>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</si>
  <si>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</si>
  <si>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</si>
  <si>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</si>
  <si>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</si>
  <si>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</si>
  <si>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</si>
  <si>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</si>
  <si>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</si>
  <si>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</si>
  <si>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</si>
  <si>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</si>
  <si>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</si>
  <si>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</si>
  <si>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</si>
  <si>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</si>
  <si>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</si>
  <si>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</si>
  <si>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</si>
  <si>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</si>
  <si>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</si>
  <si>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</si>
  <si>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</si>
  <si>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</si>
  <si>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</si>
  <si>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</si>
  <si>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</si>
  <si>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</si>
  <si>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</si>
  <si>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</si>
  <si>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</si>
  <si>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</si>
  <si>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</si>
  <si>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</si>
  <si>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</si>
  <si>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</si>
  <si>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</si>
  <si>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</si>
  <si>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</si>
  <si>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</si>
  <si>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</si>
  <si>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</si>
  <si>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</si>
  <si>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</si>
  <si>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</si>
  <si>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</si>
  <si>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</si>
  <si>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</si>
  <si>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</si>
  <si>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</si>
  <si>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</si>
  <si>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</si>
  <si>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</si>
  <si>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</si>
  <si>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</si>
  <si>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</si>
  <si>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</si>
  <si>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</si>
  <si>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</si>
  <si>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</si>
  <si>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</si>
  <si>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</si>
  <si>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</si>
  <si>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</si>
  <si>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</si>
  <si>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</si>
  <si>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</si>
  <si>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</si>
  <si>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</si>
  <si>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</si>
  <si>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</si>
  <si>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</si>
  <si>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</si>
  <si>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</si>
  <si>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</si>
  <si>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</si>
  <si>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</si>
  <si>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</si>
  <si>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</si>
  <si>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</si>
  <si>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</si>
  <si>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</si>
  <si>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</si>
  <si>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</si>
  <si>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</si>
  <si>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</si>
  <si>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</si>
  <si>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</si>
  <si>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</si>
  <si>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</si>
  <si>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</si>
  <si>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</si>
  <si>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</si>
  <si>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</si>
  <si>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</si>
  <si>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</si>
  <si>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</si>
  <si>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</si>
  <si>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</si>
  <si>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</si>
  <si>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</si>
  <si>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</si>
  <si>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</si>
  <si>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</si>
  <si>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</si>
  <si>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</si>
  <si>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</si>
  <si>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</si>
  <si>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</si>
  <si>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</si>
  <si>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</si>
  <si>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</si>
  <si>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</si>
  <si>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</si>
  <si>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</si>
  <si>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</si>
  <si>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</si>
  <si>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</si>
  <si>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</si>
  <si>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</si>
  <si>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</si>
  <si>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</si>
  <si>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</si>
  <si>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</si>
  <si>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</si>
  <si>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</si>
  <si>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</si>
  <si>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</si>
  <si>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</si>
  <si>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</si>
  <si>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</si>
  <si>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</si>
  <si>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</si>
  <si>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</si>
  <si>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</si>
  <si>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</si>
  <si>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</si>
  <si>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</si>
  <si>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</si>
  <si>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</si>
  <si>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</si>
  <si>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</si>
  <si>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</si>
  <si>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</si>
  <si>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</si>
  <si>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</si>
  <si>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</si>
  <si>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</si>
  <si>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</si>
  <si>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</si>
  <si>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</si>
  <si>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</si>
  <si>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</si>
  <si>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</si>
  <si>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</si>
  <si>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</si>
  <si>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</si>
  <si>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</si>
  <si>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</si>
  <si>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</si>
  <si>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</si>
  <si>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</si>
  <si>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Adj. Net Capex</t>
  </si>
  <si>
    <t>Adj. ROC</t>
  </si>
  <si>
    <t>Yuexiu Services Group</t>
  </si>
  <si>
    <t>P/E =</t>
  </si>
  <si>
    <t>Intrinsic</t>
  </si>
  <si>
    <t xml:space="preserve">E/Share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</si>
</sst>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 numFmtId="176"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29">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176" fontId="4" fillId="3" borderId="1"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4" borderId="23" xfId="0" applyFont="1" applyFill="1" applyBorder="1">
      <alignment vertical="center"/>
    </xf>
    <xf numFmtId="0" fontId="4" fillId="3" borderId="23" xfId="0" applyFont="1" applyFill="1" applyBorder="1">
      <alignment vertical="center"/>
    </xf>
    <xf numFmtId="0" fontId="4" fillId="4" borderId="18" xfId="0" applyFont="1" applyFill="1" applyBorder="1" applyAlignment="1">
      <alignment horizontal="center" vertical="center"/>
    </xf>
    <xf numFmtId="0" fontId="4" fillId="0" borderId="0" xfId="0" applyFont="1" applyAlignment="1">
      <alignment horizontal="right"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zoomScaleNormal="100" workbookViewId="0">
      <pane xSplit="1" topLeftCell="F1" activePane="topRight" state="frozen"/>
      <selection activeCell="A4" sqref="A4"/>
      <selection pane="topRight" activeCell="M7" sqref="M7"/>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415</v>
      </c>
      <c r="B2" s="321" t="s">
        <v>597</v>
      </c>
      <c r="C2" s="321"/>
      <c r="E2" s="1" t="s">
        <v>416</v>
      </c>
      <c r="F2" s="193">
        <v>44293</v>
      </c>
    </row>
    <row r="3" spans="1:25">
      <c r="H3" s="304" t="s">
        <v>590</v>
      </c>
      <c r="I3" s="306" t="s">
        <v>574</v>
      </c>
      <c r="J3" s="306" t="s">
        <v>498</v>
      </c>
      <c r="K3" s="308" t="s">
        <v>599</v>
      </c>
      <c r="L3" s="303"/>
      <c r="M3" s="307" t="s">
        <v>574</v>
      </c>
    </row>
    <row r="4" spans="1:25">
      <c r="A4" s="1" t="s">
        <v>417</v>
      </c>
      <c r="B4" s="2" t="s">
        <v>420</v>
      </c>
      <c r="E4" s="1" t="s">
        <v>522</v>
      </c>
      <c r="F4" s="2" t="s">
        <v>508</v>
      </c>
      <c r="H4" s="309" t="s">
        <v>501</v>
      </c>
      <c r="I4" s="139">
        <f>B5/M4</f>
        <v>0</v>
      </c>
      <c r="J4" s="316"/>
      <c r="K4" s="319">
        <f ca="1">Scenarios!$E$14/'Master Inputs'!M4</f>
        <v>5.5207935666825341</v>
      </c>
      <c r="L4" s="311" t="s">
        <v>591</v>
      </c>
      <c r="M4" s="139">
        <f>((B14*C10)/B6)*F6</f>
        <v>1063679371.4500799</v>
      </c>
    </row>
    <row r="5" spans="1:25">
      <c r="A5" s="1" t="s">
        <v>421</v>
      </c>
      <c r="B5" s="314"/>
      <c r="C5" s="215" t="s">
        <v>507</v>
      </c>
      <c r="E5" s="1" t="s">
        <v>423</v>
      </c>
      <c r="F5" s="247" t="str">
        <f>IF(C5=F4,"NA",CONCATENATE(F4,"/",C5))</f>
        <v>RMB/HKD</v>
      </c>
      <c r="H5" s="309" t="s">
        <v>500</v>
      </c>
      <c r="I5" s="139">
        <f>B5/M5</f>
        <v>0</v>
      </c>
      <c r="J5" s="316"/>
      <c r="K5" s="319">
        <f ca="1">Scenarios!$E$14/'Master Inputs'!M5</f>
        <v>18.44411539242882</v>
      </c>
      <c r="L5" s="311" t="s">
        <v>592</v>
      </c>
      <c r="M5" s="139">
        <f>((L14*C10)/B6)*F6</f>
        <v>318386331.13979995</v>
      </c>
    </row>
    <row r="6" spans="1:25">
      <c r="A6" s="1" t="s">
        <v>422</v>
      </c>
      <c r="B6" s="194">
        <v>1</v>
      </c>
      <c r="E6" s="1" t="s">
        <v>588</v>
      </c>
      <c r="F6" s="312">
        <v>1.1867024399999999</v>
      </c>
      <c r="H6" s="309" t="s">
        <v>499</v>
      </c>
      <c r="I6" s="139">
        <f>B5/M6</f>
        <v>0</v>
      </c>
      <c r="J6" s="316"/>
      <c r="K6" s="319">
        <f ca="1">Scenarios!$E$14/'Master Inputs'!M6</f>
        <v>25.917551048345683</v>
      </c>
      <c r="L6" s="311" t="s">
        <v>593</v>
      </c>
      <c r="M6" s="139">
        <f>((D14*C10)/B6)*F6</f>
        <v>226578283.57163998</v>
      </c>
    </row>
    <row r="7" spans="1:25" ht="16.5" thickBot="1">
      <c r="H7" s="310" t="s">
        <v>598</v>
      </c>
      <c r="I7" s="317"/>
      <c r="J7" s="318"/>
      <c r="K7" s="319">
        <f ca="1">Scenarios!$E$14/'Master Inputs'!M7</f>
        <v>36.702213943215767</v>
      </c>
      <c r="L7" s="320" t="s">
        <v>600</v>
      </c>
      <c r="M7" s="138">
        <v>160000000</v>
      </c>
    </row>
    <row r="8" spans="1:25">
      <c r="A8" s="191" t="s">
        <v>424</v>
      </c>
      <c r="B8" s="192"/>
      <c r="C8" s="192"/>
      <c r="D8" s="192"/>
      <c r="E8" s="192"/>
    </row>
    <row r="9" spans="1:25">
      <c r="A9" s="13" t="s">
        <v>12</v>
      </c>
      <c r="B9" s="1" t="s">
        <v>319</v>
      </c>
      <c r="C9" s="2">
        <v>2019</v>
      </c>
      <c r="E9" s="1" t="s">
        <v>545</v>
      </c>
      <c r="F9" s="28">
        <v>12</v>
      </c>
    </row>
    <row r="10" spans="1:25">
      <c r="B10" s="1" t="s">
        <v>529</v>
      </c>
      <c r="C10" s="35">
        <v>1000</v>
      </c>
    </row>
    <row r="11" spans="1:25" s="31" customFormat="1" ht="42.95" customHeight="1">
      <c r="B11" s="32" t="s">
        <v>543</v>
      </c>
      <c r="C11" s="32" t="s">
        <v>544</v>
      </c>
      <c r="D11" s="32" t="s">
        <v>542</v>
      </c>
      <c r="E11" s="32" t="s">
        <v>199</v>
      </c>
      <c r="F11" s="40" t="s">
        <v>205</v>
      </c>
      <c r="G11" s="32" t="s">
        <v>195</v>
      </c>
      <c r="H11" s="32" t="s">
        <v>196</v>
      </c>
      <c r="I11" s="32" t="s">
        <v>372</v>
      </c>
      <c r="J11" s="32" t="s">
        <v>373</v>
      </c>
      <c r="K11" s="32" t="s">
        <v>589</v>
      </c>
      <c r="L11" s="32" t="s">
        <v>211</v>
      </c>
      <c r="M11" s="32" t="s">
        <v>594</v>
      </c>
      <c r="N11" s="32" t="s">
        <v>197</v>
      </c>
      <c r="O11" s="32" t="s">
        <v>383</v>
      </c>
      <c r="P11" s="136" t="s">
        <v>546</v>
      </c>
      <c r="Q11" s="32" t="s">
        <v>384</v>
      </c>
      <c r="R11" s="32" t="s">
        <v>551</v>
      </c>
      <c r="S11" s="32" t="s">
        <v>318</v>
      </c>
      <c r="T11" s="32" t="s">
        <v>198</v>
      </c>
      <c r="U11" s="32" t="s">
        <v>541</v>
      </c>
      <c r="V11" s="32" t="s">
        <v>315</v>
      </c>
      <c r="W11" s="32" t="s">
        <v>553</v>
      </c>
      <c r="X11" s="40" t="s">
        <v>382</v>
      </c>
      <c r="Y11" s="32" t="s">
        <v>510</v>
      </c>
    </row>
    <row r="12" spans="1:25" ht="29.1" customHeight="1" outlineLevel="1">
      <c r="A12" s="100" t="str">
        <f>CONCATENATE("First X months of ",$C$9+1)</f>
        <v>First X months of 2020</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2019</v>
      </c>
      <c r="B13" s="19">
        <v>896332</v>
      </c>
      <c r="C13" s="99">
        <f>IF(OR(In_Sales="",B16=""),"",(In_Sales-B16)/B16)</f>
        <v>0.17505197941274406</v>
      </c>
      <c r="D13" s="37">
        <v>190931</v>
      </c>
      <c r="E13" s="99">
        <f>IF(In_Sales="","",In_EBIT/In_Sales)</f>
        <v>0.2130137047433317</v>
      </c>
      <c r="F13" s="99">
        <f>IF(OR(In_EBIT="",$D16=""),"",In_EBIT/D16-1)</f>
        <v>0.63244699042407659</v>
      </c>
      <c r="G13" s="19">
        <v>64763</v>
      </c>
      <c r="H13" s="18">
        <f>35101/128308</f>
        <v>0.27356828880506284</v>
      </c>
      <c r="I13" s="138">
        <v>2756097</v>
      </c>
      <c r="J13" s="138">
        <v>1726378</v>
      </c>
      <c r="K13" s="37">
        <f>106000+66946+875000+70550</f>
        <v>1118496</v>
      </c>
      <c r="L13" s="37">
        <v>268295</v>
      </c>
      <c r="M13" s="37">
        <v>9389</v>
      </c>
      <c r="N13" s="37">
        <v>773689</v>
      </c>
      <c r="O13" s="37">
        <v>35558</v>
      </c>
      <c r="P13" s="14"/>
      <c r="Q13" s="83">
        <f>Current_Asset-In_Cash+In_Debt-Current_Liabilities</f>
        <v>1374526</v>
      </c>
      <c r="R13" s="99">
        <f>NonCash_WC/In_Sales</f>
        <v>1.5335009795477568</v>
      </c>
      <c r="S13" s="37">
        <f>20438+2877-228</f>
        <v>23087</v>
      </c>
      <c r="T13" s="37">
        <f>7142+70324+1358</f>
        <v>78824</v>
      </c>
      <c r="U13" s="39">
        <f>In_Capex-In_Dep</f>
        <v>-55737</v>
      </c>
      <c r="V13" s="99">
        <f>In_NetCapex/In_Sales</f>
        <v>-6.2183432031881043E-2</v>
      </c>
      <c r="W13" s="39">
        <f>NonCash_WC-Q16</f>
        <v>-313969</v>
      </c>
      <c r="X13" s="99">
        <f>(In_NetCapex+In_WCInv)/(In_EBIT*(1-Adj_Effective_T))</f>
        <v>-2.6655403267629398</v>
      </c>
      <c r="Y13" s="99">
        <f>(In_EBIT*(1-Adj_Effective_T))/(L16+K16-N16-O16)</f>
        <v>0.17422290631689424</v>
      </c>
    </row>
    <row r="14" spans="1:25" ht="29.1" customHeight="1">
      <c r="A14" s="102" t="str">
        <f>CONCATENATE("LTM of ",$C$9)</f>
        <v>LTM of 2019</v>
      </c>
      <c r="B14" s="20">
        <f>IF(M_beyond10K=12,B13,B13-B15+B12)</f>
        <v>896332</v>
      </c>
      <c r="C14" s="27">
        <f>IF(OR(In_Sales="",B17=""),"",In_Sales/B17-1)</f>
        <v>0.17505197941274409</v>
      </c>
      <c r="D14" s="20">
        <f>IF(M_beyond10K=12,D13,D13-D15+D12)</f>
        <v>190931</v>
      </c>
      <c r="E14" s="27">
        <f>In_EBIT/In_Sales</f>
        <v>0.2130137047433317</v>
      </c>
      <c r="F14" s="41">
        <f>IF(D17="","",In_EBIT/D17-1)</f>
        <v>0.63244699042407659</v>
      </c>
      <c r="G14" s="20">
        <f>IF(F9=12,G13,G13-G15+G12)</f>
        <v>64763</v>
      </c>
      <c r="H14" s="27">
        <f>IF(F9=12,H13,H13*((12-$F$9)/12)+H12*($F$9/12))</f>
        <v>0.27356828880506284</v>
      </c>
      <c r="I14" s="20">
        <f t="shared" ref="I14:O14" si="0">IF(M_beyond10K=12,I13,I12)</f>
        <v>2756097</v>
      </c>
      <c r="J14" s="20">
        <f t="shared" si="0"/>
        <v>1726378</v>
      </c>
      <c r="K14" s="20">
        <f t="shared" si="0"/>
        <v>1118496</v>
      </c>
      <c r="L14" s="20">
        <f t="shared" si="0"/>
        <v>268295</v>
      </c>
      <c r="M14" s="20">
        <f t="shared" si="0"/>
        <v>9389</v>
      </c>
      <c r="N14" s="20">
        <f t="shared" si="0"/>
        <v>773689</v>
      </c>
      <c r="O14" s="20">
        <f t="shared" si="0"/>
        <v>35558</v>
      </c>
      <c r="P14" s="137">
        <f>In_Debt+In_Equity</f>
        <v>1386791</v>
      </c>
      <c r="Q14" s="20">
        <f>Current_Asset+In_Debt-Current_Liabilities-In_Cash</f>
        <v>1374526</v>
      </c>
      <c r="R14" s="27">
        <f>NonCash_WC/In_Sales</f>
        <v>1.5335009795477568</v>
      </c>
      <c r="S14" s="20">
        <f>IF(M_beyond10K=12,S13,S13-S15+S12)</f>
        <v>23087</v>
      </c>
      <c r="T14" s="20">
        <f>IF(M_beyond10K=12,T13,T13-T15+T12)</f>
        <v>78824</v>
      </c>
      <c r="U14" s="20">
        <f>In_Capex-In_Dep</f>
        <v>-55737</v>
      </c>
      <c r="V14" s="27">
        <f>In_NetCapex/In_Sales</f>
        <v>-6.2183432031881043E-2</v>
      </c>
      <c r="W14" s="20">
        <f>NonCash_WC-Q17</f>
        <v>-313969</v>
      </c>
      <c r="X14" s="27">
        <f>(S14-T14+W14)/(D14*(1-Adj!$C$36))</f>
        <v>-2.6655403267629398</v>
      </c>
      <c r="Y14" s="27">
        <f>(In_EBIT*(1-Adj_Effective_T))/(P17-N17)</f>
        <v>0.16785753728147465</v>
      </c>
    </row>
    <row r="15" spans="1:25" ht="29.1" customHeight="1" outlineLevel="1">
      <c r="A15" s="100" t="str">
        <f>CONCATENATE("First X months of ",$C$9)</f>
        <v>First X months of 2019</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2018</v>
      </c>
      <c r="B16" s="19">
        <v>762802</v>
      </c>
      <c r="C16" s="99" t="str">
        <f>IF(OR(In_Sales="",B19=""),"",(In_Sales-B19)/B19)</f>
        <v/>
      </c>
      <c r="D16" s="37">
        <v>116960</v>
      </c>
      <c r="E16" s="99">
        <f t="shared" si="1"/>
        <v>0.15332943542360927</v>
      </c>
      <c r="F16" s="99" t="str">
        <f>IF(OR(In_EBIT="",$D19=""),"",(In_EBIT-D19)/D19)</f>
        <v/>
      </c>
      <c r="G16" s="19">
        <v>52848</v>
      </c>
      <c r="H16" s="18">
        <f>18558/65872</f>
        <v>0.28172820014573718</v>
      </c>
      <c r="I16" s="138">
        <v>2477252</v>
      </c>
      <c r="J16" s="138">
        <v>1431380</v>
      </c>
      <c r="K16" s="37">
        <f>981000+97670+99000+63090</f>
        <v>1240760</v>
      </c>
      <c r="L16" s="37">
        <v>183663</v>
      </c>
      <c r="M16" s="37">
        <v>12684</v>
      </c>
      <c r="N16" s="37">
        <v>598137</v>
      </c>
      <c r="O16" s="37">
        <v>30189</v>
      </c>
      <c r="P16" s="14"/>
      <c r="Q16" s="83">
        <f t="shared" si="2"/>
        <v>1688495</v>
      </c>
      <c r="R16" s="99">
        <f>IF(In_Sales="","",NonCash_WC/In_Sales)</f>
        <v>2.2135429639670581</v>
      </c>
      <c r="S16" s="37">
        <f>12375+2080-3</f>
        <v>14452</v>
      </c>
      <c r="T16" s="37">
        <f>5293+65440+872</f>
        <v>71605</v>
      </c>
      <c r="U16" s="39">
        <f t="shared" si="3"/>
        <v>-57153</v>
      </c>
      <c r="V16" s="99">
        <f t="shared" si="4"/>
        <v>-7.4925078854014546E-2</v>
      </c>
      <c r="W16" s="38" t="str">
        <f t="shared" si="5"/>
        <v/>
      </c>
      <c r="X16" s="99" t="str">
        <f t="shared" si="6"/>
        <v/>
      </c>
      <c r="Y16" s="99" t="str">
        <f>IF(L19="","",(In_EBIT*(1-Adj_Effective_T))/(L19+K19-N19-O19))</f>
        <v/>
      </c>
    </row>
    <row r="17" spans="1:25" ht="29.1" customHeight="1">
      <c r="A17" s="102" t="str">
        <f>CONCATENATE("LTM of ",$C$9-1)</f>
        <v>LTM of 2018</v>
      </c>
      <c r="B17" s="20">
        <f>IF(B16="","",IF(M_beyond10K=12,B16,B16-B18+B15))</f>
        <v>762802</v>
      </c>
      <c r="C17" s="27" t="str">
        <f>IF(OR(In_Sales="",B20=""),"",In_Sales/B20-1)</f>
        <v/>
      </c>
      <c r="D17" s="20">
        <f>IF(D16="","",IF(M_beyond10K=12,D16,D16-D18+D15))</f>
        <v>116960</v>
      </c>
      <c r="E17" s="27">
        <f t="shared" si="1"/>
        <v>0.15332943542360927</v>
      </c>
      <c r="F17" s="41" t="str">
        <f>IF(D20="","",In_EBIT/D20-1)</f>
        <v/>
      </c>
      <c r="G17" s="20">
        <f>IF(In_Sales="","",IF(F$9=12,G16,G16-G18+G15))</f>
        <v>52848</v>
      </c>
      <c r="H17" s="27">
        <f>IF(B17="","",IF(F$9=12,H16,H16*((12-$F$9)/12)+H15*($F$9/12)))</f>
        <v>0.28172820014573718</v>
      </c>
      <c r="I17" s="20">
        <f t="shared" ref="I17:O17" si="7">IF(In_Sales="","",IF(M_beyond10K=12,I16,I15))</f>
        <v>2477252</v>
      </c>
      <c r="J17" s="20">
        <f t="shared" si="7"/>
        <v>1431380</v>
      </c>
      <c r="K17" s="20">
        <f t="shared" si="7"/>
        <v>1240760</v>
      </c>
      <c r="L17" s="20">
        <f t="shared" si="7"/>
        <v>183663</v>
      </c>
      <c r="M17" s="20">
        <f t="shared" si="7"/>
        <v>12684</v>
      </c>
      <c r="N17" s="20">
        <f t="shared" si="7"/>
        <v>598137</v>
      </c>
      <c r="O17" s="20">
        <f t="shared" si="7"/>
        <v>30189</v>
      </c>
      <c r="P17" s="137">
        <f>IF(In_Sales="","",In_Debt+In_Equity)</f>
        <v>1424423</v>
      </c>
      <c r="Q17" s="20">
        <f t="shared" si="2"/>
        <v>1688495</v>
      </c>
      <c r="R17" s="27">
        <f>IF(In_Sales="","",NonCash_WC/In_Sales)</f>
        <v>2.2135429639670581</v>
      </c>
      <c r="S17" s="20">
        <f>IF(In_Sales="","",IF(M_beyond10K=12,S16,S16-S18+S15))</f>
        <v>14452</v>
      </c>
      <c r="T17" s="20">
        <f>IF(In_Sales="","",IF(M_beyond10K=12,T16,T16-T18+T15))</f>
        <v>71605</v>
      </c>
      <c r="U17" s="20">
        <f t="shared" si="3"/>
        <v>-57153</v>
      </c>
      <c r="V17" s="27">
        <f t="shared" si="4"/>
        <v>-7.4925078854014546E-2</v>
      </c>
      <c r="W17" s="20" t="str">
        <f t="shared" si="5"/>
        <v/>
      </c>
      <c r="X17" s="27" t="str">
        <f t="shared" si="6"/>
        <v/>
      </c>
      <c r="Y17" s="27" t="str">
        <f>IF(P20="","",(In_EBIT*(1-Adj_Effective_T))/(P20-N20))</f>
        <v/>
      </c>
    </row>
    <row r="18" spans="1:25" ht="29.1" customHeight="1" outlineLevel="1">
      <c r="A18" s="100" t="str">
        <f>CONCATENATE("First X months of ",$C$9-1)</f>
        <v>First X months of 2018</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2017</v>
      </c>
      <c r="B19" s="19"/>
      <c r="C19" s="99" t="str">
        <f>IF(OR(In_Sales="",B22=""),"",(In_Sales-B22)/B22)</f>
        <v/>
      </c>
      <c r="D19" s="37"/>
      <c r="E19" s="99" t="str">
        <f t="shared" si="1"/>
        <v/>
      </c>
      <c r="F19" s="99" t="str">
        <f>IF(OR(In_EBIT="",$D22=""),"",(In_EBIT-D22)/D22)</f>
        <v/>
      </c>
      <c r="G19" s="19"/>
      <c r="H19" s="18"/>
      <c r="I19" s="138"/>
      <c r="J19" s="138"/>
      <c r="K19" s="37"/>
      <c r="L19" s="37"/>
      <c r="M19" s="37"/>
      <c r="N19" s="37"/>
      <c r="O19" s="37"/>
      <c r="P19" s="14"/>
      <c r="Q19" s="83" t="str">
        <f t="shared" si="2"/>
        <v/>
      </c>
      <c r="R19" s="99" t="str">
        <f>IF(In_Sales="","",NonCash_WC/In_Sales)</f>
        <v/>
      </c>
      <c r="S19" s="37"/>
      <c r="T19" s="37"/>
      <c r="U19" s="39" t="str">
        <f t="shared" si="3"/>
        <v/>
      </c>
      <c r="V19" s="99" t="str">
        <f t="shared" si="4"/>
        <v/>
      </c>
      <c r="W19" s="38" t="str">
        <f t="shared" si="5"/>
        <v/>
      </c>
      <c r="X19" s="99" t="str">
        <f t="shared" si="6"/>
        <v/>
      </c>
      <c r="Y19" s="99" t="str">
        <f>IF(L22="","",(In_EBIT*(1-Adj_Effective_T))/(L22+K22-N22-O22))</f>
        <v/>
      </c>
    </row>
    <row r="20" spans="1:25" ht="29.1" customHeight="1">
      <c r="A20" s="102" t="str">
        <f>CONCATENATE("LTM of ",$C$9-2)</f>
        <v>LTM of 2017</v>
      </c>
      <c r="B20" s="20" t="str">
        <f>IF(B19="","",IF(M_beyond10K=12,B19,B19-B21+B18))</f>
        <v/>
      </c>
      <c r="C20" s="27" t="str">
        <f>IF(OR(In_Sales="",B23=""),"",In_Sales/B23-1)</f>
        <v/>
      </c>
      <c r="D20" s="20" t="str">
        <f>IF(D19="","",IF(M_beyond10K=12,D19,D19-D21+D18))</f>
        <v/>
      </c>
      <c r="E20" s="27" t="str">
        <f t="shared" si="1"/>
        <v/>
      </c>
      <c r="F20" s="41" t="str">
        <f>IF(D23="","",In_EBIT/D23-1)</f>
        <v/>
      </c>
      <c r="G20" s="20" t="str">
        <f>IF(In_Sales="","",IF(F$9=12,G19,G19-G21+G18))</f>
        <v/>
      </c>
      <c r="H20" s="27" t="str">
        <f>IF(B20="","",IF(F$9=12,H19,H19*((12-$F$9)/12)+H18*($F$9/12)))</f>
        <v/>
      </c>
      <c r="I20" s="20" t="str">
        <f t="shared" ref="I20:O20" si="8">IF(In_Sales="","",IF(M_beyond10K=12,I19,I18))</f>
        <v/>
      </c>
      <c r="J20" s="20" t="str">
        <f t="shared" si="8"/>
        <v/>
      </c>
      <c r="K20" s="20" t="str">
        <f t="shared" si="8"/>
        <v/>
      </c>
      <c r="L20" s="20" t="str">
        <f t="shared" si="8"/>
        <v/>
      </c>
      <c r="M20" s="20" t="str">
        <f t="shared" si="8"/>
        <v/>
      </c>
      <c r="N20" s="20" t="str">
        <f t="shared" si="8"/>
        <v/>
      </c>
      <c r="O20" s="20" t="str">
        <f t="shared" si="8"/>
        <v/>
      </c>
      <c r="P20" s="137" t="str">
        <f>IF(In_Sales="","",In_Debt+In_Equity)</f>
        <v/>
      </c>
      <c r="Q20" s="20" t="str">
        <f t="shared" si="2"/>
        <v/>
      </c>
      <c r="R20" s="27" t="str">
        <f>IF(In_Sales="","",NonCash_WC/In_Sales)</f>
        <v/>
      </c>
      <c r="S20" s="20" t="str">
        <f>IF(In_Sales="","",IF(M_beyond10K=12,S19,S19-S21+S18))</f>
        <v/>
      </c>
      <c r="T20" s="20" t="str">
        <f>IF(In_Sales="","",IF(M_beyond10K=12,T19,T19-T21+T18))</f>
        <v/>
      </c>
      <c r="U20" s="20" t="str">
        <f t="shared" si="3"/>
        <v/>
      </c>
      <c r="V20" s="27" t="str">
        <f t="shared" si="4"/>
        <v/>
      </c>
      <c r="W20" s="20" t="str">
        <f t="shared" si="5"/>
        <v/>
      </c>
      <c r="X20" s="27" t="str">
        <f t="shared" si="6"/>
        <v/>
      </c>
      <c r="Y20" s="27" t="str">
        <f>IF(P23="","",(In_EBIT*(1-Adj_Effective_T))/(P23-N23-O23))</f>
        <v/>
      </c>
    </row>
    <row r="21" spans="1:25" ht="29.1" customHeight="1" outlineLevel="1">
      <c r="A21" s="100" t="str">
        <f>CONCATENATE("First X months of ",$C$9-2)</f>
        <v>First X months of 2017</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2016</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2016</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2016</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2015</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2015</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2015</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2014</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2014</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2014</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2013</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2013</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2013</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2012</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2012</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2012</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2011</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2011</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2011</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2010</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2010</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2010</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6"/>
  <sheetViews>
    <sheetView topLeftCell="A28" zoomScaleNormal="100" workbookViewId="0">
      <selection activeCell="C49" sqref="C49"/>
    </sheetView>
  </sheetViews>
  <sheetFormatPr defaultColWidth="11" defaultRowHeight="15.75"/>
  <cols>
    <col min="1" max="1" width="23.875" style="117" customWidth="1"/>
    <col min="2" max="11" width="16.875" style="117" customWidth="1"/>
    <col min="12" max="16384" width="11" style="117"/>
  </cols>
  <sheetData>
    <row r="1" spans="1:11">
      <c r="A1" s="163" t="s">
        <v>380</v>
      </c>
      <c r="B1" s="147"/>
    </row>
    <row r="3" spans="1:11">
      <c r="A3" s="21" t="s">
        <v>569</v>
      </c>
    </row>
    <row r="4" spans="1:11">
      <c r="A4" s="128"/>
      <c r="B4" s="133" t="str">
        <f>'Master Inputs'!A14</f>
        <v>LTM of 2019</v>
      </c>
      <c r="C4" s="133" t="str">
        <f>IF('Master Inputs'!B17="","",'Master Inputs'!A17)</f>
        <v>LTM of 2018</v>
      </c>
      <c r="D4" s="133" t="str">
        <f>IF('Master Inputs'!B20="","",'Master Inputs'!A20)</f>
        <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360</v>
      </c>
      <c r="B5" s="127">
        <f>IF(B$4="","",'Master Inputs'!$D$14)</f>
        <v>190931</v>
      </c>
      <c r="C5" s="127">
        <f>IF(C$4="","",'Master Inputs'!$D$17)</f>
        <v>116960</v>
      </c>
      <c r="D5" s="127" t="str">
        <f>IF(D$4="","",'Master Inputs'!$D$20)</f>
        <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381</v>
      </c>
      <c r="B6" s="29">
        <f>IF(B$4="","",'Master Inputs'!$Y14)</f>
        <v>0.16785753728147465</v>
      </c>
      <c r="C6" s="29" t="str">
        <f>IF(C$4="","",'Master Inputs'!$Y17)</f>
        <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377</v>
      </c>
      <c r="C8" s="159" t="s">
        <v>15</v>
      </c>
      <c r="D8" s="165" t="str">
        <f>IF(C8="Yes",CONCATENATE("Go to R&amp;D expense Worksheet at ",ADDRESS(ROW(A67),1)),"")</f>
        <v/>
      </c>
      <c r="E8" s="289" t="s">
        <v>411</v>
      </c>
      <c r="F8" s="290"/>
      <c r="G8" s="291"/>
    </row>
    <row r="9" spans="1:11">
      <c r="A9" s="154" t="s">
        <v>586</v>
      </c>
      <c r="C9" s="155">
        <v>1</v>
      </c>
      <c r="D9" s="161"/>
      <c r="E9" s="292" t="s">
        <v>414</v>
      </c>
      <c r="F9" s="122"/>
      <c r="G9" s="293" t="s">
        <v>307</v>
      </c>
    </row>
    <row r="10" spans="1:11">
      <c r="A10" s="15"/>
      <c r="C10" s="259"/>
      <c r="D10" s="162"/>
      <c r="E10" s="294" t="s">
        <v>400</v>
      </c>
      <c r="F10" s="122"/>
      <c r="G10" s="295" t="s">
        <v>261</v>
      </c>
    </row>
    <row r="11" spans="1:11">
      <c r="A11" s="156" t="s">
        <v>389</v>
      </c>
      <c r="C11" s="157">
        <f>B5</f>
        <v>190931</v>
      </c>
      <c r="D11" s="248"/>
      <c r="E11" s="294"/>
      <c r="F11" s="122"/>
      <c r="G11" s="296"/>
    </row>
    <row r="12" spans="1:11">
      <c r="A12" s="117" t="s">
        <v>387</v>
      </c>
      <c r="C12" s="127">
        <f>AVERAGE(B6:K6)*Cur_Op_Assets</f>
        <v>232783.32198411351</v>
      </c>
      <c r="D12" s="162"/>
      <c r="E12" s="294" t="s">
        <v>305</v>
      </c>
      <c r="F12" s="122"/>
      <c r="G12" s="297">
        <v>0.13100000000000001</v>
      </c>
    </row>
    <row r="13" spans="1:11">
      <c r="A13" s="156" t="s">
        <v>388</v>
      </c>
      <c r="C13" s="157">
        <f>G13*'Master Inputs'!B14</f>
        <v>62653.606800000001</v>
      </c>
      <c r="D13" s="161"/>
      <c r="E13" s="294" t="s">
        <v>385</v>
      </c>
      <c r="F13" s="122"/>
      <c r="G13" s="297">
        <v>6.9900000000000004E-2</v>
      </c>
    </row>
    <row r="14" spans="1:11">
      <c r="E14" s="294" t="s">
        <v>399</v>
      </c>
      <c r="F14" s="122"/>
      <c r="G14" s="297">
        <v>0.57720000000000005</v>
      </c>
    </row>
    <row r="15" spans="1:11">
      <c r="A15" s="15" t="s">
        <v>568</v>
      </c>
      <c r="D15" s="165"/>
      <c r="E15" s="294" t="s">
        <v>398</v>
      </c>
      <c r="F15" s="122"/>
      <c r="G15" s="297">
        <v>6.5100000000000005E-2</v>
      </c>
    </row>
    <row r="16" spans="1:11">
      <c r="A16" s="117" t="s">
        <v>549</v>
      </c>
      <c r="C16" s="158">
        <f ca="1">INDIRECT(ADDRESS(ROW(C9)+1+C9,COLUMN(C9)))+F92</f>
        <v>190931</v>
      </c>
      <c r="D16" s="165"/>
      <c r="E16" s="294" t="s">
        <v>346</v>
      </c>
      <c r="F16" s="122"/>
      <c r="G16" s="298">
        <v>1.07</v>
      </c>
    </row>
    <row r="17" spans="1:7">
      <c r="A17" s="117" t="s">
        <v>577</v>
      </c>
      <c r="C17" s="268">
        <f>F91</f>
        <v>0</v>
      </c>
      <c r="D17" s="165"/>
      <c r="E17" s="294" t="s">
        <v>412</v>
      </c>
      <c r="F17" s="122"/>
      <c r="G17" s="297">
        <v>0.20749999999999999</v>
      </c>
    </row>
    <row r="18" spans="1:7" ht="16.5" thickBot="1">
      <c r="A18" s="117" t="s">
        <v>595</v>
      </c>
      <c r="C18" s="315">
        <f>'Master Inputs'!S14-'Master Inputs'!T14+NetCapex_Adj</f>
        <v>-55737</v>
      </c>
      <c r="D18" s="165"/>
      <c r="E18" s="299" t="s">
        <v>413</v>
      </c>
      <c r="F18" s="300"/>
      <c r="G18" s="301">
        <v>3.3300000000000003E-2</v>
      </c>
    </row>
    <row r="20" spans="1:7">
      <c r="A20" s="21" t="s">
        <v>571</v>
      </c>
    </row>
    <row r="21" spans="1:7">
      <c r="A21" s="117" t="s">
        <v>556</v>
      </c>
      <c r="C21" s="159" t="s">
        <v>147</v>
      </c>
      <c r="E21" s="118"/>
    </row>
    <row r="22" spans="1:7">
      <c r="E22" s="118"/>
    </row>
    <row r="23" spans="1:7">
      <c r="A23" s="117" t="s">
        <v>578</v>
      </c>
      <c r="C23" s="268">
        <f>IF(C21="Average",('Master Inputs'!K14+'Master Inputs'!K17)/2,'Master Inputs'!K17)</f>
        <v>1240760</v>
      </c>
      <c r="D23" s="112"/>
      <c r="E23" s="112"/>
      <c r="F23" s="112"/>
      <c r="G23" s="112"/>
    </row>
    <row r="24" spans="1:7">
      <c r="A24" s="117" t="s">
        <v>579</v>
      </c>
      <c r="C24" s="268">
        <f>IF(C21="Average",('Master Inputs'!L14+'Master Inputs'!L17)/2,'Master Inputs'!L17)+F93</f>
        <v>183663</v>
      </c>
      <c r="D24" s="112"/>
      <c r="E24" s="112"/>
      <c r="F24" s="112"/>
      <c r="G24" s="112"/>
    </row>
    <row r="25" spans="1:7">
      <c r="A25" s="117" t="s">
        <v>580</v>
      </c>
      <c r="C25" s="268">
        <f>C23+C24</f>
        <v>1424423</v>
      </c>
      <c r="D25" s="112"/>
      <c r="E25" s="112"/>
      <c r="F25" s="112"/>
      <c r="G25" s="112"/>
    </row>
    <row r="26" spans="1:7">
      <c r="A26" s="117" t="s">
        <v>378</v>
      </c>
      <c r="C26" s="268">
        <f>IF(C21="Average",('Master Inputs'!N14+'Master Inputs'!N17)/2,'Master Inputs'!N17)</f>
        <v>598137</v>
      </c>
      <c r="D26" s="112"/>
      <c r="E26" s="112"/>
      <c r="F26" s="112"/>
      <c r="G26" s="119"/>
    </row>
    <row r="27" spans="1:7">
      <c r="A27" s="117" t="s">
        <v>379</v>
      </c>
      <c r="C27" s="268">
        <f>IF(C21="Average",('Master Inputs'!O14+'Master Inputs'!O17)/2,'Master Inputs'!O17)</f>
        <v>30189</v>
      </c>
      <c r="D27" s="112"/>
      <c r="E27" s="112"/>
      <c r="F27" s="112"/>
      <c r="G27" s="119"/>
    </row>
    <row r="28" spans="1:7">
      <c r="D28" s="112"/>
      <c r="E28" s="112"/>
      <c r="F28" s="112"/>
      <c r="G28" s="112"/>
    </row>
    <row r="29" spans="1:7">
      <c r="A29" s="21" t="s">
        <v>570</v>
      </c>
      <c r="D29" s="112"/>
      <c r="E29" s="112"/>
      <c r="F29" s="112"/>
      <c r="G29" s="112"/>
    </row>
    <row r="30" spans="1:7">
      <c r="A30" s="117" t="s">
        <v>386</v>
      </c>
      <c r="C30" s="155">
        <v>1</v>
      </c>
    </row>
    <row r="32" spans="1:7">
      <c r="A32" s="156" t="s">
        <v>527</v>
      </c>
      <c r="C32" s="221">
        <f>Cur_Effective_T</f>
        <v>0.27356828880506284</v>
      </c>
    </row>
    <row r="33" spans="1:11">
      <c r="A33" s="117" t="s">
        <v>528</v>
      </c>
      <c r="C33" s="141">
        <v>0.25</v>
      </c>
    </row>
    <row r="34" spans="1:11">
      <c r="A34" s="156" t="s">
        <v>364</v>
      </c>
      <c r="C34" s="224">
        <v>0</v>
      </c>
    </row>
    <row r="35" spans="1:11">
      <c r="A35" s="156"/>
    </row>
    <row r="36" spans="1:11">
      <c r="A36" s="13" t="s">
        <v>552</v>
      </c>
      <c r="C36" s="164">
        <f>IF(C30=1,C32,IF(C30=2,Marginal_TaxRate,C34))</f>
        <v>0.27356828880506284</v>
      </c>
    </row>
    <row r="38" spans="1:11">
      <c r="A38" s="21" t="s">
        <v>572</v>
      </c>
    </row>
    <row r="39" spans="1:11">
      <c r="A39" s="128"/>
      <c r="B39" s="129" t="str">
        <f>'Master Inputs'!A14</f>
        <v>LTM of 2019</v>
      </c>
      <c r="C39" s="129" t="str">
        <f>IF('Master Inputs'!B17="","",'Master Inputs'!A17)</f>
        <v>LTM of 2018</v>
      </c>
      <c r="D39" s="129" t="str">
        <f>IF('Master Inputs'!B20="","",'Master Inputs'!A20)</f>
        <v/>
      </c>
      <c r="E39" s="129" t="str">
        <f>IF('Master Inputs'!B23="","",'Master Inputs'!A23)</f>
        <v/>
      </c>
      <c r="F39" s="129" t="str">
        <f>IF('Master Inputs'!B26="","",'Master Inputs'!A26)</f>
        <v/>
      </c>
      <c r="G39" s="129" t="str">
        <f>IF('Master Inputs'!B29="","",'Master Inputs'!A29)</f>
        <v/>
      </c>
      <c r="H39" s="129" t="str">
        <f>IF('Master Inputs'!B32="","",'Master Inputs'!A32)</f>
        <v/>
      </c>
      <c r="I39" s="129" t="str">
        <f>IF('Master Inputs'!B35="","",'Master Inputs'!A35)</f>
        <v/>
      </c>
      <c r="J39" s="129" t="str">
        <f>IF('Master Inputs'!B38="","",'Master Inputs'!A38)</f>
        <v/>
      </c>
      <c r="K39" s="129" t="str">
        <f>IF('Master Inputs'!B41="","",'Master Inputs'!A41)</f>
        <v/>
      </c>
    </row>
    <row r="40" spans="1:11">
      <c r="A40" s="128" t="s">
        <v>596</v>
      </c>
      <c r="B40" s="29">
        <f>IF(B39="","",'Master Inputs'!$Y$14)</f>
        <v>0.16785753728147465</v>
      </c>
      <c r="C40" s="29" t="str">
        <f>IF(C39="","",'Master Inputs'!$Y$17)</f>
        <v/>
      </c>
      <c r="D40" s="29" t="str">
        <f>IF(D39="","",'Master Inputs'!$Y$20)</f>
        <v/>
      </c>
      <c r="E40" s="29" t="str">
        <f>IF(E39="","",'Master Inputs'!$Y$23)</f>
        <v/>
      </c>
      <c r="F40" s="29" t="str">
        <f>IF(F39="","",'Master Inputs'!$Y$26)</f>
        <v/>
      </c>
      <c r="G40" s="29" t="str">
        <f>IF(G39="","",'Master Inputs'!$Y$29)</f>
        <v/>
      </c>
      <c r="H40" s="29" t="str">
        <f>IF(H39="","",'Master Inputs'!$Y$32)</f>
        <v/>
      </c>
      <c r="I40" s="29" t="str">
        <f>IF(I39="","",'Master Inputs'!$Y$35)</f>
        <v/>
      </c>
      <c r="J40" s="29" t="str">
        <f>IF(J39="","",'Master Inputs'!$Y$38)</f>
        <v/>
      </c>
      <c r="K40" s="29" t="str">
        <f>IF(K39="","",'Master Inputs'!$Y$41)</f>
        <v/>
      </c>
    </row>
    <row r="42" spans="1:11">
      <c r="A42" s="117" t="s">
        <v>396</v>
      </c>
      <c r="C42" s="29">
        <f ca="1">Adj_Ebit*(1-Adj_Effective_T)/(C25-C26-C27)</f>
        <v>0.17422290631689424</v>
      </c>
    </row>
    <row r="43" spans="1:11">
      <c r="A43" s="117" t="s">
        <v>393</v>
      </c>
      <c r="C43" s="29">
        <f>AVERAGE(B40:K40)</f>
        <v>0.16785753728147465</v>
      </c>
    </row>
    <row r="44" spans="1:11">
      <c r="A44" s="117" t="s">
        <v>397</v>
      </c>
      <c r="C44" s="29">
        <f>G15</f>
        <v>6.5100000000000005E-2</v>
      </c>
    </row>
    <row r="45" spans="1:11">
      <c r="A45" s="117" t="s">
        <v>395</v>
      </c>
      <c r="C45" s="141">
        <v>0.3</v>
      </c>
    </row>
    <row r="46" spans="1:11">
      <c r="D46" s="94"/>
    </row>
    <row r="47" spans="1:11">
      <c r="B47" s="250" t="s">
        <v>408</v>
      </c>
      <c r="C47" s="250" t="s">
        <v>374</v>
      </c>
      <c r="D47" s="250" t="s">
        <v>409</v>
      </c>
    </row>
    <row r="48" spans="1:11">
      <c r="A48" s="15" t="s">
        <v>363</v>
      </c>
      <c r="B48" s="141">
        <f>C48*0.9</f>
        <v>0.27</v>
      </c>
      <c r="C48" s="257">
        <f>C45</f>
        <v>0.3</v>
      </c>
      <c r="D48" s="141">
        <f>C48*1.1</f>
        <v>0.33</v>
      </c>
    </row>
    <row r="50" spans="1:11">
      <c r="A50" s="21" t="s">
        <v>349</v>
      </c>
    </row>
    <row r="51" spans="1:11">
      <c r="A51" s="128"/>
      <c r="B51" s="129" t="str">
        <f>'Master Inputs'!A14</f>
        <v>LTM of 2019</v>
      </c>
      <c r="C51" s="129" t="str">
        <f>IF('Master Inputs'!B17="","",'Master Inputs'!A17)</f>
        <v>LTM of 2018</v>
      </c>
      <c r="D51" s="129" t="str">
        <f>IF('Master Inputs'!B20="","",'Master Inputs'!A20)</f>
        <v/>
      </c>
      <c r="E51" s="129" t="str">
        <f>IF('Master Inputs'!B23="","",'Master Inputs'!A23)</f>
        <v/>
      </c>
      <c r="F51" s="129" t="str">
        <f>IF('Master Inputs'!B26="","",'Master Inputs'!A26)</f>
        <v/>
      </c>
      <c r="G51" s="129" t="str">
        <f>IF('Master Inputs'!B29="","",'Master Inputs'!A29)</f>
        <v/>
      </c>
      <c r="H51" s="128" t="str">
        <f>IF('Master Inputs'!B32="","",'Master Inputs'!A32)</f>
        <v/>
      </c>
      <c r="I51" s="128" t="str">
        <f>IF('Master Inputs'!B35="","",'Master Inputs'!A35)</f>
        <v/>
      </c>
      <c r="J51" s="128" t="str">
        <f>IF('Master Inputs'!B38="","",'Master Inputs'!A38)</f>
        <v/>
      </c>
      <c r="K51" s="128" t="str">
        <f>IF('Master Inputs'!B41="","",'Master Inputs'!A41)</f>
        <v/>
      </c>
    </row>
    <row r="52" spans="1:11">
      <c r="A52" s="128" t="s">
        <v>361</v>
      </c>
      <c r="B52" s="29">
        <f>IF(B51="","",'Master Inputs'!$R$14)</f>
        <v>1.5335009795477568</v>
      </c>
      <c r="C52" s="29">
        <f>IF(C51="","",'Master Inputs'!$R$17)</f>
        <v>2.2135429639670581</v>
      </c>
      <c r="D52" s="29" t="str">
        <f>IF(D51="","",'Master Inputs'!$R$20)</f>
        <v/>
      </c>
      <c r="E52" s="29" t="str">
        <f>IF(E51="","",'Master Inputs'!$R$23)</f>
        <v/>
      </c>
      <c r="F52" s="29" t="str">
        <f>IF(F51="","",'Master Inputs'!$R$26)</f>
        <v/>
      </c>
      <c r="G52" s="29" t="str">
        <f>IF(G51="","",'Master Inputs'!$R$29)</f>
        <v/>
      </c>
      <c r="H52" s="29" t="str">
        <f>IF(H51="","",'Master Inputs'!$R$32)</f>
        <v/>
      </c>
      <c r="I52" s="29" t="str">
        <f>IF(I51="","",'Master Inputs'!$R$35)</f>
        <v/>
      </c>
      <c r="J52" s="29" t="str">
        <f>IF(J51="","",'Master Inputs'!$R$38)</f>
        <v/>
      </c>
      <c r="K52" s="29" t="str">
        <f>IF(K51="","",'Master Inputs'!$R$41)</f>
        <v/>
      </c>
    </row>
    <row r="53" spans="1:11">
      <c r="E53" s="140"/>
    </row>
    <row r="54" spans="1:11">
      <c r="A54" s="118" t="s">
        <v>232</v>
      </c>
      <c r="C54" s="120"/>
      <c r="E54" s="140"/>
    </row>
    <row r="55" spans="1:11">
      <c r="A55" s="117" t="s">
        <v>362</v>
      </c>
      <c r="C55" s="159">
        <v>3</v>
      </c>
      <c r="E55" s="107"/>
    </row>
    <row r="56" spans="1:11">
      <c r="E56" s="107"/>
    </row>
    <row r="57" spans="1:11">
      <c r="A57" s="117" t="s">
        <v>389</v>
      </c>
      <c r="C57" s="29">
        <f>B52</f>
        <v>1.5335009795477568</v>
      </c>
      <c r="E57" s="107"/>
    </row>
    <row r="58" spans="1:11">
      <c r="A58" s="117" t="s">
        <v>393</v>
      </c>
      <c r="C58" s="29">
        <f>AVERAGE(B52:K52)</f>
        <v>1.8735219717574074</v>
      </c>
      <c r="E58" s="112"/>
    </row>
    <row r="59" spans="1:11">
      <c r="A59" s="117" t="s">
        <v>394</v>
      </c>
      <c r="C59" s="141">
        <v>0.15</v>
      </c>
    </row>
    <row r="61" spans="1:11">
      <c r="A61" s="117" t="s">
        <v>359</v>
      </c>
      <c r="C61" s="29">
        <f>IF(C55=1,C57,IF(C55=2,C58,C59))</f>
        <v>0.15</v>
      </c>
    </row>
    <row r="62" spans="1:11">
      <c r="A62" s="117" t="s">
        <v>342</v>
      </c>
      <c r="C62" s="33" t="str">
        <f>IF(Cur_WC_Change&lt;0,"Normalized=&gt;","No Adjustment")</f>
        <v>Normalized=&gt;</v>
      </c>
      <c r="D62" s="127">
        <f>IF(Cur_WC_Change&lt;0,Cur_Sales_Diff*C61,"")</f>
        <v>20029.5</v>
      </c>
    </row>
    <row r="63" spans="1:11">
      <c r="F63" s="160"/>
    </row>
    <row r="64" spans="1:11">
      <c r="A64" s="118" t="s">
        <v>231</v>
      </c>
      <c r="E64" s="114"/>
    </row>
    <row r="65" spans="1:11">
      <c r="A65" s="117" t="s">
        <v>348</v>
      </c>
      <c r="C65" s="141">
        <v>0.3</v>
      </c>
    </row>
    <row r="67" spans="1:11">
      <c r="A67" s="174" t="s">
        <v>21</v>
      </c>
      <c r="B67" s="175"/>
      <c r="C67" s="176"/>
      <c r="D67" s="176"/>
      <c r="E67" s="176"/>
      <c r="F67" s="176"/>
      <c r="G67" s="176"/>
      <c r="H67" s="176"/>
      <c r="I67" s="176"/>
      <c r="J67" s="176"/>
      <c r="K67" s="177"/>
    </row>
    <row r="68" spans="1:11">
      <c r="A68" s="178" t="s">
        <v>22</v>
      </c>
      <c r="B68" s="178"/>
      <c r="C68" s="178"/>
      <c r="D68" s="178"/>
      <c r="E68" s="178"/>
      <c r="F68" s="178"/>
      <c r="G68" s="178"/>
      <c r="H68" s="178"/>
      <c r="I68" s="178"/>
      <c r="J68" s="178"/>
      <c r="K68" s="178"/>
    </row>
    <row r="69" spans="1:11">
      <c r="A69" s="178" t="s">
        <v>23</v>
      </c>
      <c r="B69" s="178"/>
      <c r="C69" s="178"/>
      <c r="D69" s="178"/>
      <c r="E69" s="178"/>
      <c r="F69" s="178"/>
      <c r="G69" s="178"/>
      <c r="H69" s="178"/>
      <c r="I69" s="178"/>
      <c r="J69" s="178"/>
      <c r="K69" s="178"/>
    </row>
    <row r="70" spans="1:11">
      <c r="A70" s="178"/>
      <c r="B70" s="178"/>
      <c r="C70" s="178"/>
      <c r="D70" s="178"/>
      <c r="E70" s="178"/>
      <c r="F70" s="178"/>
      <c r="G70" s="178"/>
      <c r="H70" s="178"/>
      <c r="I70" s="178"/>
      <c r="J70" s="178"/>
      <c r="K70" s="178"/>
    </row>
    <row r="71" spans="1:11">
      <c r="A71" s="177" t="s">
        <v>24</v>
      </c>
      <c r="B71" s="178"/>
      <c r="C71" s="178"/>
      <c r="D71" s="178"/>
      <c r="E71" s="178"/>
      <c r="F71" s="178"/>
      <c r="G71" s="178"/>
      <c r="H71" s="178"/>
      <c r="I71" s="178"/>
      <c r="J71" s="178"/>
      <c r="K71" s="178"/>
    </row>
    <row r="72" spans="1:11">
      <c r="A72" s="178" t="s">
        <v>25</v>
      </c>
      <c r="B72" s="178"/>
      <c r="C72" s="178"/>
      <c r="D72" s="179">
        <v>5</v>
      </c>
      <c r="E72" s="178" t="s">
        <v>26</v>
      </c>
      <c r="F72" s="178"/>
      <c r="I72" s="178"/>
      <c r="J72" s="178"/>
      <c r="K72" s="178"/>
    </row>
    <row r="73" spans="1:11">
      <c r="A73" s="178"/>
      <c r="B73" s="178"/>
      <c r="C73" s="178"/>
      <c r="D73" s="178"/>
      <c r="E73" s="178"/>
      <c r="F73" s="278"/>
      <c r="G73" s="178"/>
      <c r="H73" s="178"/>
      <c r="I73" s="178"/>
      <c r="J73" s="178"/>
      <c r="K73" s="178"/>
    </row>
    <row r="74" spans="1:11">
      <c r="B74" s="261"/>
      <c r="C74" s="180" t="s">
        <v>29</v>
      </c>
      <c r="D74" s="182" t="s">
        <v>30</v>
      </c>
      <c r="E74" s="183"/>
      <c r="F74" s="180" t="s">
        <v>576</v>
      </c>
      <c r="G74" s="181"/>
      <c r="H74" s="181"/>
      <c r="I74" s="181"/>
      <c r="J74" s="181"/>
      <c r="K74" s="181"/>
    </row>
    <row r="75" spans="1:11">
      <c r="A75" s="262" t="s">
        <v>27</v>
      </c>
      <c r="B75" s="180" t="s">
        <v>575</v>
      </c>
      <c r="C75" s="260">
        <v>1364227</v>
      </c>
      <c r="D75" s="185">
        <f>1</f>
        <v>1</v>
      </c>
      <c r="E75" s="184">
        <f>C75*D75</f>
        <v>1364227</v>
      </c>
      <c r="F75" s="279"/>
      <c r="G75" s="181"/>
      <c r="H75" s="181"/>
      <c r="I75" s="181"/>
      <c r="J75" s="181"/>
      <c r="K75" s="181"/>
    </row>
    <row r="76" spans="1:11">
      <c r="A76" s="263">
        <f>IF($D$72&gt;0,'Master Inputs'!$C$9-1,"")</f>
        <v>2018</v>
      </c>
      <c r="B76" s="263">
        <f>IF(A76="",0,-1)</f>
        <v>-1</v>
      </c>
      <c r="C76" s="260">
        <v>1291054</v>
      </c>
      <c r="D76" s="185">
        <f t="shared" ref="D76:D85" si="0">IF(B76&lt;0,($D$72+B76)/$D$72,0)</f>
        <v>0.8</v>
      </c>
      <c r="E76" s="184">
        <f>C76*D76</f>
        <v>1032843.2000000001</v>
      </c>
      <c r="F76" s="186">
        <f t="shared" ref="F76:F85" si="1">IF(B76&lt;0,C76/$D$72,0)</f>
        <v>258210.8</v>
      </c>
      <c r="H76" s="181"/>
      <c r="I76" s="181"/>
      <c r="J76" s="181"/>
      <c r="K76" s="181"/>
    </row>
    <row r="77" spans="1:11">
      <c r="A77" s="263">
        <f>IF($D$72&gt;1,'Master Inputs'!$C$9-2,"")</f>
        <v>2017</v>
      </c>
      <c r="B77" s="263">
        <f>IF(A77="",0,-2)</f>
        <v>-2</v>
      </c>
      <c r="C77" s="260">
        <v>1135247</v>
      </c>
      <c r="D77" s="185">
        <f t="shared" si="0"/>
        <v>0.6</v>
      </c>
      <c r="E77" s="184">
        <f t="shared" ref="E77:E85" si="2">C77*D77</f>
        <v>681148.2</v>
      </c>
      <c r="F77" s="186">
        <f t="shared" si="1"/>
        <v>227049.4</v>
      </c>
      <c r="G77" s="181"/>
      <c r="H77" s="181"/>
      <c r="I77" s="181"/>
      <c r="J77" s="181"/>
      <c r="K77" s="181"/>
    </row>
    <row r="78" spans="1:11">
      <c r="A78" s="263">
        <f>IF($D$72&gt;2,'Master Inputs'!$C$9-3,"")</f>
        <v>2016</v>
      </c>
      <c r="B78" s="263">
        <f>IF(A78="",0,-3)</f>
        <v>-3</v>
      </c>
      <c r="C78" s="260">
        <v>0</v>
      </c>
      <c r="D78" s="185">
        <f t="shared" si="0"/>
        <v>0.4</v>
      </c>
      <c r="E78" s="184">
        <f t="shared" si="2"/>
        <v>0</v>
      </c>
      <c r="F78" s="186">
        <f t="shared" si="1"/>
        <v>0</v>
      </c>
      <c r="G78" s="181"/>
      <c r="H78" s="181"/>
      <c r="I78" s="181"/>
      <c r="J78" s="181"/>
      <c r="K78" s="181"/>
    </row>
    <row r="79" spans="1:11">
      <c r="A79" s="263">
        <f>IF($D$72&gt;3,'Master Inputs'!$C$9-4,"")</f>
        <v>2015</v>
      </c>
      <c r="B79" s="263">
        <f>IF(A79="",0,-4)</f>
        <v>-4</v>
      </c>
      <c r="C79" s="260">
        <v>0</v>
      </c>
      <c r="D79" s="185">
        <f t="shared" si="0"/>
        <v>0.2</v>
      </c>
      <c r="E79" s="184">
        <f t="shared" si="2"/>
        <v>0</v>
      </c>
      <c r="F79" s="186">
        <f t="shared" si="1"/>
        <v>0</v>
      </c>
      <c r="G79" s="181"/>
      <c r="H79" s="181"/>
      <c r="I79" s="181"/>
      <c r="J79" s="181"/>
      <c r="K79" s="181"/>
    </row>
    <row r="80" spans="1:11">
      <c r="A80" s="263">
        <f>IF($D$72&gt;4,'Master Inputs'!$C$9-5,"")</f>
        <v>2014</v>
      </c>
      <c r="B80" s="263">
        <f>IF(A80="",0,-5)</f>
        <v>-5</v>
      </c>
      <c r="C80" s="260">
        <v>0</v>
      </c>
      <c r="D80" s="185">
        <f t="shared" si="0"/>
        <v>0</v>
      </c>
      <c r="E80" s="184">
        <f t="shared" si="2"/>
        <v>0</v>
      </c>
      <c r="F80" s="186">
        <f t="shared" si="1"/>
        <v>0</v>
      </c>
      <c r="G80" s="181"/>
      <c r="H80" s="181"/>
      <c r="I80" s="181"/>
      <c r="J80" s="181"/>
      <c r="K80" s="181"/>
    </row>
    <row r="81" spans="1:11">
      <c r="A81" s="263" t="str">
        <f>IF($D$72&gt;5,'Master Inputs'!$C$9-6,"")</f>
        <v/>
      </c>
      <c r="B81" s="263">
        <f>IF(A81="",0,-6)</f>
        <v>0</v>
      </c>
      <c r="C81" s="260">
        <v>0</v>
      </c>
      <c r="D81" s="185">
        <f t="shared" si="0"/>
        <v>0</v>
      </c>
      <c r="E81" s="184">
        <f t="shared" si="2"/>
        <v>0</v>
      </c>
      <c r="F81" s="186">
        <f t="shared" si="1"/>
        <v>0</v>
      </c>
      <c r="G81" s="181"/>
      <c r="H81" s="181"/>
      <c r="I81" s="181"/>
      <c r="J81" s="181"/>
      <c r="K81" s="181"/>
    </row>
    <row r="82" spans="1:11">
      <c r="A82" s="263" t="str">
        <f>IF($D$72&gt;6,'Master Inputs'!$C$9-7,"")</f>
        <v/>
      </c>
      <c r="B82" s="263">
        <f>IF(A82="",0,-7)</f>
        <v>0</v>
      </c>
      <c r="C82" s="260">
        <v>0</v>
      </c>
      <c r="D82" s="185">
        <f t="shared" si="0"/>
        <v>0</v>
      </c>
      <c r="E82" s="184">
        <f t="shared" si="2"/>
        <v>0</v>
      </c>
      <c r="F82" s="186">
        <f t="shared" si="1"/>
        <v>0</v>
      </c>
      <c r="G82" s="181"/>
      <c r="H82" s="181"/>
      <c r="I82" s="181"/>
      <c r="J82" s="181"/>
      <c r="K82" s="181"/>
    </row>
    <row r="83" spans="1:11">
      <c r="A83" s="263" t="str">
        <f>IF($D$72&gt;7,'Master Inputs'!$C$9-8,"")</f>
        <v/>
      </c>
      <c r="B83" s="263">
        <f>IF(A83="",0,-8)</f>
        <v>0</v>
      </c>
      <c r="C83" s="260">
        <v>0</v>
      </c>
      <c r="D83" s="185">
        <f t="shared" si="0"/>
        <v>0</v>
      </c>
      <c r="E83" s="184">
        <f t="shared" si="2"/>
        <v>0</v>
      </c>
      <c r="F83" s="186">
        <f t="shared" si="1"/>
        <v>0</v>
      </c>
      <c r="G83" s="181"/>
      <c r="H83" s="181"/>
      <c r="I83" s="181"/>
      <c r="J83" s="181"/>
      <c r="K83" s="181"/>
    </row>
    <row r="84" spans="1:11">
      <c r="A84" s="263" t="str">
        <f>IF($D$72&gt;8,'Master Inputs'!$C$9-9,"")</f>
        <v/>
      </c>
      <c r="B84" s="263">
        <f>IF(A84="",0,-9)</f>
        <v>0</v>
      </c>
      <c r="C84" s="260">
        <v>0</v>
      </c>
      <c r="D84" s="185">
        <f t="shared" si="0"/>
        <v>0</v>
      </c>
      <c r="E84" s="184">
        <f t="shared" si="2"/>
        <v>0</v>
      </c>
      <c r="F84" s="186">
        <f t="shared" si="1"/>
        <v>0</v>
      </c>
      <c r="G84" s="181"/>
      <c r="H84" s="181"/>
      <c r="I84" s="181"/>
      <c r="J84" s="181"/>
      <c r="K84" s="181"/>
    </row>
    <row r="85" spans="1:11" ht="16.5" thickBot="1">
      <c r="A85" s="263" t="str">
        <f>IF($D$72&gt;9,'Master Inputs'!$C$9-10,"")</f>
        <v/>
      </c>
      <c r="B85" s="263">
        <f>IF(A85="",0,-10)</f>
        <v>0</v>
      </c>
      <c r="C85" s="260">
        <v>0</v>
      </c>
      <c r="D85" s="185">
        <f t="shared" si="0"/>
        <v>0</v>
      </c>
      <c r="E85" s="282">
        <f t="shared" si="2"/>
        <v>0</v>
      </c>
      <c r="F85" s="186">
        <f t="shared" si="1"/>
        <v>0</v>
      </c>
      <c r="G85" s="181"/>
      <c r="H85" s="181"/>
      <c r="I85" s="181"/>
      <c r="J85" s="181"/>
      <c r="K85" s="181"/>
    </row>
    <row r="86" spans="1:11" ht="16.5" thickTop="1">
      <c r="B86" s="280"/>
      <c r="C86" s="178" t="s">
        <v>32</v>
      </c>
      <c r="E86" s="288">
        <f>SUM(E75:E85)</f>
        <v>3078218.4000000004</v>
      </c>
      <c r="G86" s="178"/>
      <c r="H86" s="178"/>
      <c r="I86" s="178"/>
      <c r="J86" s="178"/>
      <c r="K86" s="178"/>
    </row>
    <row r="87" spans="1:11">
      <c r="A87" s="178"/>
      <c r="B87" s="178"/>
      <c r="C87" s="283" t="s">
        <v>581</v>
      </c>
      <c r="F87" s="287">
        <f>SUM(F76:F85)</f>
        <v>485260.19999999995</v>
      </c>
      <c r="G87" s="178"/>
      <c r="H87" s="178"/>
      <c r="I87" s="178"/>
      <c r="J87" s="178"/>
      <c r="K87" s="178"/>
    </row>
    <row r="88" spans="1:11">
      <c r="C88" s="117" t="s">
        <v>585</v>
      </c>
      <c r="D88" s="178"/>
      <c r="E88" s="287">
        <f>C75</f>
        <v>1364227</v>
      </c>
      <c r="G88" s="178"/>
      <c r="H88" s="178"/>
      <c r="I88" s="178"/>
      <c r="J88" s="178"/>
      <c r="K88" s="178"/>
    </row>
    <row r="89" spans="1:11">
      <c r="C89" s="178" t="s">
        <v>33</v>
      </c>
      <c r="D89" s="178"/>
      <c r="E89" s="178"/>
      <c r="F89" s="286">
        <f>F91*Marginal_TaxRate</f>
        <v>0</v>
      </c>
      <c r="G89" s="178"/>
      <c r="H89" s="178"/>
      <c r="I89" s="178"/>
      <c r="J89" s="178"/>
      <c r="K89" s="178"/>
    </row>
    <row r="90" spans="1:11">
      <c r="G90" s="178"/>
      <c r="H90" s="178"/>
      <c r="I90" s="178"/>
      <c r="J90" s="178"/>
      <c r="K90" s="178"/>
    </row>
    <row r="91" spans="1:11">
      <c r="B91" s="281" t="s">
        <v>560</v>
      </c>
      <c r="C91" s="15" t="s">
        <v>582</v>
      </c>
      <c r="F91" s="285">
        <f>IF(C8="Yes",E88-F87,0)</f>
        <v>0</v>
      </c>
      <c r="G91" s="178"/>
      <c r="H91" s="178"/>
      <c r="I91" s="178"/>
      <c r="J91" s="178"/>
      <c r="K91" s="178"/>
    </row>
    <row r="92" spans="1:11">
      <c r="C92" s="177" t="s">
        <v>583</v>
      </c>
      <c r="D92" s="178"/>
      <c r="E92" s="178"/>
      <c r="F92" s="284">
        <f>IF(C8="Yes",C75-F87,0)</f>
        <v>0</v>
      </c>
      <c r="G92" s="178"/>
      <c r="H92" s="178"/>
      <c r="I92" s="178"/>
      <c r="J92" s="178"/>
      <c r="K92" s="178"/>
    </row>
    <row r="93" spans="1:11">
      <c r="C93" s="177" t="s">
        <v>584</v>
      </c>
      <c r="D93" s="178"/>
      <c r="F93" s="284">
        <f>IF(C8="Yes",E86-E75+F87,0)</f>
        <v>0</v>
      </c>
      <c r="G93" s="178"/>
      <c r="H93" s="178"/>
      <c r="I93" s="178"/>
      <c r="J93" s="178"/>
      <c r="K93" s="178"/>
    </row>
    <row r="94" spans="1:11">
      <c r="G94" s="178"/>
      <c r="H94" s="178"/>
      <c r="I94" s="178"/>
      <c r="J94" s="178"/>
      <c r="K94" s="178"/>
    </row>
    <row r="95" spans="1:11">
      <c r="G95" s="178"/>
      <c r="H95" s="178"/>
      <c r="I95" s="178"/>
      <c r="J95" s="178"/>
      <c r="K95" s="178"/>
    </row>
    <row r="96" spans="1:11">
      <c r="A96" s="187" t="s">
        <v>144</v>
      </c>
      <c r="B96" s="187"/>
      <c r="C96" s="187"/>
      <c r="D96" s="187"/>
      <c r="E96" s="187"/>
      <c r="F96" s="187"/>
      <c r="G96" s="187"/>
      <c r="H96" s="187"/>
      <c r="I96" s="187"/>
      <c r="J96" s="187"/>
      <c r="K96" s="187"/>
    </row>
    <row r="97" spans="1:11">
      <c r="A97" s="188" t="s">
        <v>34</v>
      </c>
      <c r="B97" s="188" t="s">
        <v>35</v>
      </c>
      <c r="C97" s="178"/>
      <c r="D97" s="178"/>
      <c r="E97" s="178"/>
      <c r="G97" s="178"/>
      <c r="H97" s="178"/>
      <c r="I97" s="178"/>
      <c r="J97" s="178"/>
      <c r="K97" s="178"/>
    </row>
    <row r="98" spans="1:11">
      <c r="A98" s="178" t="s">
        <v>36</v>
      </c>
      <c r="B98" s="178">
        <v>2</v>
      </c>
      <c r="C98" s="178"/>
      <c r="D98" s="178"/>
      <c r="E98" s="178"/>
      <c r="F98" s="178"/>
      <c r="G98" s="178"/>
      <c r="H98" s="178"/>
      <c r="I98" s="178"/>
      <c r="J98" s="178"/>
      <c r="K98" s="178"/>
    </row>
    <row r="99" spans="1:11">
      <c r="A99" s="178" t="s">
        <v>37</v>
      </c>
      <c r="B99" s="178">
        <v>10</v>
      </c>
      <c r="C99" s="178"/>
      <c r="D99" s="178" t="s">
        <v>38</v>
      </c>
      <c r="E99" s="189" t="s">
        <v>39</v>
      </c>
      <c r="F99" s="178"/>
      <c r="G99" s="178"/>
      <c r="H99" s="178"/>
      <c r="I99" s="178"/>
      <c r="J99" s="178"/>
      <c r="K99" s="178"/>
    </row>
    <row r="100" spans="1:11">
      <c r="A100" s="178" t="s">
        <v>40</v>
      </c>
      <c r="B100" s="178">
        <v>10</v>
      </c>
      <c r="C100" s="178"/>
      <c r="D100" s="178" t="s">
        <v>41</v>
      </c>
      <c r="E100" s="189" t="s">
        <v>42</v>
      </c>
      <c r="F100" s="178"/>
      <c r="G100" s="178"/>
      <c r="H100" s="178"/>
      <c r="I100" s="178"/>
      <c r="J100" s="178"/>
      <c r="K100" s="178"/>
    </row>
    <row r="101" spans="1:11">
      <c r="A101" s="178" t="s">
        <v>43</v>
      </c>
      <c r="B101" s="178">
        <v>5</v>
      </c>
      <c r="C101" s="178"/>
      <c r="D101" s="178" t="s">
        <v>44</v>
      </c>
      <c r="E101" s="189" t="s">
        <v>45</v>
      </c>
      <c r="F101" s="178"/>
      <c r="G101" s="178"/>
      <c r="H101" s="178"/>
      <c r="I101" s="178"/>
      <c r="J101" s="178"/>
      <c r="K101" s="178"/>
    </row>
    <row r="102" spans="1:11">
      <c r="A102" s="178" t="s">
        <v>46</v>
      </c>
      <c r="B102" s="178">
        <v>3</v>
      </c>
      <c r="C102" s="178"/>
      <c r="D102" s="178" t="s">
        <v>47</v>
      </c>
      <c r="E102" s="189" t="s">
        <v>48</v>
      </c>
      <c r="F102" s="178"/>
      <c r="G102" s="178"/>
      <c r="H102" s="178"/>
      <c r="I102" s="178"/>
      <c r="J102" s="178"/>
      <c r="K102" s="178"/>
    </row>
    <row r="103" spans="1:11">
      <c r="A103" s="178" t="s">
        <v>49</v>
      </c>
      <c r="B103" s="178">
        <v>10</v>
      </c>
      <c r="C103" s="178"/>
      <c r="D103" s="178" t="s">
        <v>50</v>
      </c>
      <c r="E103" s="189" t="s">
        <v>48</v>
      </c>
      <c r="F103" s="178"/>
      <c r="G103" s="178"/>
      <c r="H103" s="178"/>
      <c r="I103" s="178"/>
      <c r="J103" s="178"/>
      <c r="K103" s="178"/>
    </row>
    <row r="104" spans="1:11">
      <c r="A104" s="178" t="s">
        <v>51</v>
      </c>
      <c r="B104" s="178">
        <v>5</v>
      </c>
      <c r="C104" s="178"/>
      <c r="D104" s="178" t="s">
        <v>52</v>
      </c>
      <c r="E104" s="189" t="s">
        <v>48</v>
      </c>
      <c r="F104" s="178"/>
      <c r="G104" s="178"/>
      <c r="H104" s="178"/>
      <c r="I104" s="178"/>
      <c r="J104" s="178"/>
      <c r="K104" s="178"/>
    </row>
    <row r="105" spans="1:11">
      <c r="A105" s="178" t="s">
        <v>53</v>
      </c>
      <c r="B105" s="178">
        <v>5</v>
      </c>
      <c r="C105" s="178"/>
      <c r="D105" s="178"/>
      <c r="E105" s="178"/>
      <c r="F105" s="178"/>
      <c r="G105" s="178"/>
      <c r="H105" s="178"/>
      <c r="I105" s="178"/>
      <c r="J105" s="178"/>
      <c r="K105" s="178"/>
    </row>
    <row r="106" spans="1:11">
      <c r="A106" s="178" t="s">
        <v>54</v>
      </c>
      <c r="B106" s="178">
        <v>2</v>
      </c>
      <c r="C106" s="178"/>
      <c r="D106" s="178"/>
      <c r="E106" s="178"/>
      <c r="F106" s="178"/>
      <c r="G106" s="178"/>
      <c r="H106" s="178"/>
      <c r="I106" s="178"/>
      <c r="J106" s="178"/>
      <c r="K106" s="178"/>
    </row>
    <row r="107" spans="1:11">
      <c r="A107" s="178" t="s">
        <v>55</v>
      </c>
      <c r="B107" s="178">
        <v>2</v>
      </c>
      <c r="C107" s="178"/>
      <c r="D107" s="178"/>
      <c r="E107" s="178"/>
      <c r="F107" s="178"/>
      <c r="G107" s="178"/>
      <c r="H107" s="178"/>
      <c r="I107" s="178"/>
      <c r="J107" s="178"/>
      <c r="K107" s="178"/>
    </row>
    <row r="108" spans="1:11">
      <c r="A108" s="178" t="s">
        <v>56</v>
      </c>
      <c r="B108" s="178">
        <v>2</v>
      </c>
      <c r="C108" s="178"/>
      <c r="D108" s="178"/>
      <c r="E108" s="178"/>
      <c r="F108" s="178"/>
      <c r="G108" s="178"/>
      <c r="H108" s="178"/>
      <c r="I108" s="178"/>
      <c r="J108" s="178"/>
      <c r="K108" s="178"/>
    </row>
    <row r="109" spans="1:11">
      <c r="A109" s="178" t="s">
        <v>57</v>
      </c>
      <c r="B109" s="178">
        <v>2</v>
      </c>
      <c r="C109" s="178"/>
      <c r="D109" s="178"/>
      <c r="E109" s="178"/>
      <c r="F109" s="178"/>
      <c r="G109" s="178"/>
      <c r="H109" s="178"/>
      <c r="I109" s="178"/>
      <c r="J109" s="178"/>
      <c r="K109" s="178"/>
    </row>
    <row r="110" spans="1:11">
      <c r="A110" s="178" t="s">
        <v>58</v>
      </c>
      <c r="B110" s="178">
        <v>3</v>
      </c>
      <c r="C110" s="178"/>
      <c r="D110" s="178"/>
      <c r="E110" s="178"/>
      <c r="F110" s="178"/>
      <c r="G110" s="178"/>
      <c r="H110" s="178"/>
      <c r="I110" s="178"/>
      <c r="J110" s="178"/>
      <c r="K110" s="178"/>
    </row>
    <row r="111" spans="1:11">
      <c r="A111" s="178" t="s">
        <v>59</v>
      </c>
      <c r="B111" s="178">
        <v>3</v>
      </c>
      <c r="C111" s="178"/>
      <c r="D111" s="178"/>
      <c r="E111" s="178"/>
      <c r="F111" s="178"/>
      <c r="G111" s="178"/>
      <c r="H111" s="178"/>
      <c r="I111" s="178"/>
      <c r="J111" s="178"/>
      <c r="K111" s="178"/>
    </row>
    <row r="112" spans="1:11">
      <c r="A112" s="178" t="s">
        <v>60</v>
      </c>
      <c r="B112" s="178">
        <v>5</v>
      </c>
      <c r="C112" s="178"/>
      <c r="D112" s="178"/>
      <c r="E112" s="178"/>
      <c r="F112" s="178"/>
      <c r="G112" s="178"/>
      <c r="H112" s="178"/>
      <c r="I112" s="178"/>
      <c r="J112" s="178"/>
      <c r="K112" s="178"/>
    </row>
    <row r="113" spans="1:11">
      <c r="A113" s="178" t="s">
        <v>61</v>
      </c>
      <c r="B113" s="178">
        <v>10</v>
      </c>
      <c r="C113" s="178"/>
      <c r="D113" s="178"/>
      <c r="E113" s="178"/>
      <c r="F113" s="178"/>
      <c r="G113" s="178"/>
      <c r="H113" s="178"/>
      <c r="I113" s="178"/>
      <c r="J113" s="178"/>
      <c r="K113" s="178"/>
    </row>
    <row r="114" spans="1:11">
      <c r="A114" s="178" t="s">
        <v>62</v>
      </c>
      <c r="B114" s="178">
        <v>10</v>
      </c>
      <c r="C114" s="178"/>
      <c r="D114" s="178"/>
      <c r="E114" s="178"/>
      <c r="F114" s="178"/>
      <c r="G114" s="178"/>
      <c r="H114" s="178"/>
      <c r="I114" s="178"/>
      <c r="J114" s="178"/>
      <c r="K114" s="178"/>
    </row>
    <row r="115" spans="1:11">
      <c r="A115" s="178" t="s">
        <v>63</v>
      </c>
      <c r="B115" s="178">
        <v>10</v>
      </c>
      <c r="C115" s="178"/>
      <c r="D115" s="178"/>
      <c r="E115" s="178"/>
      <c r="F115" s="178"/>
      <c r="G115" s="178"/>
      <c r="H115" s="178"/>
      <c r="I115" s="178"/>
      <c r="J115" s="178"/>
      <c r="K115" s="178"/>
    </row>
    <row r="116" spans="1:11">
      <c r="A116" s="178" t="s">
        <v>64</v>
      </c>
      <c r="B116" s="178">
        <v>10</v>
      </c>
      <c r="C116" s="178"/>
      <c r="D116" s="178"/>
      <c r="E116" s="178"/>
      <c r="F116" s="178"/>
      <c r="G116" s="178"/>
      <c r="H116" s="178"/>
      <c r="I116" s="178"/>
      <c r="J116" s="178"/>
      <c r="K116" s="178"/>
    </row>
    <row r="117" spans="1:11">
      <c r="A117" s="178" t="s">
        <v>65</v>
      </c>
      <c r="B117" s="178">
        <v>10</v>
      </c>
      <c r="C117" s="178"/>
      <c r="D117" s="178"/>
      <c r="E117" s="178"/>
      <c r="F117" s="178"/>
      <c r="G117" s="178"/>
      <c r="H117" s="178"/>
      <c r="I117" s="178"/>
      <c r="J117" s="178"/>
      <c r="K117" s="178"/>
    </row>
    <row r="118" spans="1:11">
      <c r="A118" s="178" t="s">
        <v>66</v>
      </c>
      <c r="B118" s="178">
        <v>10</v>
      </c>
      <c r="C118" s="178"/>
      <c r="D118" s="178"/>
      <c r="E118" s="178"/>
      <c r="F118" s="178"/>
      <c r="G118" s="178"/>
      <c r="H118" s="178"/>
      <c r="I118" s="178"/>
      <c r="J118" s="178"/>
      <c r="K118" s="178"/>
    </row>
    <row r="119" spans="1:11">
      <c r="A119" s="178" t="s">
        <v>67</v>
      </c>
      <c r="B119" s="178">
        <v>5</v>
      </c>
      <c r="C119" s="178"/>
      <c r="D119" s="178"/>
      <c r="E119" s="178"/>
      <c r="F119" s="178"/>
      <c r="G119" s="178"/>
      <c r="H119" s="178"/>
      <c r="I119" s="178"/>
      <c r="J119" s="178"/>
      <c r="K119" s="178"/>
    </row>
    <row r="120" spans="1:11">
      <c r="A120" s="178" t="s">
        <v>68</v>
      </c>
      <c r="B120" s="178">
        <v>5</v>
      </c>
      <c r="C120" s="178"/>
      <c r="D120" s="178"/>
      <c r="E120" s="178"/>
      <c r="F120" s="178"/>
      <c r="G120" s="178"/>
      <c r="H120" s="178"/>
      <c r="I120" s="178"/>
      <c r="J120" s="178"/>
      <c r="K120" s="178"/>
    </row>
    <row r="121" spans="1:11">
      <c r="A121" s="178" t="s">
        <v>69</v>
      </c>
      <c r="B121" s="178">
        <v>3</v>
      </c>
      <c r="C121" s="178"/>
      <c r="D121" s="178"/>
      <c r="E121" s="178"/>
      <c r="F121" s="178"/>
      <c r="G121" s="178"/>
      <c r="H121" s="178"/>
      <c r="I121" s="178"/>
      <c r="J121" s="178"/>
      <c r="K121" s="178"/>
    </row>
    <row r="122" spans="1:11">
      <c r="A122" s="178" t="s">
        <v>70</v>
      </c>
      <c r="B122" s="178">
        <v>5</v>
      </c>
      <c r="C122" s="178"/>
      <c r="D122" s="178"/>
      <c r="E122" s="178"/>
      <c r="F122" s="178"/>
      <c r="G122" s="178"/>
      <c r="H122" s="178"/>
      <c r="I122" s="178"/>
      <c r="J122" s="178"/>
      <c r="K122" s="178"/>
    </row>
    <row r="123" spans="1:11">
      <c r="A123" s="178" t="s">
        <v>71</v>
      </c>
      <c r="B123" s="178">
        <v>5</v>
      </c>
      <c r="C123" s="178"/>
      <c r="D123" s="178"/>
      <c r="E123" s="178"/>
      <c r="F123" s="178"/>
      <c r="G123" s="178"/>
      <c r="H123" s="178"/>
      <c r="I123" s="178"/>
      <c r="J123" s="178"/>
      <c r="K123" s="178"/>
    </row>
    <row r="124" spans="1:11">
      <c r="A124" s="178" t="s">
        <v>72</v>
      </c>
      <c r="B124" s="178">
        <v>10</v>
      </c>
      <c r="C124" s="178"/>
      <c r="D124" s="178"/>
      <c r="E124" s="178"/>
      <c r="F124" s="178"/>
      <c r="G124" s="178"/>
      <c r="H124" s="178"/>
      <c r="I124" s="178"/>
      <c r="J124" s="178"/>
      <c r="K124" s="178"/>
    </row>
    <row r="125" spans="1:11">
      <c r="A125" s="178" t="s">
        <v>73</v>
      </c>
      <c r="B125" s="178">
        <v>3</v>
      </c>
      <c r="C125" s="178"/>
      <c r="D125" s="178"/>
      <c r="E125" s="178"/>
      <c r="F125" s="178"/>
      <c r="G125" s="178"/>
      <c r="H125" s="178"/>
      <c r="I125" s="178"/>
      <c r="J125" s="178"/>
      <c r="K125" s="178"/>
    </row>
    <row r="126" spans="1:11">
      <c r="A126" s="178" t="s">
        <v>74</v>
      </c>
      <c r="B126" s="178">
        <v>3</v>
      </c>
      <c r="C126" s="178"/>
      <c r="D126" s="178"/>
      <c r="E126" s="178"/>
      <c r="F126" s="178"/>
      <c r="G126" s="178"/>
      <c r="H126" s="178"/>
      <c r="I126" s="178"/>
      <c r="J126" s="178"/>
      <c r="K126" s="178"/>
    </row>
    <row r="127" spans="1:11">
      <c r="A127" s="178" t="s">
        <v>75</v>
      </c>
      <c r="B127" s="178">
        <v>10</v>
      </c>
      <c r="C127" s="178"/>
      <c r="D127" s="178"/>
      <c r="E127" s="178"/>
      <c r="F127" s="178"/>
      <c r="G127" s="178"/>
      <c r="H127" s="178"/>
      <c r="I127" s="178"/>
      <c r="J127" s="178"/>
      <c r="K127" s="178"/>
    </row>
    <row r="128" spans="1:11">
      <c r="A128" s="178" t="s">
        <v>76</v>
      </c>
      <c r="B128" s="178">
        <v>10</v>
      </c>
      <c r="C128" s="178"/>
      <c r="D128" s="178"/>
      <c r="E128" s="178"/>
      <c r="F128" s="178"/>
      <c r="G128" s="178"/>
      <c r="H128" s="178"/>
      <c r="I128" s="178"/>
      <c r="J128" s="178"/>
      <c r="K128" s="178"/>
    </row>
    <row r="129" spans="1:11">
      <c r="A129" s="178" t="s">
        <v>77</v>
      </c>
      <c r="B129" s="178">
        <v>10</v>
      </c>
      <c r="C129" s="178"/>
      <c r="D129" s="178"/>
      <c r="E129" s="178"/>
      <c r="F129" s="178"/>
      <c r="G129" s="178"/>
      <c r="H129" s="178"/>
      <c r="I129" s="178"/>
      <c r="J129" s="178"/>
      <c r="K129" s="178"/>
    </row>
    <row r="130" spans="1:11">
      <c r="A130" s="178" t="s">
        <v>78</v>
      </c>
      <c r="B130" s="178">
        <v>10</v>
      </c>
      <c r="C130" s="178"/>
      <c r="D130" s="178"/>
      <c r="E130" s="178"/>
      <c r="F130" s="178"/>
      <c r="G130" s="178"/>
      <c r="H130" s="178"/>
      <c r="I130" s="178"/>
      <c r="J130" s="178"/>
      <c r="K130" s="178"/>
    </row>
    <row r="131" spans="1:11">
      <c r="A131" s="178" t="s">
        <v>79</v>
      </c>
      <c r="B131" s="178">
        <v>5</v>
      </c>
      <c r="C131" s="178"/>
      <c r="D131" s="178"/>
      <c r="E131" s="178"/>
      <c r="F131" s="178"/>
      <c r="G131" s="178"/>
      <c r="H131" s="178"/>
      <c r="I131" s="178"/>
      <c r="J131" s="178"/>
      <c r="K131" s="178"/>
    </row>
    <row r="132" spans="1:11">
      <c r="A132" s="178" t="s">
        <v>80</v>
      </c>
      <c r="B132" s="178">
        <v>3</v>
      </c>
      <c r="C132" s="178"/>
      <c r="D132" s="178"/>
      <c r="E132" s="178"/>
      <c r="F132" s="178"/>
      <c r="G132" s="178"/>
      <c r="H132" s="178"/>
      <c r="I132" s="178"/>
      <c r="J132" s="178"/>
      <c r="K132" s="178"/>
    </row>
    <row r="133" spans="1:11">
      <c r="A133" s="178" t="s">
        <v>81</v>
      </c>
      <c r="B133" s="178">
        <v>5</v>
      </c>
      <c r="C133" s="178"/>
      <c r="D133" s="178"/>
      <c r="E133" s="178"/>
      <c r="F133" s="178"/>
      <c r="G133" s="178"/>
      <c r="H133" s="178"/>
      <c r="I133" s="178"/>
      <c r="J133" s="178"/>
      <c r="K133" s="178"/>
    </row>
    <row r="134" spans="1:11">
      <c r="A134" s="178" t="s">
        <v>82</v>
      </c>
      <c r="B134" s="178">
        <v>2</v>
      </c>
      <c r="C134" s="178"/>
      <c r="D134" s="178"/>
      <c r="E134" s="178"/>
      <c r="F134" s="178"/>
      <c r="G134" s="178"/>
      <c r="H134" s="178"/>
      <c r="I134" s="178"/>
      <c r="J134" s="178"/>
      <c r="K134" s="178"/>
    </row>
    <row r="135" spans="1:11">
      <c r="A135" s="178" t="s">
        <v>83</v>
      </c>
      <c r="B135" s="178">
        <v>3</v>
      </c>
      <c r="C135" s="178"/>
      <c r="D135" s="178"/>
      <c r="E135" s="178"/>
      <c r="F135" s="178"/>
      <c r="G135" s="178"/>
      <c r="H135" s="178"/>
      <c r="I135" s="178"/>
      <c r="J135" s="178"/>
      <c r="K135" s="178"/>
    </row>
    <row r="136" spans="1:11">
      <c r="A136" s="178" t="s">
        <v>84</v>
      </c>
      <c r="B136" s="178">
        <v>3</v>
      </c>
      <c r="C136" s="178"/>
      <c r="D136" s="178"/>
      <c r="E136" s="178"/>
      <c r="F136" s="178"/>
      <c r="G136" s="178"/>
      <c r="H136" s="178"/>
      <c r="I136" s="178"/>
      <c r="J136" s="178"/>
      <c r="K136" s="178"/>
    </row>
    <row r="137" spans="1:11">
      <c r="A137" s="178" t="s">
        <v>85</v>
      </c>
      <c r="B137" s="178">
        <v>5</v>
      </c>
      <c r="C137" s="178"/>
      <c r="D137" s="178"/>
      <c r="E137" s="178"/>
      <c r="F137" s="178"/>
      <c r="G137" s="178"/>
      <c r="H137" s="178"/>
      <c r="I137" s="178"/>
      <c r="J137" s="178"/>
      <c r="K137" s="178"/>
    </row>
    <row r="138" spans="1:11">
      <c r="A138" s="178" t="s">
        <v>86</v>
      </c>
      <c r="B138" s="178">
        <v>10</v>
      </c>
      <c r="C138" s="178"/>
      <c r="D138" s="178"/>
      <c r="E138" s="178"/>
      <c r="F138" s="178"/>
      <c r="G138" s="178"/>
      <c r="H138" s="178"/>
      <c r="I138" s="178"/>
      <c r="J138" s="178"/>
      <c r="K138" s="178"/>
    </row>
    <row r="139" spans="1:11">
      <c r="A139" s="178" t="s">
        <v>87</v>
      </c>
      <c r="B139" s="178">
        <v>3</v>
      </c>
      <c r="C139" s="178"/>
      <c r="D139" s="178"/>
      <c r="E139" s="178"/>
      <c r="F139" s="178"/>
      <c r="G139" s="178"/>
      <c r="H139" s="178"/>
      <c r="I139" s="178"/>
      <c r="J139" s="178"/>
      <c r="K139" s="178"/>
    </row>
    <row r="140" spans="1:11">
      <c r="A140" s="178" t="s">
        <v>88</v>
      </c>
      <c r="B140" s="178">
        <v>5</v>
      </c>
      <c r="C140" s="178"/>
      <c r="D140" s="178"/>
      <c r="E140" s="178"/>
      <c r="F140" s="178"/>
      <c r="G140" s="178"/>
      <c r="H140" s="178"/>
      <c r="I140" s="178"/>
      <c r="J140" s="178"/>
      <c r="K140" s="178"/>
    </row>
    <row r="141" spans="1:11">
      <c r="A141" s="178" t="s">
        <v>89</v>
      </c>
      <c r="B141" s="178">
        <v>2</v>
      </c>
      <c r="C141" s="178"/>
      <c r="D141" s="178"/>
      <c r="E141" s="178"/>
      <c r="F141" s="178"/>
      <c r="G141" s="178"/>
      <c r="H141" s="178"/>
      <c r="I141" s="178"/>
      <c r="J141" s="178"/>
      <c r="K141" s="178"/>
    </row>
    <row r="142" spans="1:11">
      <c r="A142" s="178" t="s">
        <v>90</v>
      </c>
      <c r="B142" s="178">
        <v>3</v>
      </c>
      <c r="C142" s="178"/>
      <c r="D142" s="178"/>
      <c r="E142" s="178"/>
      <c r="F142" s="178"/>
      <c r="G142" s="178"/>
      <c r="H142" s="178"/>
      <c r="I142" s="178"/>
      <c r="J142" s="178"/>
      <c r="K142" s="178"/>
    </row>
    <row r="143" spans="1:11">
      <c r="A143" s="178" t="s">
        <v>91</v>
      </c>
      <c r="B143" s="178">
        <v>5</v>
      </c>
      <c r="C143" s="178"/>
      <c r="D143" s="178"/>
      <c r="E143" s="178"/>
      <c r="F143" s="178"/>
      <c r="G143" s="178"/>
      <c r="H143" s="178"/>
      <c r="I143" s="178"/>
      <c r="J143" s="178"/>
      <c r="K143" s="178"/>
    </row>
    <row r="144" spans="1:11">
      <c r="A144" s="178" t="s">
        <v>92</v>
      </c>
      <c r="B144" s="178">
        <v>5</v>
      </c>
      <c r="C144" s="178"/>
      <c r="D144" s="178"/>
      <c r="E144" s="178"/>
      <c r="F144" s="178"/>
      <c r="G144" s="178"/>
      <c r="H144" s="178"/>
      <c r="I144" s="178"/>
      <c r="J144" s="178"/>
      <c r="K144" s="178"/>
    </row>
    <row r="145" spans="1:11">
      <c r="A145" s="178" t="s">
        <v>93</v>
      </c>
      <c r="B145" s="178">
        <v>3</v>
      </c>
      <c r="C145" s="178"/>
      <c r="D145" s="178"/>
      <c r="E145" s="178"/>
      <c r="F145" s="178"/>
      <c r="G145" s="178"/>
      <c r="H145" s="178"/>
      <c r="I145" s="178"/>
      <c r="J145" s="178"/>
      <c r="K145" s="178"/>
    </row>
    <row r="146" spans="1:11">
      <c r="A146" s="178" t="s">
        <v>94</v>
      </c>
      <c r="B146" s="178">
        <v>3</v>
      </c>
      <c r="C146" s="178"/>
      <c r="D146" s="178"/>
      <c r="E146" s="178"/>
      <c r="F146" s="178"/>
      <c r="G146" s="178"/>
      <c r="H146" s="178"/>
      <c r="I146" s="178"/>
      <c r="J146" s="178"/>
      <c r="K146" s="178"/>
    </row>
    <row r="147" spans="1:11">
      <c r="A147" s="178" t="s">
        <v>95</v>
      </c>
      <c r="B147" s="178">
        <v>3</v>
      </c>
      <c r="C147" s="178"/>
      <c r="D147" s="178"/>
      <c r="E147" s="178"/>
      <c r="F147" s="178"/>
      <c r="G147" s="178"/>
      <c r="H147" s="178"/>
      <c r="I147" s="178"/>
      <c r="J147" s="178"/>
      <c r="K147" s="178"/>
    </row>
    <row r="148" spans="1:11">
      <c r="A148" s="178" t="s">
        <v>96</v>
      </c>
      <c r="B148" s="178">
        <v>3</v>
      </c>
      <c r="C148" s="178"/>
      <c r="D148" s="178"/>
      <c r="E148" s="178"/>
      <c r="F148" s="178"/>
      <c r="G148" s="178"/>
      <c r="H148" s="178"/>
      <c r="I148" s="178"/>
      <c r="J148" s="178"/>
      <c r="K148" s="178"/>
    </row>
    <row r="149" spans="1:11">
      <c r="A149" s="178" t="s">
        <v>97</v>
      </c>
      <c r="B149" s="178">
        <v>3</v>
      </c>
      <c r="C149" s="178"/>
      <c r="D149" s="178"/>
      <c r="E149" s="178"/>
      <c r="F149" s="178"/>
      <c r="G149" s="178"/>
      <c r="H149" s="178"/>
      <c r="I149" s="178"/>
      <c r="J149" s="178"/>
      <c r="K149" s="178"/>
    </row>
    <row r="150" spans="1:11">
      <c r="A150" s="178" t="s">
        <v>98</v>
      </c>
      <c r="B150" s="178">
        <v>3</v>
      </c>
      <c r="C150" s="178"/>
      <c r="D150" s="178"/>
      <c r="E150" s="178"/>
      <c r="F150" s="178"/>
      <c r="G150" s="178"/>
      <c r="H150" s="178"/>
      <c r="I150" s="178"/>
      <c r="J150" s="178"/>
      <c r="K150" s="178"/>
    </row>
    <row r="151" spans="1:11">
      <c r="A151" s="178" t="s">
        <v>99</v>
      </c>
      <c r="B151" s="178">
        <v>3</v>
      </c>
      <c r="C151" s="178"/>
      <c r="D151" s="178"/>
      <c r="E151" s="178"/>
      <c r="F151" s="178"/>
      <c r="G151" s="178"/>
      <c r="H151" s="178"/>
      <c r="I151" s="178"/>
      <c r="J151" s="178"/>
      <c r="K151" s="178"/>
    </row>
    <row r="152" spans="1:11">
      <c r="A152" s="178" t="s">
        <v>100</v>
      </c>
      <c r="B152" s="178">
        <v>3</v>
      </c>
      <c r="C152" s="178"/>
      <c r="D152" s="178"/>
      <c r="E152" s="178"/>
      <c r="F152" s="178"/>
      <c r="G152" s="178"/>
      <c r="H152" s="178"/>
      <c r="I152" s="178"/>
      <c r="J152" s="178"/>
      <c r="K152" s="178"/>
    </row>
    <row r="153" spans="1:11">
      <c r="A153" s="178" t="s">
        <v>101</v>
      </c>
      <c r="B153" s="178">
        <v>3</v>
      </c>
      <c r="C153" s="178"/>
      <c r="D153" s="178"/>
      <c r="E153" s="178"/>
      <c r="F153" s="178"/>
      <c r="G153" s="178"/>
      <c r="H153" s="178"/>
      <c r="I153" s="178"/>
      <c r="J153" s="178"/>
      <c r="K153" s="178"/>
    </row>
    <row r="154" spans="1:11">
      <c r="A154" s="178" t="s">
        <v>102</v>
      </c>
      <c r="B154" s="178">
        <v>3</v>
      </c>
      <c r="C154" s="178"/>
      <c r="D154" s="178"/>
      <c r="E154" s="178"/>
      <c r="F154" s="178"/>
      <c r="G154" s="178"/>
      <c r="H154" s="178"/>
      <c r="I154" s="178"/>
      <c r="J154" s="178"/>
      <c r="K154" s="178"/>
    </row>
    <row r="155" spans="1:11">
      <c r="A155" s="178" t="s">
        <v>103</v>
      </c>
      <c r="B155" s="178">
        <v>10</v>
      </c>
      <c r="C155" s="178"/>
      <c r="D155" s="178"/>
      <c r="E155" s="178"/>
      <c r="F155" s="178"/>
      <c r="G155" s="178"/>
      <c r="H155" s="178"/>
      <c r="I155" s="178"/>
      <c r="J155" s="178"/>
      <c r="K155" s="178"/>
    </row>
    <row r="156" spans="1:11">
      <c r="A156" s="178" t="s">
        <v>104</v>
      </c>
      <c r="B156" s="178">
        <v>5</v>
      </c>
      <c r="C156" s="178"/>
      <c r="D156" s="178"/>
      <c r="E156" s="178"/>
      <c r="F156" s="178"/>
      <c r="G156" s="178"/>
      <c r="H156" s="178"/>
      <c r="I156" s="178"/>
      <c r="J156" s="178"/>
      <c r="K156" s="178"/>
    </row>
    <row r="157" spans="1:11">
      <c r="A157" s="178" t="s">
        <v>105</v>
      </c>
      <c r="B157" s="178">
        <v>10</v>
      </c>
      <c r="C157" s="178"/>
      <c r="D157" s="178"/>
      <c r="E157" s="178"/>
      <c r="F157" s="178"/>
      <c r="G157" s="178"/>
      <c r="H157" s="178"/>
      <c r="I157" s="178"/>
      <c r="J157" s="178"/>
      <c r="K157" s="178"/>
    </row>
    <row r="158" spans="1:11">
      <c r="A158" s="178" t="s">
        <v>106</v>
      </c>
      <c r="B158" s="178">
        <v>3</v>
      </c>
      <c r="C158" s="178"/>
      <c r="D158" s="178"/>
      <c r="E158" s="178"/>
      <c r="F158" s="178"/>
      <c r="G158" s="178"/>
      <c r="H158" s="178"/>
      <c r="I158" s="178"/>
      <c r="J158" s="178"/>
      <c r="K158" s="178"/>
    </row>
    <row r="159" spans="1:11">
      <c r="A159" s="178" t="s">
        <v>107</v>
      </c>
      <c r="B159" s="178">
        <v>5</v>
      </c>
      <c r="C159" s="178"/>
      <c r="D159" s="178"/>
      <c r="E159" s="178"/>
      <c r="F159" s="178"/>
      <c r="G159" s="178"/>
      <c r="H159" s="178"/>
      <c r="I159" s="178"/>
      <c r="J159" s="178"/>
      <c r="K159" s="178"/>
    </row>
    <row r="160" spans="1:11">
      <c r="A160" s="178" t="s">
        <v>108</v>
      </c>
      <c r="B160" s="178">
        <v>10</v>
      </c>
      <c r="C160" s="178"/>
      <c r="D160" s="178"/>
      <c r="E160" s="178"/>
      <c r="F160" s="178"/>
      <c r="G160" s="178"/>
      <c r="H160" s="178"/>
      <c r="I160" s="178"/>
      <c r="J160" s="178"/>
      <c r="K160" s="178"/>
    </row>
    <row r="161" spans="1:11">
      <c r="A161" s="178" t="s">
        <v>109</v>
      </c>
      <c r="B161" s="178">
        <v>5</v>
      </c>
      <c r="C161" s="178"/>
      <c r="D161" s="178"/>
      <c r="E161" s="178"/>
      <c r="F161" s="178"/>
      <c r="G161" s="178"/>
      <c r="H161" s="178"/>
      <c r="I161" s="178"/>
      <c r="J161" s="178"/>
      <c r="K161" s="178"/>
    </row>
    <row r="162" spans="1:11">
      <c r="A162" s="178" t="s">
        <v>110</v>
      </c>
      <c r="B162" s="178">
        <v>10</v>
      </c>
      <c r="C162" s="178"/>
      <c r="D162" s="178"/>
      <c r="E162" s="178"/>
      <c r="F162" s="178"/>
      <c r="G162" s="178"/>
      <c r="H162" s="178"/>
      <c r="I162" s="178"/>
      <c r="J162" s="178"/>
      <c r="K162" s="178"/>
    </row>
    <row r="163" spans="1:11">
      <c r="A163" s="178" t="s">
        <v>111</v>
      </c>
      <c r="B163" s="178">
        <v>10</v>
      </c>
      <c r="C163" s="178"/>
      <c r="D163" s="178"/>
      <c r="E163" s="178"/>
      <c r="F163" s="178"/>
      <c r="G163" s="178"/>
      <c r="H163" s="178"/>
      <c r="I163" s="178"/>
      <c r="J163" s="178"/>
      <c r="K163" s="178"/>
    </row>
    <row r="164" spans="1:11">
      <c r="A164" s="178" t="s">
        <v>112</v>
      </c>
      <c r="B164" s="178">
        <v>3</v>
      </c>
      <c r="C164" s="178"/>
      <c r="D164" s="178"/>
      <c r="E164" s="178"/>
      <c r="F164" s="178"/>
      <c r="G164" s="178"/>
      <c r="H164" s="178"/>
      <c r="I164" s="178"/>
      <c r="J164" s="178"/>
      <c r="K164" s="178"/>
    </row>
    <row r="165" spans="1:11">
      <c r="A165" s="178" t="s">
        <v>113</v>
      </c>
      <c r="B165" s="178">
        <v>5</v>
      </c>
      <c r="C165" s="178"/>
      <c r="D165" s="178"/>
      <c r="E165" s="178"/>
      <c r="F165" s="178"/>
      <c r="G165" s="178"/>
      <c r="H165" s="178"/>
      <c r="I165" s="178"/>
      <c r="J165" s="178"/>
      <c r="K165" s="178"/>
    </row>
    <row r="166" spans="1:11">
      <c r="A166" s="178" t="s">
        <v>114</v>
      </c>
      <c r="B166" s="178">
        <v>5</v>
      </c>
      <c r="C166" s="178"/>
      <c r="D166" s="178"/>
      <c r="E166" s="178"/>
      <c r="F166" s="178"/>
      <c r="G166" s="178"/>
      <c r="H166" s="178"/>
      <c r="I166" s="178"/>
      <c r="J166" s="178"/>
      <c r="K166" s="178"/>
    </row>
    <row r="167" spans="1:11">
      <c r="A167" s="178" t="s">
        <v>115</v>
      </c>
      <c r="B167" s="178">
        <v>5</v>
      </c>
      <c r="C167" s="178"/>
      <c r="D167" s="178"/>
      <c r="E167" s="178"/>
      <c r="F167" s="178"/>
      <c r="G167" s="178"/>
      <c r="H167" s="178"/>
      <c r="I167" s="178"/>
      <c r="J167" s="178"/>
      <c r="K167" s="178"/>
    </row>
    <row r="168" spans="1:11">
      <c r="A168" s="178" t="s">
        <v>116</v>
      </c>
      <c r="B168" s="178">
        <v>10</v>
      </c>
      <c r="C168" s="178"/>
      <c r="D168" s="178"/>
      <c r="E168" s="178"/>
      <c r="F168" s="178"/>
      <c r="G168" s="178"/>
      <c r="H168" s="178"/>
      <c r="I168" s="178"/>
      <c r="J168" s="178"/>
      <c r="K168" s="178"/>
    </row>
    <row r="169" spans="1:11">
      <c r="A169" s="178" t="s">
        <v>117</v>
      </c>
      <c r="B169" s="178">
        <v>5</v>
      </c>
      <c r="C169" s="178"/>
      <c r="D169" s="178"/>
      <c r="E169" s="178"/>
      <c r="F169" s="178"/>
      <c r="G169" s="178"/>
      <c r="H169" s="178"/>
      <c r="I169" s="178"/>
      <c r="J169" s="178"/>
      <c r="K169" s="178"/>
    </row>
    <row r="170" spans="1:11">
      <c r="A170" s="178" t="s">
        <v>118</v>
      </c>
      <c r="B170" s="178">
        <v>5</v>
      </c>
      <c r="C170" s="178"/>
      <c r="D170" s="178"/>
      <c r="E170" s="178"/>
      <c r="F170" s="178"/>
      <c r="G170" s="178"/>
      <c r="H170" s="178"/>
      <c r="I170" s="178"/>
      <c r="J170" s="178"/>
      <c r="K170" s="178"/>
    </row>
    <row r="171" spans="1:11">
      <c r="A171" s="178" t="s">
        <v>119</v>
      </c>
      <c r="B171" s="178">
        <v>5</v>
      </c>
      <c r="C171" s="178"/>
      <c r="D171" s="178"/>
      <c r="E171" s="178"/>
      <c r="F171" s="178"/>
      <c r="G171" s="178"/>
      <c r="H171" s="178"/>
      <c r="I171" s="178"/>
      <c r="J171" s="178"/>
      <c r="K171" s="178"/>
    </row>
    <row r="172" spans="1:11">
      <c r="A172" s="178" t="s">
        <v>120</v>
      </c>
      <c r="B172" s="178">
        <v>3</v>
      </c>
      <c r="C172" s="178"/>
      <c r="D172" s="178"/>
      <c r="E172" s="178"/>
      <c r="F172" s="178"/>
      <c r="G172" s="178"/>
      <c r="H172" s="178"/>
      <c r="I172" s="178"/>
      <c r="J172" s="178"/>
      <c r="K172" s="178"/>
    </row>
    <row r="173" spans="1:11">
      <c r="A173" s="178" t="s">
        <v>121</v>
      </c>
      <c r="B173" s="178">
        <v>3</v>
      </c>
      <c r="C173" s="178"/>
      <c r="D173" s="178"/>
      <c r="E173" s="178"/>
      <c r="F173" s="178"/>
      <c r="G173" s="178"/>
      <c r="H173" s="178"/>
      <c r="I173" s="178"/>
      <c r="J173" s="178"/>
      <c r="K173" s="178"/>
    </row>
    <row r="174" spans="1:11">
      <c r="A174" s="178" t="s">
        <v>122</v>
      </c>
      <c r="B174" s="178">
        <v>5</v>
      </c>
      <c r="C174" s="178"/>
      <c r="D174" s="178"/>
      <c r="E174" s="178"/>
      <c r="F174" s="178"/>
      <c r="G174" s="178"/>
      <c r="H174" s="178"/>
      <c r="I174" s="178"/>
      <c r="J174" s="178"/>
      <c r="K174" s="178"/>
    </row>
    <row r="175" spans="1:11">
      <c r="A175" s="178" t="s">
        <v>123</v>
      </c>
      <c r="B175" s="178">
        <v>5</v>
      </c>
      <c r="C175" s="178"/>
      <c r="D175" s="178"/>
      <c r="E175" s="178"/>
      <c r="F175" s="178"/>
      <c r="G175" s="178"/>
      <c r="H175" s="178"/>
      <c r="I175" s="178"/>
      <c r="J175" s="178"/>
      <c r="K175" s="178"/>
    </row>
    <row r="176" spans="1:11">
      <c r="A176" s="178" t="s">
        <v>124</v>
      </c>
      <c r="B176" s="178">
        <v>2</v>
      </c>
      <c r="C176" s="178"/>
      <c r="D176" s="178"/>
      <c r="E176" s="178"/>
      <c r="F176" s="178"/>
      <c r="G176" s="178"/>
      <c r="H176" s="178"/>
      <c r="I176" s="178"/>
      <c r="J176" s="178"/>
      <c r="K176" s="178"/>
    </row>
    <row r="177" spans="1:11">
      <c r="A177" s="178" t="s">
        <v>125</v>
      </c>
      <c r="B177" s="178">
        <v>2</v>
      </c>
      <c r="C177" s="178"/>
      <c r="D177" s="178"/>
      <c r="E177" s="178"/>
      <c r="F177" s="178"/>
      <c r="G177" s="178"/>
      <c r="H177" s="178"/>
      <c r="I177" s="178"/>
      <c r="J177" s="178"/>
      <c r="K177" s="178"/>
    </row>
    <row r="178" spans="1:11">
      <c r="A178" s="178" t="s">
        <v>126</v>
      </c>
      <c r="B178" s="178">
        <v>2</v>
      </c>
      <c r="C178" s="178"/>
      <c r="D178" s="178"/>
      <c r="E178" s="178"/>
      <c r="F178" s="178"/>
      <c r="G178" s="178"/>
      <c r="H178" s="178"/>
      <c r="I178" s="178"/>
      <c r="J178" s="178"/>
      <c r="K178" s="178"/>
    </row>
    <row r="179" spans="1:11">
      <c r="A179" s="178" t="s">
        <v>127</v>
      </c>
      <c r="B179" s="178">
        <v>2</v>
      </c>
      <c r="C179" s="178"/>
      <c r="D179" s="178"/>
      <c r="E179" s="178"/>
      <c r="F179" s="178"/>
      <c r="G179" s="178"/>
      <c r="H179" s="178"/>
      <c r="I179" s="178"/>
      <c r="J179" s="178"/>
      <c r="K179" s="178"/>
    </row>
    <row r="180" spans="1:11">
      <c r="A180" s="178" t="s">
        <v>128</v>
      </c>
      <c r="B180" s="178">
        <v>2</v>
      </c>
      <c r="C180" s="178"/>
      <c r="D180" s="178"/>
      <c r="E180" s="178"/>
      <c r="F180" s="178"/>
      <c r="G180" s="178"/>
      <c r="H180" s="178"/>
      <c r="I180" s="178"/>
      <c r="J180" s="178"/>
      <c r="K180" s="178"/>
    </row>
    <row r="181" spans="1:11">
      <c r="A181" s="178" t="s">
        <v>129</v>
      </c>
      <c r="B181" s="178">
        <v>5</v>
      </c>
      <c r="C181" s="178"/>
      <c r="D181" s="178"/>
      <c r="E181" s="178"/>
      <c r="F181" s="178"/>
      <c r="G181" s="178"/>
      <c r="H181" s="178"/>
      <c r="I181" s="178"/>
      <c r="J181" s="178"/>
      <c r="K181" s="178"/>
    </row>
    <row r="182" spans="1:11">
      <c r="A182" s="178" t="s">
        <v>130</v>
      </c>
      <c r="B182" s="178">
        <v>5</v>
      </c>
      <c r="C182" s="178"/>
      <c r="D182" s="178"/>
      <c r="E182" s="178"/>
      <c r="F182" s="178"/>
      <c r="G182" s="178"/>
      <c r="H182" s="178"/>
      <c r="I182" s="178"/>
      <c r="J182" s="178"/>
      <c r="K182" s="178"/>
    </row>
    <row r="183" spans="1:11">
      <c r="A183" s="178" t="s">
        <v>131</v>
      </c>
      <c r="B183" s="178">
        <v>3</v>
      </c>
      <c r="C183" s="178"/>
      <c r="D183" s="178"/>
      <c r="E183" s="178"/>
      <c r="F183" s="178"/>
      <c r="G183" s="178"/>
      <c r="H183" s="178"/>
      <c r="I183" s="178"/>
      <c r="J183" s="178"/>
      <c r="K183" s="178"/>
    </row>
    <row r="184" spans="1:11">
      <c r="A184" s="178" t="s">
        <v>132</v>
      </c>
      <c r="B184" s="178">
        <v>5</v>
      </c>
      <c r="C184" s="178"/>
      <c r="D184" s="178"/>
      <c r="E184" s="178"/>
      <c r="F184" s="178"/>
      <c r="G184" s="178"/>
      <c r="H184" s="178"/>
      <c r="I184" s="178"/>
      <c r="J184" s="178"/>
      <c r="K184" s="178"/>
    </row>
    <row r="185" spans="1:11">
      <c r="A185" s="178" t="s">
        <v>133</v>
      </c>
      <c r="B185" s="178">
        <v>5</v>
      </c>
      <c r="C185" s="178"/>
      <c r="D185" s="178"/>
      <c r="E185" s="178"/>
      <c r="F185" s="178"/>
      <c r="G185" s="178"/>
      <c r="H185" s="178"/>
      <c r="I185" s="178"/>
      <c r="J185" s="178"/>
      <c r="K185" s="178"/>
    </row>
    <row r="186" spans="1:11">
      <c r="A186" s="178" t="s">
        <v>134</v>
      </c>
      <c r="B186" s="178">
        <v>10</v>
      </c>
      <c r="C186" s="178"/>
      <c r="D186" s="178"/>
      <c r="E186" s="178"/>
      <c r="F186" s="178"/>
      <c r="G186" s="178"/>
      <c r="H186" s="178"/>
      <c r="I186" s="178"/>
      <c r="J186" s="178"/>
      <c r="K186" s="178"/>
    </row>
    <row r="187" spans="1:11">
      <c r="A187" s="178" t="s">
        <v>135</v>
      </c>
      <c r="B187" s="178">
        <v>5</v>
      </c>
      <c r="C187" s="178"/>
      <c r="D187" s="178"/>
      <c r="E187" s="178"/>
      <c r="F187" s="178"/>
      <c r="G187" s="178"/>
      <c r="H187" s="178"/>
      <c r="I187" s="178"/>
      <c r="J187" s="178"/>
      <c r="K187" s="178"/>
    </row>
    <row r="188" spans="1:11">
      <c r="A188" s="178" t="s">
        <v>136</v>
      </c>
      <c r="B188" s="178">
        <v>5</v>
      </c>
      <c r="C188" s="178"/>
      <c r="D188" s="178"/>
      <c r="E188" s="178"/>
      <c r="F188" s="178"/>
      <c r="G188" s="178"/>
      <c r="H188" s="178"/>
      <c r="I188" s="178"/>
      <c r="J188" s="178"/>
      <c r="K188" s="178"/>
    </row>
    <row r="189" spans="1:11">
      <c r="A189" s="178" t="s">
        <v>137</v>
      </c>
      <c r="B189" s="178">
        <v>2</v>
      </c>
      <c r="C189" s="178"/>
      <c r="D189" s="178"/>
      <c r="E189" s="178"/>
      <c r="F189" s="178"/>
      <c r="G189" s="178"/>
      <c r="H189" s="178"/>
      <c r="I189" s="178"/>
      <c r="J189" s="178"/>
      <c r="K189" s="178"/>
    </row>
    <row r="190" spans="1:11">
      <c r="A190" s="178" t="s">
        <v>138</v>
      </c>
      <c r="B190" s="178">
        <v>5</v>
      </c>
      <c r="C190" s="178"/>
      <c r="D190" s="178"/>
      <c r="E190" s="178"/>
      <c r="F190" s="178"/>
      <c r="G190" s="178"/>
      <c r="H190" s="178"/>
      <c r="I190" s="178"/>
      <c r="J190" s="178"/>
      <c r="K190" s="178"/>
    </row>
    <row r="191" spans="1:11">
      <c r="A191" s="178" t="s">
        <v>139</v>
      </c>
      <c r="B191" s="178">
        <v>5</v>
      </c>
      <c r="C191" s="178"/>
      <c r="D191" s="178"/>
      <c r="E191" s="178"/>
      <c r="F191" s="178"/>
      <c r="G191" s="178"/>
      <c r="H191" s="178"/>
      <c r="I191" s="178"/>
      <c r="J191" s="178"/>
      <c r="K191" s="178"/>
    </row>
    <row r="192" spans="1:11">
      <c r="A192" s="178" t="s">
        <v>140</v>
      </c>
      <c r="B192" s="178">
        <v>3</v>
      </c>
      <c r="C192" s="178"/>
      <c r="D192" s="178"/>
      <c r="E192" s="178"/>
      <c r="F192" s="178"/>
      <c r="G192" s="178"/>
      <c r="H192" s="178"/>
      <c r="I192" s="178"/>
      <c r="J192" s="178"/>
      <c r="K192" s="178"/>
    </row>
    <row r="193" spans="1:11">
      <c r="A193" s="178" t="s">
        <v>141</v>
      </c>
      <c r="B193" s="178">
        <v>5</v>
      </c>
      <c r="C193" s="178"/>
      <c r="D193" s="178"/>
      <c r="E193" s="178"/>
      <c r="F193" s="178"/>
      <c r="G193" s="178"/>
      <c r="H193" s="178"/>
      <c r="I193" s="178"/>
      <c r="J193" s="178"/>
      <c r="K193" s="178"/>
    </row>
    <row r="194" spans="1:11">
      <c r="A194" s="178" t="s">
        <v>142</v>
      </c>
      <c r="B194" s="178">
        <v>10</v>
      </c>
      <c r="C194" s="178"/>
      <c r="D194" s="178"/>
      <c r="E194" s="178"/>
      <c r="F194" s="178"/>
      <c r="G194" s="178"/>
      <c r="H194" s="178"/>
      <c r="I194" s="178"/>
      <c r="J194" s="178"/>
      <c r="K194" s="178"/>
    </row>
    <row r="195" spans="1:11">
      <c r="A195" s="178" t="s">
        <v>143</v>
      </c>
      <c r="B195" s="178">
        <v>10</v>
      </c>
      <c r="C195" s="178"/>
      <c r="D195" s="178"/>
      <c r="E195" s="178"/>
      <c r="F195" s="178"/>
      <c r="G195" s="178"/>
      <c r="H195" s="178"/>
      <c r="I195" s="178"/>
      <c r="J195" s="178"/>
      <c r="K195" s="178"/>
    </row>
    <row r="196" spans="1:11">
      <c r="A196" s="178"/>
      <c r="B196" s="178"/>
      <c r="C196" s="178"/>
      <c r="D196" s="178"/>
      <c r="E196" s="178"/>
      <c r="F196" s="178"/>
      <c r="G196" s="178"/>
      <c r="H196" s="178"/>
      <c r="I196" s="178"/>
      <c r="J196" s="178"/>
      <c r="K196"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C55 E54 C9 C30</xm:sqref>
        </x14:dataValidation>
        <x14:dataValidation type="list" allowBlank="1" showInputMessage="1" showErrorMessage="1" xr:uid="{CD73F680-A90E-4B50-9912-810E4742ED96}">
          <x14:formula1>
            <xm:f>Readme!$A$34:$A$35</xm:f>
          </x14:formula1>
          <xm:sqref>C21</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tabSelected="1" topLeftCell="A20" workbookViewId="0">
      <selection activeCell="D38" sqref="D38"/>
    </sheetView>
  </sheetViews>
  <sheetFormatPr defaultRowHeight="15.75"/>
  <cols>
    <col min="1" max="1" width="7.375" style="120" customWidth="1"/>
    <col min="2" max="2" width="72.375" style="117" customWidth="1"/>
    <col min="3" max="3" width="14.125" style="117" customWidth="1"/>
    <col min="4" max="6" width="20.625" style="117" customWidth="1"/>
    <col min="7" max="7" width="80.625" style="117" customWidth="1"/>
    <col min="8" max="10" width="16.625" style="117" customWidth="1"/>
    <col min="11" max="16384" width="9" style="117"/>
  </cols>
  <sheetData>
    <row r="1" spans="1:7">
      <c r="A1" s="163" t="s">
        <v>365</v>
      </c>
      <c r="B1" s="147"/>
    </row>
    <row r="3" spans="1:7">
      <c r="B3" s="21" t="s">
        <v>406</v>
      </c>
      <c r="D3" s="120" t="s">
        <v>408</v>
      </c>
      <c r="E3" s="120" t="s">
        <v>374</v>
      </c>
      <c r="F3" s="125" t="s">
        <v>409</v>
      </c>
    </row>
    <row r="4" spans="1:7">
      <c r="B4" s="117" t="s">
        <v>564</v>
      </c>
      <c r="D4" s="29">
        <f>IF(D38&lt;&gt;"",D38,E42)</f>
        <v>0.05</v>
      </c>
      <c r="E4" s="29">
        <f>IF(D22&lt;&gt;"",D22,E26)</f>
        <v>0.15</v>
      </c>
      <c r="F4" s="29">
        <f>IF(D53&lt;&gt;"",D53,E57)</f>
        <v>0.25</v>
      </c>
    </row>
    <row r="5" spans="1:7">
      <c r="B5" s="117" t="s">
        <v>410</v>
      </c>
      <c r="D5" s="29">
        <f>IF(D39&lt;&gt;"",D39,D43)</f>
        <v>0.16666666666666669</v>
      </c>
      <c r="E5" s="29">
        <f>IF(D23&lt;&gt;"",D23,D27)</f>
        <v>0.5</v>
      </c>
      <c r="F5" s="29">
        <f>IF(D54&lt;&gt;"",D54,D58)</f>
        <v>0.83333333333333337</v>
      </c>
    </row>
    <row r="6" spans="1:7">
      <c r="B6" s="117" t="s">
        <v>540</v>
      </c>
      <c r="D6" s="29">
        <f>D47</f>
        <v>0.3680219085738361</v>
      </c>
      <c r="E6" s="29">
        <f>D31</f>
        <v>0.3680219085738361</v>
      </c>
      <c r="F6" s="29">
        <f>D62</f>
        <v>0.3680219085738361</v>
      </c>
    </row>
    <row r="7" spans="1:7">
      <c r="B7" s="117" t="s">
        <v>354</v>
      </c>
      <c r="D7" s="148">
        <v>6</v>
      </c>
      <c r="E7" s="121">
        <f>Scenarios!D111</f>
        <v>8</v>
      </c>
      <c r="F7" s="148">
        <v>10</v>
      </c>
    </row>
    <row r="9" spans="1:7">
      <c r="B9" s="117" t="s">
        <v>506</v>
      </c>
      <c r="D9" s="29">
        <f>Bear_ROC-WACC_CAP</f>
        <v>0.18000000000000002</v>
      </c>
      <c r="E9" s="29">
        <f>Base_ROC-WACC_CAP</f>
        <v>0.21</v>
      </c>
      <c r="F9" s="29">
        <f>Bull_ROC-WACC_CAP</f>
        <v>0.24000000000000002</v>
      </c>
    </row>
    <row r="10" spans="1:7">
      <c r="B10" s="112" t="s">
        <v>539</v>
      </c>
      <c r="D10" s="29">
        <f>D46-Stable_WACC</f>
        <v>0</v>
      </c>
      <c r="E10" s="29">
        <f>D30-Stable_WACC</f>
        <v>0</v>
      </c>
      <c r="F10" s="29">
        <f>D61-Stable_WACC</f>
        <v>0</v>
      </c>
    </row>
    <row r="12" spans="1:7">
      <c r="B12" s="254" t="s">
        <v>407</v>
      </c>
      <c r="D12" s="141">
        <f>(1-E12)/2</f>
        <v>0.19444444444444442</v>
      </c>
      <c r="E12" s="29">
        <f>AVERAGE(F27,E31,E111)</f>
        <v>0.61111111111111116</v>
      </c>
      <c r="F12" s="29">
        <f>1-E12-D12</f>
        <v>0.19444444444444442</v>
      </c>
      <c r="G12" s="122"/>
    </row>
    <row r="13" spans="1:7">
      <c r="B13" s="251" t="s">
        <v>534</v>
      </c>
      <c r="D13" s="190">
        <f ca="1">'Bear Model'!E42</f>
        <v>3467530674.9719229</v>
      </c>
      <c r="E13" s="127">
        <f ca="1">IF(Price_Currency&lt;&gt;CF_Currency,'Base Model'!E42,'Base Model'!E41)</f>
        <v>5351033444.8316813</v>
      </c>
      <c r="F13" s="190">
        <f ca="1">'Bull Model'!E42</f>
        <v>9915614543.1174831</v>
      </c>
      <c r="G13" s="122"/>
    </row>
    <row r="14" spans="1:7" ht="16.5" thickBot="1">
      <c r="B14" s="252" t="s">
        <v>530</v>
      </c>
      <c r="D14" s="313" t="e">
        <f ca="1">E14/Current_Price-1</f>
        <v>#DIV/0!</v>
      </c>
      <c r="E14" s="253">
        <f ca="1">E12*E13+D12*D13+F12*F13</f>
        <v>5872354230.9145231</v>
      </c>
      <c r="F14" s="107"/>
      <c r="G14" s="122"/>
    </row>
    <row r="15" spans="1:7" ht="16.5" thickTop="1"/>
    <row r="16" spans="1:7">
      <c r="A16" s="94">
        <v>1</v>
      </c>
      <c r="B16" s="21" t="s">
        <v>548</v>
      </c>
    </row>
    <row r="17" spans="1:6">
      <c r="B17" s="117" t="s">
        <v>547</v>
      </c>
      <c r="D17" s="224">
        <f>Riskfree_rate</f>
        <v>1.7469999999999999E-2</v>
      </c>
    </row>
    <row r="19" spans="1:6">
      <c r="A19" s="219" t="s">
        <v>565</v>
      </c>
      <c r="B19" s="256" t="s">
        <v>504</v>
      </c>
    </row>
    <row r="20" spans="1:6">
      <c r="A20" s="219"/>
      <c r="B20" s="220" t="s">
        <v>536</v>
      </c>
    </row>
    <row r="21" spans="1:6">
      <c r="A21" s="219"/>
      <c r="B21" s="15" t="s">
        <v>559</v>
      </c>
    </row>
    <row r="22" spans="1:6">
      <c r="A22" s="219"/>
      <c r="B22" s="117" t="s">
        <v>562</v>
      </c>
      <c r="C22" s="114" t="str">
        <f>IF(AND($D$22&lt;&gt;"",$D$23&lt;&gt;""),"Error, pick 1 only","")</f>
        <v/>
      </c>
      <c r="D22" s="141">
        <v>0.15</v>
      </c>
    </row>
    <row r="23" spans="1:6">
      <c r="A23" s="219"/>
      <c r="B23" s="117" t="s">
        <v>563</v>
      </c>
      <c r="C23" s="114" t="str">
        <f>IF(AND($D$22&lt;&gt;"",$D$23&lt;&gt;""),"Error, pick 1 only","")</f>
        <v/>
      </c>
      <c r="D23" s="141"/>
    </row>
    <row r="24" spans="1:6">
      <c r="B24" s="270"/>
    </row>
    <row r="25" spans="1:6">
      <c r="B25" s="15" t="s">
        <v>560</v>
      </c>
      <c r="D25" s="271" t="s">
        <v>557</v>
      </c>
      <c r="E25" s="271" t="s">
        <v>558</v>
      </c>
    </row>
    <row r="26" spans="1:6">
      <c r="B26" s="216" t="s">
        <v>561</v>
      </c>
      <c r="D26" s="29">
        <f>IF(D22&lt;&gt;"",D22,"")</f>
        <v>0.15</v>
      </c>
      <c r="E26" s="29" t="str">
        <f>IF(D23&lt;&gt;"",Base_ROC*D23,"")</f>
        <v/>
      </c>
      <c r="F26" s="302" t="s">
        <v>587</v>
      </c>
    </row>
    <row r="27" spans="1:6" ht="16.5" thickBot="1">
      <c r="B27" s="269" t="s">
        <v>193</v>
      </c>
      <c r="D27" s="29">
        <f>IF(D22&lt;&gt;"",D22/Base_ROC,"")</f>
        <v>0.5</v>
      </c>
      <c r="E27" s="29" t="str">
        <f>IF(D23&lt;&gt;"",D23,"")</f>
        <v/>
      </c>
      <c r="F27" s="149">
        <v>0.5</v>
      </c>
    </row>
    <row r="28" spans="1:6" ht="16.5" thickTop="1">
      <c r="A28" s="219"/>
      <c r="B28" s="270"/>
    </row>
    <row r="29" spans="1:6">
      <c r="A29" s="94"/>
      <c r="B29" s="220" t="s">
        <v>200</v>
      </c>
      <c r="D29" s="160"/>
      <c r="E29" s="160"/>
    </row>
    <row r="30" spans="1:6">
      <c r="B30" s="117" t="s">
        <v>537</v>
      </c>
      <c r="D30" s="224">
        <f>Stable_WACC</f>
        <v>4.7469999999999998E-2</v>
      </c>
      <c r="E30" s="94" t="s">
        <v>587</v>
      </c>
    </row>
    <row r="31" spans="1:6" ht="16.5" thickBot="1">
      <c r="A31" s="94"/>
      <c r="B31" s="15" t="s">
        <v>538</v>
      </c>
      <c r="D31" s="30">
        <f>Terminal_Ebit_g/D30</f>
        <v>0.3680219085738361</v>
      </c>
      <c r="E31" s="149">
        <v>0.66666666666666674</v>
      </c>
    </row>
    <row r="32" spans="1:6" ht="16.5" thickTop="1">
      <c r="A32" s="94"/>
    </row>
    <row r="33" spans="1:6">
      <c r="A33" s="219" t="s">
        <v>567</v>
      </c>
      <c r="B33" s="256" t="s">
        <v>403</v>
      </c>
    </row>
    <row r="34" spans="1:6">
      <c r="A34" s="94"/>
      <c r="B34" s="220" t="s">
        <v>536</v>
      </c>
      <c r="D34" s="107"/>
    </row>
    <row r="35" spans="1:6">
      <c r="A35" s="94"/>
      <c r="B35" s="322" t="s">
        <v>531</v>
      </c>
      <c r="C35" s="322"/>
      <c r="D35" s="322"/>
    </row>
    <row r="36" spans="1:6">
      <c r="A36" s="94"/>
      <c r="B36" s="322"/>
      <c r="C36" s="322"/>
      <c r="D36" s="322"/>
    </row>
    <row r="37" spans="1:6">
      <c r="B37" s="15" t="s">
        <v>559</v>
      </c>
    </row>
    <row r="38" spans="1:6">
      <c r="B38" s="117" t="s">
        <v>562</v>
      </c>
      <c r="C38" s="114" t="str">
        <f>IF(AND($D$38&lt;&gt;"",$D$39&lt;&gt;""),"Error, pick 1 only","")</f>
        <v/>
      </c>
      <c r="D38" s="141">
        <v>0.05</v>
      </c>
    </row>
    <row r="39" spans="1:6">
      <c r="B39" s="117" t="s">
        <v>563</v>
      </c>
      <c r="C39" s="114" t="str">
        <f>IF(AND($D$38&lt;&gt;"",$D$39&lt;&gt;""),"Error, pick 1 only","")</f>
        <v/>
      </c>
      <c r="D39" s="141"/>
    </row>
    <row r="41" spans="1:6">
      <c r="A41" s="94"/>
      <c r="B41" s="15" t="s">
        <v>560</v>
      </c>
      <c r="D41" s="271" t="s">
        <v>557</v>
      </c>
      <c r="E41" s="271" t="s">
        <v>558</v>
      </c>
      <c r="F41" s="112"/>
    </row>
    <row r="42" spans="1:6">
      <c r="A42" s="94"/>
      <c r="B42" s="216" t="s">
        <v>561</v>
      </c>
      <c r="D42" s="29">
        <f>IF(D38&lt;&gt;"",D38,"")</f>
        <v>0.05</v>
      </c>
      <c r="E42" s="29" t="str">
        <f>IF(D39&lt;&gt;"",Base_ROC*D39,"")</f>
        <v/>
      </c>
      <c r="F42" s="112"/>
    </row>
    <row r="43" spans="1:6">
      <c r="B43" s="269" t="s">
        <v>193</v>
      </c>
      <c r="D43" s="29">
        <f>IF(D38&lt;&gt;"",D38/Base_ROC,"")</f>
        <v>0.16666666666666669</v>
      </c>
      <c r="E43" s="29" t="str">
        <f>IF(D39&lt;&gt;"",D39,"")</f>
        <v/>
      </c>
      <c r="F43" s="107"/>
    </row>
    <row r="44" spans="1:6">
      <c r="A44" s="94"/>
      <c r="F44" s="112"/>
    </row>
    <row r="45" spans="1:6">
      <c r="A45" s="94"/>
      <c r="B45" s="220" t="s">
        <v>200</v>
      </c>
      <c r="D45" s="160"/>
      <c r="E45" s="160"/>
      <c r="F45" s="112"/>
    </row>
    <row r="46" spans="1:6">
      <c r="A46" s="94"/>
      <c r="B46" s="117" t="s">
        <v>537</v>
      </c>
      <c r="D46" s="224">
        <f>WACC!C18</f>
        <v>4.7469999999999998E-2</v>
      </c>
      <c r="F46" s="231"/>
    </row>
    <row r="47" spans="1:6" ht="16.5" thickBot="1">
      <c r="A47" s="94"/>
      <c r="B47" s="15" t="s">
        <v>538</v>
      </c>
      <c r="D47" s="30">
        <f>Terminal_Ebit_g/D46</f>
        <v>0.3680219085738361</v>
      </c>
      <c r="F47" s="107"/>
    </row>
    <row r="48" spans="1:6" ht="16.5" thickTop="1">
      <c r="E48" s="112"/>
      <c r="F48" s="112"/>
    </row>
    <row r="49" spans="1:6">
      <c r="A49" s="219" t="s">
        <v>566</v>
      </c>
      <c r="B49" s="222" t="s">
        <v>405</v>
      </c>
      <c r="F49" s="112"/>
    </row>
    <row r="50" spans="1:6">
      <c r="B50" s="322" t="s">
        <v>532</v>
      </c>
      <c r="C50" s="322"/>
      <c r="D50" s="322"/>
      <c r="F50" s="112"/>
    </row>
    <row r="51" spans="1:6">
      <c r="A51" s="223"/>
      <c r="B51" s="322"/>
      <c r="C51" s="322"/>
      <c r="D51" s="322"/>
      <c r="F51" s="112"/>
    </row>
    <row r="52" spans="1:6">
      <c r="B52" s="15" t="s">
        <v>559</v>
      </c>
      <c r="F52" s="112"/>
    </row>
    <row r="53" spans="1:6">
      <c r="B53" s="117" t="s">
        <v>562</v>
      </c>
      <c r="C53" s="114" t="str">
        <f>IF(AND($D$53&lt;&gt;"",$D$54&lt;&gt;""),"Error, pick 1 only","")</f>
        <v/>
      </c>
      <c r="D53" s="141">
        <v>0.25</v>
      </c>
      <c r="F53" s="112"/>
    </row>
    <row r="54" spans="1:6">
      <c r="B54" s="117" t="s">
        <v>563</v>
      </c>
      <c r="C54" s="114" t="str">
        <f>IF(AND($D$53&lt;&gt;"",$D$54&lt;&gt;""),"Error, pick 1 only","")</f>
        <v/>
      </c>
      <c r="D54" s="141"/>
      <c r="F54" s="112"/>
    </row>
    <row r="55" spans="1:6">
      <c r="F55" s="112"/>
    </row>
    <row r="56" spans="1:6">
      <c r="B56" s="15" t="s">
        <v>560</v>
      </c>
      <c r="D56" s="271" t="s">
        <v>557</v>
      </c>
      <c r="E56" s="271" t="s">
        <v>558</v>
      </c>
      <c r="F56" s="112"/>
    </row>
    <row r="57" spans="1:6">
      <c r="B57" s="216" t="s">
        <v>561</v>
      </c>
      <c r="D57" s="29">
        <f>IF(D53&lt;&gt;"",D53,"")</f>
        <v>0.25</v>
      </c>
      <c r="E57" s="29" t="str">
        <f>IF(D54&lt;&gt;"",Base_ROC*D54,"")</f>
        <v/>
      </c>
      <c r="F57" s="112"/>
    </row>
    <row r="58" spans="1:6">
      <c r="A58" s="94"/>
      <c r="B58" s="269" t="s">
        <v>193</v>
      </c>
      <c r="D58" s="29">
        <f>IF(D53&lt;&gt;"",D53/Base_ROC,"")</f>
        <v>0.83333333333333337</v>
      </c>
      <c r="E58" s="29" t="str">
        <f>IF(D54&lt;&gt;"",D54,"")</f>
        <v/>
      </c>
      <c r="F58" s="107"/>
    </row>
    <row r="59" spans="1:6">
      <c r="A59" s="218"/>
      <c r="F59" s="112"/>
    </row>
    <row r="60" spans="1:6">
      <c r="A60" s="94"/>
      <c r="B60" s="220" t="s">
        <v>200</v>
      </c>
      <c r="C60" s="160"/>
      <c r="D60" s="160"/>
      <c r="F60" s="112"/>
    </row>
    <row r="61" spans="1:6">
      <c r="A61" s="94"/>
      <c r="B61" s="117" t="s">
        <v>537</v>
      </c>
      <c r="C61" s="114"/>
      <c r="D61" s="224">
        <f>WACC_Stable</f>
        <v>4.7469999999999998E-2</v>
      </c>
      <c r="F61" s="231"/>
    </row>
    <row r="62" spans="1:6" ht="16.5" thickBot="1">
      <c r="A62" s="94"/>
      <c r="B62" s="15" t="s">
        <v>538</v>
      </c>
      <c r="D62" s="30">
        <f>Terminal_Ebit_g/D61</f>
        <v>0.3680219085738361</v>
      </c>
      <c r="F62" s="107"/>
    </row>
    <row r="63" spans="1:6" ht="16.5" thickTop="1">
      <c r="F63" s="112"/>
    </row>
    <row r="64" spans="1:6">
      <c r="A64" s="94">
        <v>3</v>
      </c>
      <c r="B64" s="21" t="s">
        <v>401</v>
      </c>
      <c r="F64" s="112"/>
    </row>
    <row r="65" spans="1:6">
      <c r="A65" s="94"/>
      <c r="B65" s="117" t="s">
        <v>355</v>
      </c>
    </row>
    <row r="66" spans="1:6">
      <c r="A66" s="94"/>
      <c r="B66" s="118" t="s">
        <v>454</v>
      </c>
      <c r="E66" s="231"/>
    </row>
    <row r="67" spans="1:6">
      <c r="A67" s="117"/>
      <c r="B67" s="15" t="s">
        <v>455</v>
      </c>
      <c r="C67" s="225">
        <f>(SUM(C68:C74)/28)</f>
        <v>0.14285714285714285</v>
      </c>
      <c r="D67" s="123" t="str">
        <f>IF(C67&gt;80%,"Very High",IF(C67&gt;60%,"High",IF(C67&gt;40%,"Medium",IF(C67&gt;20%,"Low","Very Low"))))</f>
        <v>Very Low</v>
      </c>
      <c r="E67" s="107"/>
    </row>
    <row r="68" spans="1:6">
      <c r="A68" s="117"/>
      <c r="B68" s="117" t="s">
        <v>456</v>
      </c>
      <c r="C68" s="226">
        <f t="shared" ref="C68:C74" si="0">IF(D68="Strongly agree",4,IF(D68="agree",3,IF(D68="disagree",1,IF(D68="Strongly disagree",0,2))))</f>
        <v>0</v>
      </c>
      <c r="D68" s="159" t="s">
        <v>457</v>
      </c>
      <c r="E68" s="112"/>
    </row>
    <row r="69" spans="1:6">
      <c r="A69" s="117"/>
      <c r="B69" s="117" t="s">
        <v>458</v>
      </c>
      <c r="C69" s="226">
        <f t="shared" si="0"/>
        <v>0</v>
      </c>
      <c r="D69" s="159" t="s">
        <v>457</v>
      </c>
      <c r="E69" s="112"/>
    </row>
    <row r="70" spans="1:6">
      <c r="A70" s="117"/>
      <c r="B70" s="117" t="s">
        <v>460</v>
      </c>
      <c r="C70" s="226">
        <f t="shared" si="0"/>
        <v>0</v>
      </c>
      <c r="D70" s="159" t="s">
        <v>457</v>
      </c>
      <c r="E70" s="112"/>
    </row>
    <row r="71" spans="1:6">
      <c r="A71" s="117"/>
      <c r="B71" s="117" t="s">
        <v>461</v>
      </c>
      <c r="C71" s="226">
        <f t="shared" si="0"/>
        <v>0</v>
      </c>
      <c r="D71" s="159" t="s">
        <v>457</v>
      </c>
      <c r="E71" s="112"/>
    </row>
    <row r="72" spans="1:6">
      <c r="A72" s="117"/>
      <c r="B72" s="117" t="s">
        <v>462</v>
      </c>
      <c r="C72" s="226">
        <f t="shared" si="0"/>
        <v>0</v>
      </c>
      <c r="D72" s="159" t="s">
        <v>457</v>
      </c>
      <c r="E72" s="112"/>
    </row>
    <row r="73" spans="1:6">
      <c r="A73" s="117"/>
      <c r="B73" s="117" t="s">
        <v>463</v>
      </c>
      <c r="C73" s="226">
        <f t="shared" si="0"/>
        <v>0</v>
      </c>
      <c r="D73" s="159" t="s">
        <v>457</v>
      </c>
      <c r="E73" s="112"/>
    </row>
    <row r="74" spans="1:6">
      <c r="A74" s="117"/>
      <c r="B74" s="117" t="s">
        <v>464</v>
      </c>
      <c r="C74" s="226">
        <f t="shared" si="0"/>
        <v>4</v>
      </c>
      <c r="D74" s="159" t="s">
        <v>459</v>
      </c>
      <c r="E74" s="231"/>
      <c r="F74" s="231"/>
    </row>
    <row r="75" spans="1:6">
      <c r="A75" s="117"/>
      <c r="E75" s="231"/>
      <c r="F75" s="107"/>
    </row>
    <row r="76" spans="1:6">
      <c r="A76" s="117"/>
      <c r="B76" s="15" t="s">
        <v>465</v>
      </c>
      <c r="C76" s="225">
        <f>(SUM(C77:C82)/24)</f>
        <v>0</v>
      </c>
      <c r="D76" s="123" t="str">
        <f>IF(C76&gt;80%,"Very High",IF(C76&gt;60%,"High",IF(C76&gt;40%,"Medium",IF(C76&gt;20%,"Low","Very Low"))))</f>
        <v>Very Low</v>
      </c>
      <c r="E76" s="107"/>
    </row>
    <row r="77" spans="1:6">
      <c r="A77" s="117"/>
      <c r="B77" s="117" t="s">
        <v>466</v>
      </c>
      <c r="C77" s="226">
        <f t="shared" ref="C77:C82" si="1">IF(D77="Strongly agree",4,IF(D77="agree",3,IF(D77="disagree",1,IF(D77="Strongly disagree",0,2))))</f>
        <v>0</v>
      </c>
      <c r="D77" s="159" t="s">
        <v>457</v>
      </c>
      <c r="E77" s="112"/>
    </row>
    <row r="78" spans="1:6">
      <c r="A78" s="117"/>
      <c r="B78" s="117" t="s">
        <v>467</v>
      </c>
      <c r="C78" s="226">
        <f t="shared" si="1"/>
        <v>0</v>
      </c>
      <c r="D78" s="159" t="s">
        <v>457</v>
      </c>
      <c r="E78" s="112"/>
    </row>
    <row r="79" spans="1:6">
      <c r="A79" s="94"/>
      <c r="B79" s="117" t="s">
        <v>469</v>
      </c>
      <c r="C79" s="226">
        <f t="shared" si="1"/>
        <v>0</v>
      </c>
      <c r="D79" s="159" t="s">
        <v>457</v>
      </c>
      <c r="E79" s="112"/>
    </row>
    <row r="80" spans="1:6">
      <c r="A80" s="117"/>
      <c r="B80" s="117" t="s">
        <v>470</v>
      </c>
      <c r="C80" s="226">
        <f t="shared" si="1"/>
        <v>0</v>
      </c>
      <c r="D80" s="159" t="s">
        <v>457</v>
      </c>
      <c r="E80" s="112"/>
    </row>
    <row r="81" spans="1:5">
      <c r="A81" s="117"/>
      <c r="B81" s="117" t="s">
        <v>471</v>
      </c>
      <c r="C81" s="226">
        <f t="shared" si="1"/>
        <v>0</v>
      </c>
      <c r="D81" s="159" t="s">
        <v>457</v>
      </c>
      <c r="E81" s="112"/>
    </row>
    <row r="82" spans="1:5">
      <c r="A82" s="117"/>
      <c r="B82" s="117" t="s">
        <v>472</v>
      </c>
      <c r="C82" s="226">
        <f t="shared" si="1"/>
        <v>0</v>
      </c>
      <c r="D82" s="159" t="s">
        <v>457</v>
      </c>
      <c r="E82" s="112"/>
    </row>
    <row r="83" spans="1:5">
      <c r="A83" s="117"/>
      <c r="E83" s="231"/>
    </row>
    <row r="84" spans="1:5">
      <c r="A84" s="117"/>
      <c r="B84" s="15" t="s">
        <v>473</v>
      </c>
      <c r="C84" s="225">
        <f>(SUM(C85:C92)/32)</f>
        <v>0.125</v>
      </c>
      <c r="D84" s="123" t="str">
        <f>IF(C84&gt;80%,"Very High",IF(C84&gt;60%,"High",IF(C84&gt;40%,"Medium",IF(C84&gt;20%,"Low","Very Low"))))</f>
        <v>Very Low</v>
      </c>
      <c r="E84" s="107"/>
    </row>
    <row r="85" spans="1:5">
      <c r="A85" s="117"/>
      <c r="B85" s="117" t="s">
        <v>474</v>
      </c>
      <c r="C85" s="226">
        <f t="shared" ref="C85:C92" si="2">IF(D85="Strongly agree",4,IF(D85="agree",3,IF(D85="disagree",1,IF(D85="Strongly disagree",0,2))))</f>
        <v>4</v>
      </c>
      <c r="D85" s="159" t="s">
        <v>459</v>
      </c>
      <c r="E85" s="112"/>
    </row>
    <row r="86" spans="1:5">
      <c r="A86" s="117"/>
      <c r="B86" s="117" t="s">
        <v>475</v>
      </c>
      <c r="C86" s="226">
        <f t="shared" si="2"/>
        <v>0</v>
      </c>
      <c r="D86" s="159" t="s">
        <v>457</v>
      </c>
      <c r="E86" s="112"/>
    </row>
    <row r="87" spans="1:5">
      <c r="A87" s="117"/>
      <c r="B87" s="117" t="s">
        <v>476</v>
      </c>
      <c r="C87" s="226">
        <f t="shared" si="2"/>
        <v>0</v>
      </c>
      <c r="D87" s="159" t="s">
        <v>457</v>
      </c>
      <c r="E87" s="112"/>
    </row>
    <row r="88" spans="1:5">
      <c r="A88" s="117"/>
      <c r="B88" s="117" t="s">
        <v>477</v>
      </c>
      <c r="C88" s="226">
        <f t="shared" si="2"/>
        <v>0</v>
      </c>
      <c r="D88" s="159" t="s">
        <v>457</v>
      </c>
      <c r="E88" s="112"/>
    </row>
    <row r="89" spans="1:5">
      <c r="A89" s="117"/>
      <c r="B89" s="216" t="s">
        <v>478</v>
      </c>
      <c r="C89" s="226">
        <f t="shared" si="2"/>
        <v>0</v>
      </c>
      <c r="D89" s="159" t="s">
        <v>457</v>
      </c>
      <c r="E89" s="112"/>
    </row>
    <row r="90" spans="1:5">
      <c r="A90" s="117"/>
      <c r="B90" s="216" t="s">
        <v>479</v>
      </c>
      <c r="C90" s="226">
        <f t="shared" si="2"/>
        <v>0</v>
      </c>
      <c r="D90" s="159" t="s">
        <v>457</v>
      </c>
      <c r="E90" s="112"/>
    </row>
    <row r="91" spans="1:5">
      <c r="A91" s="117"/>
      <c r="B91" s="216" t="s">
        <v>480</v>
      </c>
      <c r="C91" s="226">
        <f t="shared" si="2"/>
        <v>0</v>
      </c>
      <c r="D91" s="159" t="s">
        <v>457</v>
      </c>
      <c r="E91" s="112"/>
    </row>
    <row r="92" spans="1:5">
      <c r="A92" s="117"/>
      <c r="B92" s="216" t="s">
        <v>481</v>
      </c>
      <c r="C92" s="226">
        <f t="shared" si="2"/>
        <v>0</v>
      </c>
      <c r="D92" s="159" t="s">
        <v>457</v>
      </c>
      <c r="E92" s="112"/>
    </row>
    <row r="93" spans="1:5">
      <c r="A93" s="117"/>
      <c r="E93" s="231"/>
    </row>
    <row r="94" spans="1:5">
      <c r="A94" s="117"/>
      <c r="B94" s="15" t="s">
        <v>482</v>
      </c>
      <c r="C94" s="225">
        <f>(SUM(C95:C97)/12)</f>
        <v>0</v>
      </c>
      <c r="D94" s="123" t="str">
        <f>IF(C94&gt;80%,"Very High",IF(C94&gt;60%,"High",IF(C94&gt;40%,"Medium",IF(C94&gt;20%,"Low","Very Low"))))</f>
        <v>Very Low</v>
      </c>
      <c r="E94" s="107"/>
    </row>
    <row r="95" spans="1:5">
      <c r="A95" s="117"/>
      <c r="B95" s="117" t="s">
        <v>483</v>
      </c>
      <c r="C95" s="226">
        <f>IF(D95="Strongly agree",4,IF(D95="agree",3,IF(D95="disagree",1,IF(D95="Strongly disagree",0,2))))</f>
        <v>0</v>
      </c>
      <c r="D95" s="159" t="s">
        <v>457</v>
      </c>
      <c r="E95" s="112"/>
    </row>
    <row r="96" spans="1:5">
      <c r="A96" s="117"/>
      <c r="B96" s="117" t="s">
        <v>484</v>
      </c>
      <c r="C96" s="226">
        <f>IF(D96="Strongly agree",4,IF(D96="agree",3,IF(D96="disagree",1,IF(D96="Strongly disagree",0,2))))</f>
        <v>0</v>
      </c>
      <c r="D96" s="159" t="s">
        <v>457</v>
      </c>
      <c r="E96" s="112"/>
    </row>
    <row r="97" spans="1:5">
      <c r="A97" s="117"/>
      <c r="B97" s="117" t="s">
        <v>485</v>
      </c>
      <c r="C97" s="226">
        <f>IF(D97="Strongly agree",4,IF(D97="agree",3,IF(D97="disagree",1,IF(D97="Strongly disagree",0,2))))</f>
        <v>0</v>
      </c>
      <c r="D97" s="159" t="s">
        <v>457</v>
      </c>
      <c r="E97" s="112"/>
    </row>
    <row r="98" spans="1:5">
      <c r="A98" s="117"/>
      <c r="E98" s="231"/>
    </row>
    <row r="99" spans="1:5">
      <c r="A99" s="117"/>
      <c r="B99" s="15" t="s">
        <v>486</v>
      </c>
      <c r="C99" s="225">
        <f>(SUM(C100:C108)/36)</f>
        <v>0.63888888888888884</v>
      </c>
      <c r="D99" s="123" t="str">
        <f>IF(C99&gt;80%,"Very High",IF(C99&gt;60%,"High",IF(C99&gt;40%,"Medium",IF(C99&gt;20%,"Low","Very Low"))))</f>
        <v>High</v>
      </c>
      <c r="E99" s="107"/>
    </row>
    <row r="100" spans="1:5">
      <c r="A100" s="117"/>
      <c r="B100" s="117" t="s">
        <v>487</v>
      </c>
      <c r="C100" s="226">
        <f t="shared" ref="C100:C108" si="3">IF(D100="Strongly agree",4,IF(D100="agree",3,IF(D100="disagree",1,IF(D100="Strongly disagree",0,2))))</f>
        <v>3</v>
      </c>
      <c r="D100" s="159" t="s">
        <v>323</v>
      </c>
      <c r="E100" s="112"/>
    </row>
    <row r="101" spans="1:5">
      <c r="A101" s="117"/>
      <c r="B101" s="117" t="s">
        <v>488</v>
      </c>
      <c r="C101" s="226">
        <f t="shared" si="3"/>
        <v>0</v>
      </c>
      <c r="D101" s="159" t="s">
        <v>457</v>
      </c>
      <c r="E101" s="112"/>
    </row>
    <row r="102" spans="1:5">
      <c r="A102" s="117"/>
      <c r="B102" s="117" t="s">
        <v>489</v>
      </c>
      <c r="C102" s="226">
        <f t="shared" si="3"/>
        <v>4</v>
      </c>
      <c r="D102" s="159" t="s">
        <v>459</v>
      </c>
      <c r="E102" s="112"/>
    </row>
    <row r="103" spans="1:5">
      <c r="A103" s="117"/>
      <c r="B103" s="117" t="s">
        <v>490</v>
      </c>
      <c r="C103" s="226">
        <f t="shared" si="3"/>
        <v>4</v>
      </c>
      <c r="D103" s="159" t="s">
        <v>459</v>
      </c>
    </row>
    <row r="104" spans="1:5">
      <c r="A104" s="117"/>
      <c r="B104" s="117" t="s">
        <v>491</v>
      </c>
      <c r="C104" s="226">
        <f t="shared" si="3"/>
        <v>3</v>
      </c>
      <c r="D104" s="159" t="s">
        <v>323</v>
      </c>
    </row>
    <row r="105" spans="1:5">
      <c r="A105" s="117"/>
      <c r="B105" s="217" t="s">
        <v>492</v>
      </c>
      <c r="C105" s="226">
        <f t="shared" si="3"/>
        <v>1</v>
      </c>
      <c r="D105" s="159" t="s">
        <v>324</v>
      </c>
    </row>
    <row r="106" spans="1:5">
      <c r="A106" s="117"/>
      <c r="B106" s="117" t="s">
        <v>493</v>
      </c>
      <c r="C106" s="226">
        <f t="shared" si="3"/>
        <v>4</v>
      </c>
      <c r="D106" s="159" t="s">
        <v>459</v>
      </c>
    </row>
    <row r="107" spans="1:5">
      <c r="A107" s="117"/>
      <c r="B107" s="117" t="s">
        <v>494</v>
      </c>
      <c r="C107" s="226">
        <f t="shared" si="3"/>
        <v>4</v>
      </c>
      <c r="D107" s="159" t="s">
        <v>459</v>
      </c>
    </row>
    <row r="108" spans="1:5">
      <c r="A108" s="117"/>
      <c r="B108" s="117" t="s">
        <v>495</v>
      </c>
      <c r="C108" s="226">
        <f t="shared" si="3"/>
        <v>0</v>
      </c>
      <c r="D108" s="159" t="s">
        <v>457</v>
      </c>
    </row>
    <row r="109" spans="1:5">
      <c r="A109" s="117"/>
    </row>
    <row r="110" spans="1:5">
      <c r="A110" s="94"/>
      <c r="B110" s="15" t="s">
        <v>496</v>
      </c>
      <c r="C110" s="225">
        <f>AVERAGE(C76,C84,C94,C67,C99)</f>
        <v>0.18134920634920632</v>
      </c>
      <c r="D110" s="123" t="str">
        <f>IF(C110&gt;80%,"Very High",IF(C110&gt;60%,"High",IF(C110&gt;40%,"Medium",IF(C110&gt;20%,"Low","Very Low"))))</f>
        <v>Very Low</v>
      </c>
      <c r="E110" s="94" t="s">
        <v>587</v>
      </c>
    </row>
    <row r="111" spans="1:5" ht="16.5" thickBot="1">
      <c r="A111" s="94"/>
      <c r="B111" s="117" t="s">
        <v>356</v>
      </c>
      <c r="D111" s="123">
        <f>ROUND((1-C110)*10,0)</f>
        <v>8</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zoomScale="111" workbookViewId="0">
      <selection activeCell="E49" sqref="E49"/>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404</v>
      </c>
      <c r="B1" s="242"/>
    </row>
    <row r="3" spans="1:6" ht="15" customHeight="1">
      <c r="A3" s="202" t="s">
        <v>433</v>
      </c>
    </row>
    <row r="4" spans="1:6" ht="15" customHeight="1">
      <c r="A4" s="23" t="s">
        <v>435</v>
      </c>
      <c r="B4" s="264">
        <v>1.7469999999999999E-2</v>
      </c>
      <c r="C4" s="153" t="s">
        <v>434</v>
      </c>
      <c r="D4" s="2" t="s">
        <v>204</v>
      </c>
    </row>
    <row r="5" spans="1:6" ht="15" customHeight="1">
      <c r="A5" s="23" t="s">
        <v>440</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515</v>
      </c>
      <c r="B8" s="1"/>
      <c r="C8" s="2" t="s">
        <v>517</v>
      </c>
      <c r="E8" s="213" t="s">
        <v>177</v>
      </c>
      <c r="F8" s="214">
        <v>1.0999999999999999E-2</v>
      </c>
    </row>
    <row r="9" spans="1:6" ht="15" customHeight="1">
      <c r="A9" s="1" t="s">
        <v>518</v>
      </c>
      <c r="B9" s="212"/>
      <c r="C9" s="27">
        <f ca="1">E50</f>
        <v>8.2001836020050442E-2</v>
      </c>
      <c r="E9" s="213" t="s">
        <v>176</v>
      </c>
      <c r="F9" s="214">
        <v>1.2500000000000001E-2</v>
      </c>
    </row>
    <row r="10" spans="1:6" ht="15" customHeight="1">
      <c r="A10" s="1" t="s">
        <v>550</v>
      </c>
      <c r="B10" s="212"/>
      <c r="C10" s="18">
        <v>0.09</v>
      </c>
      <c r="E10" s="213" t="s">
        <v>179</v>
      </c>
      <c r="F10" s="214">
        <v>8.0000000000000002E-3</v>
      </c>
    </row>
    <row r="11" spans="1:6" ht="15" customHeight="1">
      <c r="E11" s="213" t="s">
        <v>180</v>
      </c>
      <c r="F11" s="214">
        <v>6.0000000000000001E-3</v>
      </c>
    </row>
    <row r="12" spans="1:6" ht="15" customHeight="1">
      <c r="A12" s="13" t="s">
        <v>519</v>
      </c>
      <c r="B12" s="1"/>
      <c r="C12" s="27">
        <f>IF(C8="Cost of Capital",C9,C10)</f>
        <v>0.09</v>
      </c>
      <c r="E12" s="213" t="s">
        <v>172</v>
      </c>
      <c r="F12" s="214">
        <v>3.7499999999999999E-2</v>
      </c>
    </row>
    <row r="13" spans="1:6" ht="15" customHeight="1">
      <c r="A13" s="13"/>
      <c r="B13" s="1"/>
      <c r="C13" s="244"/>
      <c r="E13" s="213" t="s">
        <v>171</v>
      </c>
      <c r="F13" s="214">
        <v>4.4999999999999998E-2</v>
      </c>
    </row>
    <row r="14" spans="1:6" ht="15" customHeight="1">
      <c r="A14" s="245" t="s">
        <v>520</v>
      </c>
      <c r="B14" s="1"/>
      <c r="C14" s="215" t="s">
        <v>517</v>
      </c>
      <c r="E14" s="213" t="s">
        <v>170</v>
      </c>
      <c r="F14" s="214">
        <v>5.5E-2</v>
      </c>
    </row>
    <row r="15" spans="1:6" ht="15" customHeight="1">
      <c r="A15" s="1" t="s">
        <v>521</v>
      </c>
      <c r="B15" s="212"/>
      <c r="C15" s="164">
        <f ca="1">D67</f>
        <v>8.1644505000000006E-2</v>
      </c>
      <c r="E15" s="213" t="s">
        <v>174</v>
      </c>
      <c r="F15" s="214">
        <v>2.5000000000000001E-2</v>
      </c>
    </row>
    <row r="16" spans="1:6" ht="15" customHeight="1">
      <c r="A16" s="1" t="s">
        <v>550</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425</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5.3642598108982265</v>
      </c>
      <c r="D24" s="23" t="s">
        <v>219</v>
      </c>
      <c r="F24" s="24">
        <v>0</v>
      </c>
    </row>
    <row r="25" spans="1:10" ht="15" customHeight="1">
      <c r="A25" s="209" t="s">
        <v>213</v>
      </c>
      <c r="B25" s="132">
        <v>7.2999999999999995E-2</v>
      </c>
      <c r="D25" s="23" t="s">
        <v>220</v>
      </c>
      <c r="F25" s="24">
        <v>0</v>
      </c>
    </row>
    <row r="26" spans="1:10" ht="15" customHeight="1"/>
    <row r="27" spans="1:10" ht="15" customHeight="1">
      <c r="A27" s="22" t="s">
        <v>449</v>
      </c>
      <c r="B27" s="203">
        <f ca="1">B4+B24*B25</f>
        <v>0.40906096619557047</v>
      </c>
      <c r="D27" s="23" t="s">
        <v>447</v>
      </c>
      <c r="F27" s="203">
        <f>IF(F23=0,0,F25/F24)</f>
        <v>0</v>
      </c>
    </row>
    <row r="28" spans="1:10" ht="15" customHeight="1"/>
    <row r="29" spans="1:10" ht="15" customHeight="1">
      <c r="A29" s="235" t="s">
        <v>214</v>
      </c>
      <c r="J29" s="89"/>
    </row>
    <row r="30" spans="1:10" ht="15" customHeight="1">
      <c r="A30" s="23" t="s">
        <v>437</v>
      </c>
      <c r="B30" s="24" t="s">
        <v>0</v>
      </c>
      <c r="D30" s="234" t="s">
        <v>511</v>
      </c>
      <c r="J30" s="89"/>
    </row>
    <row r="31" spans="1:10" ht="15" customHeight="1">
      <c r="A31" s="23" t="s">
        <v>442</v>
      </c>
      <c r="B31" s="24"/>
      <c r="D31" s="23" t="s">
        <v>353</v>
      </c>
      <c r="F31" s="205">
        <f>'Master Inputs'!K14</f>
        <v>1118496</v>
      </c>
      <c r="J31" s="90"/>
    </row>
    <row r="32" spans="1:10" ht="15" customHeight="1">
      <c r="D32" s="23" t="s">
        <v>215</v>
      </c>
      <c r="F32" s="205">
        <f>'Master Inputs'!G14</f>
        <v>64763</v>
      </c>
      <c r="J32" s="90"/>
    </row>
    <row r="33" spans="1:16" ht="15" customHeight="1">
      <c r="A33" s="23" t="s">
        <v>186</v>
      </c>
      <c r="B33" s="208">
        <v>1</v>
      </c>
      <c r="D33" s="23" t="s">
        <v>216</v>
      </c>
      <c r="F33" s="206">
        <v>0</v>
      </c>
    </row>
    <row r="34" spans="1:16" ht="15" customHeight="1">
      <c r="A34" s="207" t="s">
        <v>438</v>
      </c>
      <c r="B34" s="203">
        <f ca="1">D79</f>
        <v>3.8953399999999999E-2</v>
      </c>
    </row>
    <row r="35" spans="1:16" ht="15" customHeight="1">
      <c r="A35" s="207" t="s">
        <v>441</v>
      </c>
      <c r="B35" s="203" t="str">
        <f>IF(B31&lt;&gt;"",B4+VLOOKUP(B31,E7:F20,2),"")</f>
        <v/>
      </c>
      <c r="D35" s="234" t="s">
        <v>448</v>
      </c>
      <c r="J35" s="90"/>
    </row>
    <row r="36" spans="1:16" ht="15" customHeight="1">
      <c r="A36" s="207" t="s">
        <v>364</v>
      </c>
      <c r="B36" s="132">
        <v>0.02</v>
      </c>
      <c r="D36" s="23" t="s">
        <v>446</v>
      </c>
      <c r="F36" s="24">
        <v>0</v>
      </c>
      <c r="J36" s="90"/>
    </row>
    <row r="37" spans="1:16" ht="15" customHeight="1">
      <c r="A37" s="23" t="s">
        <v>145</v>
      </c>
      <c r="B37" s="203">
        <f ca="1">INDIRECT(ADDRESS(ROW(B33)+B33,COLUMN(B33)))</f>
        <v>3.8953399999999999E-2</v>
      </c>
      <c r="D37" s="23" t="s">
        <v>444</v>
      </c>
      <c r="F37" s="24">
        <v>0</v>
      </c>
      <c r="J37" s="90"/>
    </row>
    <row r="38" spans="1:16" ht="15" customHeight="1">
      <c r="D38" s="23" t="s">
        <v>445</v>
      </c>
      <c r="F38" s="24">
        <v>0</v>
      </c>
      <c r="J38" s="90"/>
    </row>
    <row r="39" spans="1:16" ht="15" customHeight="1">
      <c r="A39" s="22" t="s">
        <v>450</v>
      </c>
      <c r="B39" s="203">
        <f ca="1">B37*(1-Adj_Effective_T)</f>
        <v>2.8296985018860868E-2</v>
      </c>
      <c r="D39" s="23" t="s">
        <v>443</v>
      </c>
      <c r="F39" s="24">
        <v>0</v>
      </c>
      <c r="J39" s="90"/>
      <c r="M39" s="45"/>
      <c r="N39" s="45"/>
      <c r="O39" s="45"/>
      <c r="P39" s="45"/>
    </row>
    <row r="40" spans="1:16" ht="15" customHeight="1">
      <c r="A40" s="45"/>
      <c r="B40" s="45"/>
      <c r="J40" s="90"/>
    </row>
    <row r="41" spans="1:16" ht="15" customHeight="1">
      <c r="J41" s="90"/>
    </row>
    <row r="42" spans="1:16" ht="15" customHeight="1">
      <c r="A42" s="53" t="s">
        <v>513</v>
      </c>
      <c r="J42" s="90"/>
    </row>
    <row r="43" spans="1:16" ht="15" customHeight="1">
      <c r="A43" s="44" t="s">
        <v>221</v>
      </c>
      <c r="B43" s="44"/>
      <c r="C43" s="84">
        <f>IF(Is_Listed="Listed",F32*(1-(1+B37)^(-F33))/B37+F31/(1+B37)^F33,F31)</f>
        <v>1118496</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Inputs'!C10,Adj!C24)</f>
        <v>183663</v>
      </c>
      <c r="C48" s="26">
        <f ca="1">C43+C44</f>
        <v>1118496</v>
      </c>
      <c r="D48" s="26">
        <f>F23*F24</f>
        <v>0</v>
      </c>
      <c r="E48" s="48">
        <f ca="1">SUM(B48:D48)</f>
        <v>1302159</v>
      </c>
      <c r="J48" s="91"/>
    </row>
    <row r="49" spans="1:16" ht="16.5" thickBot="1">
      <c r="A49" s="44" t="s">
        <v>228</v>
      </c>
      <c r="B49" s="49">
        <f ca="1">B48/$E$48</f>
        <v>0.14104498759368095</v>
      </c>
      <c r="C49" s="49">
        <f ca="1">MV_Debt/$E$48</f>
        <v>0.858955012406319</v>
      </c>
      <c r="D49" s="49">
        <f ca="1">D48/$E$48</f>
        <v>0</v>
      </c>
      <c r="E49" s="50">
        <f ca="1">SUM(B49:D49)</f>
        <v>1</v>
      </c>
      <c r="J49" s="91"/>
    </row>
    <row r="50" spans="1:16" ht="16.5" thickBot="1">
      <c r="A50" s="44" t="s">
        <v>229</v>
      </c>
      <c r="B50" s="47">
        <f ca="1">B27</f>
        <v>0.40906096619557047</v>
      </c>
      <c r="C50" s="49">
        <f ca="1">B39</f>
        <v>2.8296985018860868E-2</v>
      </c>
      <c r="D50" s="51">
        <f>F27</f>
        <v>0</v>
      </c>
      <c r="E50" s="52">
        <f ca="1">B49*B50+C49*C50+D49*D50</f>
        <v>8.2001836020050442E-2</v>
      </c>
      <c r="M50" s="45"/>
      <c r="N50" s="45"/>
      <c r="O50" s="45"/>
      <c r="P50" s="45"/>
    </row>
    <row r="51" spans="1:16">
      <c r="J51" s="45"/>
      <c r="K51" s="45"/>
      <c r="L51" s="45"/>
    </row>
    <row r="52" spans="1:16">
      <c r="A52" s="232" t="s">
        <v>231</v>
      </c>
    </row>
    <row r="53" spans="1:16">
      <c r="A53" s="235" t="s">
        <v>211</v>
      </c>
      <c r="E53" s="211"/>
    </row>
    <row r="54" spans="1:16">
      <c r="A54" s="23" t="s">
        <v>436</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512</v>
      </c>
      <c r="B60" s="132">
        <v>0.1</v>
      </c>
      <c r="J60" s="91"/>
    </row>
    <row r="61" spans="1:16">
      <c r="J61" s="91"/>
    </row>
    <row r="62" spans="1:16">
      <c r="A62" s="13" t="s">
        <v>451</v>
      </c>
      <c r="B62" s="203">
        <f ca="1">B37*(1-Marginal_TaxRate)</f>
        <v>2.9215049999999999E-2</v>
      </c>
      <c r="J62" s="91"/>
    </row>
    <row r="63" spans="1:16">
      <c r="I63" s="89"/>
      <c r="J63" s="91"/>
    </row>
    <row r="64" spans="1:16">
      <c r="A64" s="53" t="s">
        <v>514</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2.9215049999999999E-2</v>
      </c>
      <c r="D67" s="47">
        <f ca="1">B67*B66+C67*C66</f>
        <v>8.1644505000000006E-2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439</v>
      </c>
      <c r="B75" s="58"/>
      <c r="C75" s="58"/>
      <c r="D75" s="60">
        <f ca="1">IF(Cur_InterestExpense=0,1000000,IF(Cur_BvEbit&lt;0,-100000,Adj_Ebit/Cur_InterestExpense))</f>
        <v>2.9481494062968054</v>
      </c>
      <c r="E75" s="58"/>
      <c r="F75" s="58"/>
      <c r="G75" s="58"/>
      <c r="H75" s="58"/>
      <c r="I75" s="58"/>
      <c r="J75" s="58"/>
    </row>
    <row r="76" spans="1:10" ht="16.5" thickBot="1">
      <c r="A76" s="58" t="s">
        <v>153</v>
      </c>
      <c r="B76" s="58"/>
      <c r="C76" s="58"/>
      <c r="D76" s="61" t="str">
        <f ca="1">IF(C73=1,VLOOKUP(D75,A85:D99,3),(IF(C73=2,VLOOKUP(D75,A104:D118,3),VLOOKUP(D75,F85:I99,3))))</f>
        <v>Baa2/BBB</v>
      </c>
      <c r="E76" s="58"/>
      <c r="F76" s="56" t="s">
        <v>154</v>
      </c>
      <c r="G76" s="58"/>
      <c r="H76" s="58"/>
      <c r="I76" s="58"/>
      <c r="J76" s="58"/>
    </row>
    <row r="77" spans="1:10" ht="16.5" thickBot="1">
      <c r="A77" s="58" t="s">
        <v>155</v>
      </c>
      <c r="B77" s="58"/>
      <c r="C77" s="58"/>
      <c r="D77" s="62">
        <f ca="1">IF(C73=1,VLOOKUP(D75,A85:D99,4),(IF(C73=2,VLOOKUP(D75,A104:D118,4),VLOOKUP(D75,F85:I99,4))))</f>
        <v>1.5600000000000001E-2</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 ca="1">Riskfree_rate+D77+D78</f>
        <v>3.8953399999999999E-2</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topLeftCell="A16" workbookViewId="0">
      <pane xSplit="1" topLeftCell="B1" activePane="topRight" state="frozen"/>
      <selection pane="topRight" activeCell="C18" sqref="C18"/>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503</v>
      </c>
      <c r="E4" s="276"/>
      <c r="F4" s="112"/>
      <c r="G4" s="119"/>
      <c r="L4" s="112"/>
    </row>
    <row r="5" spans="1:17">
      <c r="A5" t="s">
        <v>564</v>
      </c>
      <c r="C5" s="29">
        <f>IF(A4="Base Case",Base_Ebit_g,IF(A4="Bear Case",Bear_Ebit_g,Bull_Ebit_g))</f>
        <v>0.05</v>
      </c>
      <c r="E5" s="112"/>
      <c r="F5" s="112"/>
      <c r="G5" s="107"/>
      <c r="L5" s="112"/>
    </row>
    <row r="6" spans="1:17">
      <c r="A6" s="117" t="s">
        <v>343</v>
      </c>
      <c r="C6" s="29">
        <f>IF(A4="Base Case",Base_ReinvestRate,IF(A4="Bear Case",Bear_ReinvestRate,Bull_ReinvestRate))</f>
        <v>0.16666666666666669</v>
      </c>
      <c r="E6" s="112"/>
      <c r="F6" s="112"/>
      <c r="G6" s="107"/>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6</v>
      </c>
      <c r="E8" s="112"/>
      <c r="F8" s="112"/>
      <c r="G8" s="119"/>
      <c r="L8" s="112"/>
    </row>
    <row r="9" spans="1:17">
      <c r="A9" s="117" t="s">
        <v>555</v>
      </c>
      <c r="C9" s="123">
        <f>_xlfn.CEILING.MATH((C8/2))</f>
        <v>3</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0.92151537783933257</v>
      </c>
      <c r="D16" s="29">
        <f t="shared" ca="1" si="0"/>
        <v>5.0000000000000044E-2</v>
      </c>
      <c r="E16" s="29">
        <f t="shared" ca="1" si="0"/>
        <v>4.9999999999999822E-2</v>
      </c>
      <c r="F16" s="29">
        <f t="shared" ca="1" si="0"/>
        <v>3.9156666666666728E-2</v>
      </c>
      <c r="G16" s="29">
        <f t="shared" ca="1" si="0"/>
        <v>2.8313333333333413E-2</v>
      </c>
      <c r="H16" s="29">
        <f t="shared" ca="1" si="0"/>
        <v>1.7470000000000097E-2</v>
      </c>
      <c r="I16" s="29" t="str">
        <f t="shared" si="0"/>
        <v xml:space="preserve"> </v>
      </c>
      <c r="J16" s="29" t="str">
        <f t="shared" si="0"/>
        <v xml:space="preserve"> </v>
      </c>
      <c r="K16" s="29" t="str">
        <f t="shared" si="0"/>
        <v xml:space="preserve"> </v>
      </c>
      <c r="L16" s="29" t="str">
        <f t="shared" si="0"/>
        <v xml:space="preserve"> </v>
      </c>
      <c r="M16" s="29">
        <f ca="1">Terminal_Sales/INDIRECT(ADDRESS(ROW(A17),C8+2))-1</f>
        <v>0.2599309361702129</v>
      </c>
      <c r="N16" s="150"/>
      <c r="O16" s="150"/>
      <c r="P16" s="150"/>
      <c r="Q16" s="150"/>
    </row>
    <row r="17" spans="1:19">
      <c r="A17" s="128" t="s">
        <v>350</v>
      </c>
      <c r="B17" s="198">
        <f>'Master Inputs'!B14</f>
        <v>896332</v>
      </c>
      <c r="C17" s="198">
        <f t="shared" ref="C17:L17" ca="1" si="1">IF(Model_Year&gt;Model_CAP_Length," ",Model_Ebit/Model_EbitMargin)</f>
        <v>1722315.7216494847</v>
      </c>
      <c r="D17" s="198">
        <f t="shared" ca="1" si="1"/>
        <v>1808431.507731959</v>
      </c>
      <c r="E17" s="198">
        <f t="shared" ca="1" si="1"/>
        <v>1898853.0831185568</v>
      </c>
      <c r="F17" s="198">
        <f t="shared" ca="1" si="1"/>
        <v>1973205.8403432025</v>
      </c>
      <c r="G17" s="198">
        <f t="shared" ca="1" si="1"/>
        <v>2029073.8750361199</v>
      </c>
      <c r="H17" s="198">
        <f t="shared" ca="1" si="1"/>
        <v>2064521.7956330013</v>
      </c>
      <c r="I17" s="198" t="str">
        <f t="shared" si="1"/>
        <v xml:space="preserve"> </v>
      </c>
      <c r="J17" s="198" t="str">
        <f t="shared" si="1"/>
        <v xml:space="preserve"> </v>
      </c>
      <c r="K17" s="198" t="str">
        <f t="shared" si="1"/>
        <v xml:space="preserve"> </v>
      </c>
      <c r="L17" s="198" t="str">
        <f t="shared" si="1"/>
        <v xml:space="preserve"> </v>
      </c>
      <c r="M17" s="198">
        <f ca="1">Terminal_Ebit/Terminal_EbitMargin</f>
        <v>2601154.8787156963</v>
      </c>
      <c r="N17" s="124"/>
      <c r="O17" s="124"/>
      <c r="P17" s="124"/>
      <c r="Q17" s="124"/>
      <c r="S17" s="144"/>
    </row>
    <row r="18" spans="1:19">
      <c r="A18" s="142" t="s">
        <v>352</v>
      </c>
      <c r="B18" s="29">
        <f ca="1">B20/B17</f>
        <v>0.2130137047433317</v>
      </c>
      <c r="C18" s="141">
        <v>0.1164</v>
      </c>
      <c r="D18" s="141">
        <v>0.1164</v>
      </c>
      <c r="E18" s="141">
        <v>0.1164</v>
      </c>
      <c r="F18" s="141">
        <v>0.1164</v>
      </c>
      <c r="G18" s="141">
        <v>0.1164</v>
      </c>
      <c r="H18" s="141">
        <v>0.1164</v>
      </c>
      <c r="I18" s="141"/>
      <c r="J18" s="141"/>
      <c r="K18" s="141"/>
      <c r="L18" s="141"/>
      <c r="M18" s="173">
        <v>9.4E-2</v>
      </c>
      <c r="N18" s="150"/>
      <c r="O18" s="150"/>
      <c r="P18" s="150"/>
      <c r="Q18" s="150"/>
    </row>
    <row r="19" spans="1:19">
      <c r="A19" s="142" t="s">
        <v>554</v>
      </c>
      <c r="B19" s="29"/>
      <c r="C19" s="29">
        <f t="shared" ref="C19:L19" si="2">IF(Model_Year&gt;Model_CAP_Length," ",IF(Model_Year&gt;$C$9,Terminal_Ebit_g+((Model_Ebit_g-Terminal_Ebit_g)/(Model_CAP_Length-$C$9))*(Model_CAP_Length-Model_Year),Model_Ebit_g))</f>
        <v>0.05</v>
      </c>
      <c r="D19" s="29">
        <f t="shared" si="2"/>
        <v>0.05</v>
      </c>
      <c r="E19" s="29">
        <f t="shared" si="2"/>
        <v>0.05</v>
      </c>
      <c r="F19" s="29">
        <f t="shared" si="2"/>
        <v>3.9156666666666673E-2</v>
      </c>
      <c r="G19" s="29">
        <f t="shared" si="2"/>
        <v>2.8313333333333336E-2</v>
      </c>
      <c r="H19" s="29">
        <f t="shared" si="2"/>
        <v>1.7469999999999999E-2</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341</v>
      </c>
      <c r="B20" s="198">
        <f ca="1">Adj_Ebit</f>
        <v>190931</v>
      </c>
      <c r="C20" s="198">
        <f t="shared" ref="C20:L20" ca="1" si="3">IF(Model_Year&gt;Model_CAP_Length," ",B20*(1+Model_EbitGrowth_Total))</f>
        <v>200477.55000000002</v>
      </c>
      <c r="D20" s="198">
        <f t="shared" ca="1" si="3"/>
        <v>210501.42750000002</v>
      </c>
      <c r="E20" s="198">
        <f t="shared" ca="1" si="3"/>
        <v>221026.49887500002</v>
      </c>
      <c r="F20" s="198">
        <f t="shared" ca="1" si="3"/>
        <v>229681.15981594878</v>
      </c>
      <c r="G20" s="198">
        <f t="shared" ca="1" si="3"/>
        <v>236184.19905420436</v>
      </c>
      <c r="H20" s="198">
        <f t="shared" ca="1" si="3"/>
        <v>240310.33701168135</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244508.55859927545</v>
      </c>
      <c r="N20" s="150"/>
      <c r="O20" s="150"/>
      <c r="P20" s="150"/>
      <c r="Q20" s="150"/>
    </row>
    <row r="21" spans="1:19" ht="16.5" thickBot="1">
      <c r="A21" s="131" t="s">
        <v>351</v>
      </c>
      <c r="B21" s="30">
        <f>Adj_Effective_T</f>
        <v>0.27356828880506284</v>
      </c>
      <c r="C21" s="149">
        <v>0</v>
      </c>
      <c r="D21" s="149">
        <v>0</v>
      </c>
      <c r="E21" s="149">
        <v>0</v>
      </c>
      <c r="F21" s="149">
        <v>0.1</v>
      </c>
      <c r="G21" s="149">
        <v>0.125</v>
      </c>
      <c r="H21" s="149">
        <v>0.15</v>
      </c>
      <c r="I21" s="149"/>
      <c r="J21" s="149"/>
      <c r="K21" s="149"/>
      <c r="L21" s="149"/>
      <c r="M21" s="255">
        <f>Marginal_TaxRate</f>
        <v>0.25</v>
      </c>
      <c r="N21" s="151"/>
      <c r="O21" s="151"/>
      <c r="P21" s="151"/>
      <c r="Q21" s="151"/>
    </row>
    <row r="22" spans="1:19" ht="16.5" thickTop="1">
      <c r="A22" s="152" t="s">
        <v>340</v>
      </c>
      <c r="B22" s="266">
        <f ca="1">B20*(1-B21)</f>
        <v>138698.33305016055</v>
      </c>
      <c r="C22" s="266">
        <f t="shared" ref="C22:L22" ca="1" si="4">IF(Model_Year&gt;Model_CAP_Length," ",Model_Ebit*(1-C21))</f>
        <v>200477.55000000002</v>
      </c>
      <c r="D22" s="266">
        <f t="shared" ca="1" si="4"/>
        <v>210501.42750000002</v>
      </c>
      <c r="E22" s="266">
        <f t="shared" ca="1" si="4"/>
        <v>221026.49887500002</v>
      </c>
      <c r="F22" s="266">
        <f t="shared" ca="1" si="4"/>
        <v>206713.04383435391</v>
      </c>
      <c r="G22" s="266">
        <f t="shared" ca="1" si="4"/>
        <v>206661.17417242881</v>
      </c>
      <c r="H22" s="266">
        <f t="shared" ca="1" si="4"/>
        <v>204263.78645992914</v>
      </c>
      <c r="I22" s="266" t="str">
        <f t="shared" si="4"/>
        <v xml:space="preserve"> </v>
      </c>
      <c r="J22" s="266" t="str">
        <f t="shared" si="4"/>
        <v xml:space="preserve"> </v>
      </c>
      <c r="K22" s="266" t="str">
        <f t="shared" si="4"/>
        <v xml:space="preserve"> </v>
      </c>
      <c r="L22" s="266" t="str">
        <f t="shared" si="4"/>
        <v xml:space="preserve"> </v>
      </c>
      <c r="M22" s="267">
        <f ca="1">Terminal_Ebit*(1-Marginal_TaxRate)</f>
        <v>183381.41894945659</v>
      </c>
      <c r="N22" s="150"/>
      <c r="O22" s="150"/>
      <c r="P22" s="150"/>
      <c r="Q22" s="150"/>
    </row>
    <row r="23" spans="1:19">
      <c r="A23" s="142" t="s">
        <v>193</v>
      </c>
      <c r="B23" s="29"/>
      <c r="C23" s="29">
        <f>IF(Model_Year&gt;Model_CAP_Length," ",IF(Model_Year&gt;$C$9,$M$23+(($C$6-$M$23)/($C$8-$C$9))*($C$8-Model_Year),$C$6))</f>
        <v>0.16666666666666669</v>
      </c>
      <c r="D23" s="29">
        <f t="shared" ref="D23:L23" si="5">IF(Model_Year&gt;Model_CAP_Length," ",IF(D15&gt;$C$9,$M$23+(($C$6-$M$23)/($C$8-$C$9))*($C$8-D15),$C$6))</f>
        <v>0.16666666666666669</v>
      </c>
      <c r="E23" s="29">
        <f t="shared" si="5"/>
        <v>0.16666666666666669</v>
      </c>
      <c r="F23" s="29">
        <f t="shared" si="5"/>
        <v>0.23378508063572315</v>
      </c>
      <c r="G23" s="29">
        <f t="shared" si="5"/>
        <v>0.30090349460477961</v>
      </c>
      <c r="H23" s="29">
        <f t="shared" si="5"/>
        <v>0.3680219085738361</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553</v>
      </c>
      <c r="B24" s="169">
        <f>IF('Master Inputs'!W14&lt;0,D64,'Master Inputs'!W14)</f>
        <v>0</v>
      </c>
      <c r="C24" s="169">
        <f t="shared" ref="C24:L24" ca="1" si="6">IF(Model_Year&gt;Model_CAP_Length," ",(C17-B17)*Adj_WCSalesRatio)</f>
        <v>123897.5582474227</v>
      </c>
      <c r="D24" s="169">
        <f t="shared" ca="1" si="6"/>
        <v>12917.367912371143</v>
      </c>
      <c r="E24" s="169">
        <f t="shared" ca="1" si="6"/>
        <v>13563.236307989666</v>
      </c>
      <c r="F24" s="169">
        <f t="shared" ca="1" si="6"/>
        <v>11152.913583696854</v>
      </c>
      <c r="G24" s="169">
        <f t="shared" ca="1" si="6"/>
        <v>8380.2052039376231</v>
      </c>
      <c r="H24" s="169">
        <f t="shared" ca="1" si="6"/>
        <v>5317.1880895321956</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80494.962462404248</v>
      </c>
      <c r="N24" s="151"/>
      <c r="O24" s="151"/>
      <c r="P24" s="151"/>
      <c r="Q24" s="151"/>
    </row>
    <row r="25" spans="1:19" ht="16.5" thickBot="1">
      <c r="A25" s="131" t="s">
        <v>541</v>
      </c>
      <c r="B25" s="195">
        <f>'Master Inputs'!S14-'Master Inputs'!T14</f>
        <v>-55737</v>
      </c>
      <c r="C25" s="195">
        <f ca="1">IF(Model_Year&gt;Model_CAP_Length," ",C22*C23-C24+NetCapex_Adj)</f>
        <v>-90484.633247422695</v>
      </c>
      <c r="D25" s="195">
        <f t="shared" ref="D25:L25" ca="1" si="7">IF(Model_Year&gt;Model_CAP_Length," ",D22*D23-D24)</f>
        <v>22166.203337628867</v>
      </c>
      <c r="E25" s="195">
        <f t="shared" ca="1" si="7"/>
        <v>23274.513504510338</v>
      </c>
      <c r="F25" s="195">
        <f t="shared" ca="1" si="7"/>
        <v>37173.512037573346</v>
      </c>
      <c r="G25" s="195">
        <f t="shared" ca="1" si="7"/>
        <v>53804.864303673232</v>
      </c>
      <c r="H25" s="195">
        <f t="shared" ca="1" si="7"/>
        <v>69856.360455969421</v>
      </c>
      <c r="I25" s="195" t="str">
        <f t="shared" si="7"/>
        <v xml:space="preserve"> </v>
      </c>
      <c r="J25" s="195" t="str">
        <f t="shared" si="7"/>
        <v xml:space="preserve"> </v>
      </c>
      <c r="K25" s="195" t="str">
        <f t="shared" si="7"/>
        <v xml:space="preserve"> </v>
      </c>
      <c r="L25" s="195" t="str">
        <f t="shared" si="7"/>
        <v xml:space="preserve"> </v>
      </c>
      <c r="M25" s="265">
        <f ca="1">M22*M23-M24</f>
        <v>-13006.582663647001</v>
      </c>
      <c r="N25" s="151"/>
      <c r="O25" s="151"/>
      <c r="P25" s="151"/>
      <c r="Q25" s="151"/>
    </row>
    <row r="26" spans="1:19" ht="16.5" thickTop="1">
      <c r="A26" s="130" t="s">
        <v>344</v>
      </c>
      <c r="B26" s="196">
        <f ca="1">B22-B25-B24</f>
        <v>194435.33305016055</v>
      </c>
      <c r="C26" s="196">
        <f t="shared" ref="C26:L26" ca="1" si="8">IF(Model_Year&gt;Model_CAP_Length," ",C22-C25-C24)</f>
        <v>167064.625</v>
      </c>
      <c r="D26" s="196">
        <f t="shared" ca="1" si="8"/>
        <v>175417.85625000001</v>
      </c>
      <c r="E26" s="196">
        <f t="shared" ca="1" si="8"/>
        <v>184188.74906250002</v>
      </c>
      <c r="F26" s="196">
        <f t="shared" ca="1" si="8"/>
        <v>158386.61821308371</v>
      </c>
      <c r="G26" s="196">
        <f t="shared" ca="1" si="8"/>
        <v>144476.10466481795</v>
      </c>
      <c r="H26" s="196">
        <f t="shared" ca="1" si="8"/>
        <v>129090.23791442753</v>
      </c>
      <c r="I26" s="196" t="str">
        <f t="shared" si="8"/>
        <v xml:space="preserve"> </v>
      </c>
      <c r="J26" s="196" t="str">
        <f t="shared" si="8"/>
        <v xml:space="preserve"> </v>
      </c>
      <c r="K26" s="196" t="str">
        <f t="shared" si="8"/>
        <v xml:space="preserve"> </v>
      </c>
      <c r="L26" s="196" t="str">
        <f t="shared" si="8"/>
        <v xml:space="preserve"> </v>
      </c>
      <c r="M26" s="197">
        <f ca="1">M22-M25-M24</f>
        <v>115893.03915069936</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7.5823333333333326E-2</v>
      </c>
      <c r="G27" s="29">
        <f t="shared" si="9"/>
        <v>6.1646666666666662E-2</v>
      </c>
      <c r="H27" s="29">
        <f t="shared" si="9"/>
        <v>4.7469999999999998E-2</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1.3932224155433335</v>
      </c>
      <c r="G28" s="30">
        <f>IF(G15&gt;$C$8," ",(1+C27)*(1+D27)*(1+E27)*(1+F27)*(1+G27))</f>
        <v>1.4791099333868614</v>
      </c>
      <c r="H28" s="30">
        <f>IF(H15&gt;$C$8," ",(1+C27)*(1+D27)*(1+E27)*(1+F27)*(1+G27)*(1+H27))</f>
        <v>1.5493232819247356</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153270.29816513762</v>
      </c>
      <c r="D29" s="197">
        <f t="shared" ca="1" si="10"/>
        <v>147645.7000673344</v>
      </c>
      <c r="E29" s="197">
        <f t="shared" ca="1" si="10"/>
        <v>142227.50923917533</v>
      </c>
      <c r="F29" s="197">
        <f t="shared" ca="1" si="10"/>
        <v>113683.6562820557</v>
      </c>
      <c r="G29" s="197">
        <f t="shared" ca="1" si="10"/>
        <v>97677.73267129442</v>
      </c>
      <c r="H29" s="197">
        <f t="shared" ca="1" si="10"/>
        <v>83320.401507203715</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497</v>
      </c>
      <c r="C31" s="201" t="s">
        <v>429</v>
      </c>
      <c r="D31" s="326" t="s">
        <v>428</v>
      </c>
      <c r="E31" s="326"/>
      <c r="G31" s="275"/>
      <c r="H31" s="112"/>
      <c r="I31" s="112"/>
      <c r="J31" s="112"/>
      <c r="K31" s="112"/>
    </row>
    <row r="32" spans="1:19">
      <c r="A32" s="15" t="s">
        <v>426</v>
      </c>
      <c r="C32" s="29">
        <f ca="1">D32/D34</f>
        <v>0.18260813273309706</v>
      </c>
      <c r="D32" s="323">
        <f ca="1">SUM(C29:L29)</f>
        <v>737825.29793220107</v>
      </c>
      <c r="E32" s="323"/>
      <c r="F32" s="200"/>
      <c r="G32" s="112"/>
      <c r="H32" s="140"/>
      <c r="I32" s="140"/>
      <c r="J32" s="140"/>
      <c r="K32" s="112"/>
    </row>
    <row r="33" spans="1:17" ht="16.5" thickBot="1">
      <c r="A33" s="15" t="s">
        <v>427</v>
      </c>
      <c r="C33" s="30">
        <f ca="1">1-C32</f>
        <v>0.81739186726690294</v>
      </c>
      <c r="D33" s="324">
        <f ca="1">IF(C8=0,(M26/(M27-M19)),(M26/(M27-M19))/INDIRECT(ADDRESS(ROW(A28),C8+2)))</f>
        <v>2493412.0271039582</v>
      </c>
      <c r="E33" s="324"/>
      <c r="F33" s="200"/>
      <c r="G33" s="107"/>
      <c r="H33" s="119"/>
      <c r="I33" s="305"/>
      <c r="J33" s="305"/>
      <c r="K33" s="112"/>
    </row>
    <row r="34" spans="1:17" ht="16.5" thickTop="1">
      <c r="A34" s="117" t="s">
        <v>201</v>
      </c>
      <c r="D34" s="325">
        <f ca="1">D32+D33+Cash+NonOperating_Assets</f>
        <v>4040484.3250361593</v>
      </c>
      <c r="E34" s="325"/>
      <c r="F34" s="200"/>
      <c r="G34" s="107"/>
      <c r="H34" s="305"/>
      <c r="I34" s="305"/>
      <c r="J34" s="305"/>
      <c r="K34" s="112"/>
    </row>
    <row r="35" spans="1:17">
      <c r="F35" s="112"/>
      <c r="G35" s="140"/>
      <c r="H35" s="119"/>
      <c r="I35" s="112"/>
      <c r="J35" s="112"/>
      <c r="K35" s="112"/>
    </row>
    <row r="36" spans="1:17" ht="16.5" thickBot="1">
      <c r="A36" s="126" t="s">
        <v>358</v>
      </c>
      <c r="C36" s="107"/>
      <c r="D36" s="324">
        <f ca="1">MV_Debt</f>
        <v>1118496</v>
      </c>
      <c r="E36" s="324"/>
      <c r="G36" s="107"/>
      <c r="H36" s="119"/>
      <c r="I36" s="112"/>
      <c r="J36" s="112"/>
      <c r="K36" s="112"/>
    </row>
    <row r="37" spans="1:17" ht="16.5" thickTop="1">
      <c r="A37" s="117" t="s">
        <v>357</v>
      </c>
      <c r="C37" s="107"/>
      <c r="D37" s="327">
        <f ca="1">D34-MV_Debt</f>
        <v>2921988.3250361593</v>
      </c>
      <c r="E37" s="327"/>
      <c r="G37" s="107"/>
      <c r="H37" s="166"/>
      <c r="I37" s="112"/>
    </row>
    <row r="38" spans="1:17">
      <c r="A38" s="126" t="s">
        <v>452</v>
      </c>
      <c r="D38" s="323">
        <f>MI*PB_Company</f>
        <v>0</v>
      </c>
      <c r="E38" s="323"/>
      <c r="G38" s="112"/>
      <c r="H38" s="119"/>
      <c r="I38" s="107"/>
    </row>
    <row r="39" spans="1:17" ht="16.5" thickBot="1">
      <c r="A39" s="126" t="s">
        <v>453</v>
      </c>
      <c r="D39" s="324">
        <v>0</v>
      </c>
      <c r="E39" s="324"/>
      <c r="G39" s="112"/>
      <c r="H39" s="119"/>
      <c r="I39" s="107"/>
    </row>
    <row r="40" spans="1:17" ht="16.5" thickTop="1">
      <c r="A40" s="117" t="s">
        <v>202</v>
      </c>
      <c r="D40" s="325">
        <f ca="1">D37-D38-D39</f>
        <v>2921988.3250361593</v>
      </c>
      <c r="E40" s="325"/>
      <c r="F40" s="123" t="str">
        <f>CF_Currency</f>
        <v>RMB</v>
      </c>
      <c r="H40" s="119"/>
      <c r="I40" s="107"/>
    </row>
    <row r="41" spans="1:17">
      <c r="A41" s="117" t="s">
        <v>203</v>
      </c>
      <c r="E41" s="258">
        <f ca="1">IF(Is_Listed="Listed",(D40*'Master Inputs'!C10)/Num_of_Shares,D40*'Master Inputs'!C10)</f>
        <v>2921988325.036159</v>
      </c>
      <c r="F41" s="123" t="str">
        <f>CF_Currency</f>
        <v>RMB</v>
      </c>
      <c r="H41" s="167"/>
      <c r="I41" s="112"/>
    </row>
    <row r="42" spans="1:17">
      <c r="D42" s="229" t="str">
        <f>IF(F41&lt;&gt;D44,"=&gt;","")</f>
        <v>=&gt;</v>
      </c>
      <c r="E42" s="230">
        <f ca="1">IF(Price_Currency&lt;&gt;CF_Currency,E41*Exchange_Rate,"")</f>
        <v>3467530674.9719229</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0.64633531656897114</v>
      </c>
      <c r="C47" s="268">
        <f t="shared" ref="C47:L47" ca="1" si="11">IF(C15&gt;$C$8," ",(C17-B17)/(C25+C24))</f>
        <v>24.720485310683955</v>
      </c>
      <c r="D47" s="268">
        <f t="shared" ca="1" si="11"/>
        <v>2.4545900834560639</v>
      </c>
      <c r="E47" s="268">
        <f t="shared" ca="1" si="11"/>
        <v>2.4545900834560581</v>
      </c>
      <c r="F47" s="268">
        <f t="shared" ca="1" si="11"/>
        <v>1.5385527952623992</v>
      </c>
      <c r="G47" s="268">
        <f t="shared" ca="1" si="11"/>
        <v>0.89841557041404896</v>
      </c>
      <c r="H47" s="268">
        <f t="shared" ca="1" si="11"/>
        <v>0.47154778885321769</v>
      </c>
      <c r="I47" s="268" t="str">
        <f t="shared" si="11"/>
        <v xml:space="preserve"> </v>
      </c>
      <c r="J47" s="268" t="str">
        <f t="shared" si="11"/>
        <v xml:space="preserve"> </v>
      </c>
      <c r="K47" s="268" t="str">
        <f t="shared" si="11"/>
        <v xml:space="preserve"> </v>
      </c>
      <c r="L47" s="268" t="str">
        <f t="shared" si="11"/>
        <v xml:space="preserve"> </v>
      </c>
      <c r="M47" s="268"/>
    </row>
    <row r="48" spans="1:17">
      <c r="A48" s="128" t="s">
        <v>208</v>
      </c>
      <c r="B48" s="268">
        <f>Adj!C25</f>
        <v>1424423</v>
      </c>
      <c r="C48" s="268">
        <f t="shared" ref="C48:L48" ca="1" si="12">IF(C15&gt;$C$8," ",B48+C25+C24)</f>
        <v>1457835.925</v>
      </c>
      <c r="D48" s="268">
        <f t="shared" ca="1" si="12"/>
        <v>1492919.4962500001</v>
      </c>
      <c r="E48" s="268">
        <f t="shared" ca="1" si="12"/>
        <v>1529757.2460624999</v>
      </c>
      <c r="F48" s="268">
        <f t="shared" ca="1" si="12"/>
        <v>1578083.6716837701</v>
      </c>
      <c r="G48" s="268">
        <f t="shared" ca="1" si="12"/>
        <v>1640268.7411913809</v>
      </c>
      <c r="H48" s="268">
        <f t="shared" ca="1" si="12"/>
        <v>1715442.2897368823</v>
      </c>
      <c r="I48" s="268" t="str">
        <f t="shared" si="12"/>
        <v xml:space="preserve"> </v>
      </c>
      <c r="J48" s="268" t="str">
        <f t="shared" si="12"/>
        <v xml:space="preserve"> </v>
      </c>
      <c r="K48" s="268" t="str">
        <f t="shared" si="12"/>
        <v xml:space="preserve"> </v>
      </c>
      <c r="L48" s="268" t="str">
        <f t="shared" si="12"/>
        <v xml:space="preserve"> </v>
      </c>
      <c r="M48" s="123"/>
    </row>
    <row r="49" spans="1:13">
      <c r="A49" s="128" t="s">
        <v>209</v>
      </c>
      <c r="B49" s="29">
        <f ca="1">B22/B48</f>
        <v>9.7371590496755922E-2</v>
      </c>
      <c r="C49" s="29">
        <f t="shared" ref="C49:L49" ca="1" si="13">IF(C15&gt;$C$8," ",C22/C48)</f>
        <v>0.13751722437488981</v>
      </c>
      <c r="D49" s="29">
        <f t="shared" ca="1" si="13"/>
        <v>0.14099985165224879</v>
      </c>
      <c r="E49" s="29">
        <f t="shared" ca="1" si="13"/>
        <v>0.14448468830195674</v>
      </c>
      <c r="F49" s="29">
        <f t="shared" ca="1" si="13"/>
        <v>0.13098991361706253</v>
      </c>
      <c r="G49" s="29">
        <f t="shared" ca="1" si="13"/>
        <v>0.12599226515913731</v>
      </c>
      <c r="H49" s="29">
        <f t="shared" ca="1" si="13"/>
        <v>0.11907354020709113</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7" workbookViewId="0">
      <pane xSplit="1" topLeftCell="B1" activePane="topRight" state="frozen"/>
      <selection pane="topRight" activeCell="E41" sqref="E4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504</v>
      </c>
      <c r="E4" s="276"/>
      <c r="F4" s="112"/>
      <c r="G4" s="119"/>
      <c r="L4" s="112"/>
    </row>
    <row r="5" spans="1:17">
      <c r="A5" t="s">
        <v>564</v>
      </c>
      <c r="C5" s="29">
        <f>IF(A4="Base Case",Base_Ebit_g,IF(A4="Bear Case",Bear_Ebit_g,Bull_Ebit_g))</f>
        <v>0.15</v>
      </c>
      <c r="E5" s="112"/>
      <c r="F5" s="112"/>
      <c r="G5" s="107"/>
      <c r="L5" s="112"/>
    </row>
    <row r="6" spans="1:17">
      <c r="A6" s="117" t="s">
        <v>343</v>
      </c>
      <c r="C6" s="29">
        <f>IF(A4="Base Case",Base_ReinvestRate,IF(A4="Bear Case",Bear_ReinvestRate,Bull_ReinvestRate))</f>
        <v>0.5</v>
      </c>
      <c r="E6" s="112"/>
      <c r="F6" s="112"/>
      <c r="G6" s="107"/>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8</v>
      </c>
      <c r="E8" s="112"/>
      <c r="F8" s="112"/>
      <c r="G8" s="119"/>
      <c r="L8" s="112"/>
    </row>
    <row r="9" spans="1:17">
      <c r="A9" s="117" t="s">
        <v>555</v>
      </c>
      <c r="C9" s="123">
        <f>_xlfn.CEILING.MATH((C8/2))</f>
        <v>4</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1.1045168423954594</v>
      </c>
      <c r="D16" s="29">
        <f t="shared" ca="1" si="0"/>
        <v>0.14999999999999991</v>
      </c>
      <c r="E16" s="29">
        <f t="shared" ca="1" si="0"/>
        <v>0.14999999999999991</v>
      </c>
      <c r="F16" s="29">
        <f t="shared" ca="1" si="0"/>
        <v>0.14999999999999991</v>
      </c>
      <c r="G16" s="29">
        <f t="shared" ca="1" si="0"/>
        <v>0.1168674999999999</v>
      </c>
      <c r="H16" s="29">
        <f t="shared" ca="1" si="0"/>
        <v>8.3734999999999893E-2</v>
      </c>
      <c r="I16" s="29">
        <f t="shared" ca="1" si="0"/>
        <v>5.0602500000000106E-2</v>
      </c>
      <c r="J16" s="29">
        <f t="shared" ca="1" si="0"/>
        <v>1.7470000000000097E-2</v>
      </c>
      <c r="K16" s="29" t="str">
        <f t="shared" si="0"/>
        <v xml:space="preserve"> </v>
      </c>
      <c r="L16" s="29" t="str">
        <f t="shared" si="0"/>
        <v xml:space="preserve"> </v>
      </c>
      <c r="M16" s="29">
        <f ca="1">Terminal_Sales/INDIRECT(ADDRESS(ROW(A17),C8+2))-1</f>
        <v>0.2599309361702129</v>
      </c>
      <c r="N16" s="150"/>
      <c r="O16" s="150"/>
      <c r="P16" s="150"/>
      <c r="Q16" s="150"/>
    </row>
    <row r="17" spans="1:19">
      <c r="A17" s="128" t="s">
        <v>350</v>
      </c>
      <c r="B17" s="198">
        <f>'Master Inputs'!B14</f>
        <v>896332</v>
      </c>
      <c r="C17" s="198">
        <f t="shared" ref="C17:L17" ca="1" si="1">IF(Model_Year&gt;Model_CAP_Length," ",Model_Ebit/Model_EbitMargin)</f>
        <v>1886345.7903780069</v>
      </c>
      <c r="D17" s="198">
        <f t="shared" ca="1" si="1"/>
        <v>2169297.6589347078</v>
      </c>
      <c r="E17" s="198">
        <f t="shared" ca="1" si="1"/>
        <v>2494692.3077749135</v>
      </c>
      <c r="F17" s="198">
        <f t="shared" ca="1" si="1"/>
        <v>2868896.1539411503</v>
      </c>
      <c r="G17" s="198">
        <f t="shared" ca="1" si="1"/>
        <v>3204176.8752118675</v>
      </c>
      <c r="H17" s="198">
        <f t="shared" ca="1" si="1"/>
        <v>3472478.6258577327</v>
      </c>
      <c r="I17" s="198">
        <f t="shared" ca="1" si="1"/>
        <v>3648194.7255226993</v>
      </c>
      <c r="J17" s="198">
        <f t="shared" ca="1" si="1"/>
        <v>3711928.6873775809</v>
      </c>
      <c r="K17" s="198" t="str">
        <f t="shared" si="1"/>
        <v xml:space="preserve"> </v>
      </c>
      <c r="L17" s="198" t="str">
        <f t="shared" si="1"/>
        <v xml:space="preserve"> </v>
      </c>
      <c r="M17" s="198">
        <f ca="1">Terminal_Ebit/Terminal_EbitMargin</f>
        <v>4676773.786084705</v>
      </c>
      <c r="N17" s="124"/>
      <c r="O17" s="124"/>
      <c r="P17" s="124"/>
      <c r="Q17" s="124"/>
      <c r="S17" s="144"/>
    </row>
    <row r="18" spans="1:19">
      <c r="A18" s="142" t="s">
        <v>352</v>
      </c>
      <c r="B18" s="29">
        <f ca="1">B20/B17</f>
        <v>0.2130137047433317</v>
      </c>
      <c r="C18" s="141">
        <v>0.1164</v>
      </c>
      <c r="D18" s="141">
        <v>0.1164</v>
      </c>
      <c r="E18" s="141">
        <v>0.1164</v>
      </c>
      <c r="F18" s="141">
        <v>0.1164</v>
      </c>
      <c r="G18" s="141">
        <v>0.1164</v>
      </c>
      <c r="H18" s="141">
        <v>0.1164</v>
      </c>
      <c r="I18" s="141">
        <v>0.1164</v>
      </c>
      <c r="J18" s="141">
        <v>0.1164</v>
      </c>
      <c r="K18" s="141"/>
      <c r="L18" s="141"/>
      <c r="M18" s="173">
        <v>9.4E-2</v>
      </c>
      <c r="N18" s="150"/>
      <c r="O18" s="150"/>
      <c r="P18" s="150"/>
      <c r="Q18" s="150"/>
    </row>
    <row r="19" spans="1:19">
      <c r="A19" s="142" t="s">
        <v>554</v>
      </c>
      <c r="B19" s="29"/>
      <c r="C19" s="29">
        <f t="shared" ref="C19:L19" si="2">IF(Model_Year&gt;Model_CAP_Length," ",IF(Model_Year&gt;$C$9,Terminal_Ebit_g+((Model_Ebit_g-Terminal_Ebit_g)/(Model_CAP_Length-$C$9))*(Model_CAP_Length-Model_Year),Model_Ebit_g))</f>
        <v>0.15</v>
      </c>
      <c r="D19" s="29">
        <f t="shared" si="2"/>
        <v>0.15</v>
      </c>
      <c r="E19" s="29">
        <f t="shared" si="2"/>
        <v>0.15</v>
      </c>
      <c r="F19" s="29">
        <f t="shared" si="2"/>
        <v>0.15</v>
      </c>
      <c r="G19" s="29">
        <f t="shared" si="2"/>
        <v>0.11686749999999999</v>
      </c>
      <c r="H19" s="29">
        <f t="shared" si="2"/>
        <v>8.373499999999999E-2</v>
      </c>
      <c r="I19" s="29">
        <f t="shared" si="2"/>
        <v>5.0602499999999995E-2</v>
      </c>
      <c r="J19" s="29">
        <f t="shared" si="2"/>
        <v>1.7469999999999999E-2</v>
      </c>
      <c r="K19" s="29" t="str">
        <f t="shared" si="2"/>
        <v xml:space="preserve"> </v>
      </c>
      <c r="L19" s="29" t="str">
        <f t="shared" si="2"/>
        <v xml:space="preserve"> </v>
      </c>
      <c r="M19" s="170">
        <f>Terminal_Ebit_g</f>
        <v>1.7469999999999999E-2</v>
      </c>
      <c r="O19" s="151"/>
      <c r="P19" s="151"/>
      <c r="Q19" s="151"/>
    </row>
    <row r="20" spans="1:19">
      <c r="A20" s="128" t="s">
        <v>341</v>
      </c>
      <c r="B20" s="198">
        <f ca="1">Adj_Ebit</f>
        <v>190931</v>
      </c>
      <c r="C20" s="198">
        <f t="shared" ref="C20:L20" ca="1" si="3">IF(Model_Year&gt;Model_CAP_Length," ",B20*(1+Model_EbitGrowth_Total))</f>
        <v>219570.65</v>
      </c>
      <c r="D20" s="198">
        <f t="shared" ca="1" si="3"/>
        <v>252506.24749999997</v>
      </c>
      <c r="E20" s="198">
        <f t="shared" ca="1" si="3"/>
        <v>290382.18462499994</v>
      </c>
      <c r="F20" s="198">
        <f t="shared" ca="1" si="3"/>
        <v>333939.51231874991</v>
      </c>
      <c r="G20" s="198">
        <f t="shared" ca="1" si="3"/>
        <v>372966.18827466137</v>
      </c>
      <c r="H20" s="198">
        <f t="shared" ca="1" si="3"/>
        <v>404196.51204984012</v>
      </c>
      <c r="I20" s="198">
        <f t="shared" ca="1" si="3"/>
        <v>424649.86605084222</v>
      </c>
      <c r="J20" s="198">
        <f t="shared" ca="1" si="3"/>
        <v>432068.49921075045</v>
      </c>
      <c r="K20" s="198" t="str">
        <f t="shared" si="3"/>
        <v xml:space="preserve"> </v>
      </c>
      <c r="L20" s="198" t="str">
        <f t="shared" si="3"/>
        <v xml:space="preserve"> </v>
      </c>
      <c r="M20" s="198">
        <f ca="1">INDIRECT(ADDRESS(ROW(A20),C8+2))*(1+Terminal_Ebit_g)</f>
        <v>439616.73589196231</v>
      </c>
      <c r="N20" s="150"/>
      <c r="O20" s="150"/>
      <c r="P20" s="150"/>
      <c r="Q20" s="150"/>
    </row>
    <row r="21" spans="1:19" ht="16.5" thickBot="1">
      <c r="A21" s="131" t="s">
        <v>351</v>
      </c>
      <c r="B21" s="30">
        <f>Adj_Effective_T</f>
        <v>0.27356828880506284</v>
      </c>
      <c r="C21" s="149">
        <v>0</v>
      </c>
      <c r="D21" s="149">
        <v>0</v>
      </c>
      <c r="E21" s="149">
        <v>0</v>
      </c>
      <c r="F21" s="149">
        <v>0</v>
      </c>
      <c r="G21" s="149">
        <v>0</v>
      </c>
      <c r="H21" s="149">
        <v>0</v>
      </c>
      <c r="I21" s="149">
        <v>0.1</v>
      </c>
      <c r="J21" s="149">
        <v>0.15</v>
      </c>
      <c r="K21" s="149"/>
      <c r="L21" s="149"/>
      <c r="M21" s="255">
        <f>Marginal_TaxRate</f>
        <v>0.25</v>
      </c>
      <c r="N21" s="151"/>
      <c r="O21" s="151"/>
      <c r="P21" s="151"/>
      <c r="Q21" s="151"/>
    </row>
    <row r="22" spans="1:19" ht="16.5" thickTop="1">
      <c r="A22" s="152" t="s">
        <v>340</v>
      </c>
      <c r="B22" s="266">
        <f ca="1">B20*(1-B21)</f>
        <v>138698.33305016055</v>
      </c>
      <c r="C22" s="266">
        <f t="shared" ref="C22:L22" ca="1" si="4">IF(Model_Year&gt;Model_CAP_Length," ",Model_Ebit*(1-C21))</f>
        <v>219570.65</v>
      </c>
      <c r="D22" s="266">
        <f t="shared" ca="1" si="4"/>
        <v>252506.24749999997</v>
      </c>
      <c r="E22" s="266">
        <f t="shared" ca="1" si="4"/>
        <v>290382.18462499994</v>
      </c>
      <c r="F22" s="266">
        <f t="shared" ca="1" si="4"/>
        <v>333939.51231874991</v>
      </c>
      <c r="G22" s="266">
        <f t="shared" ca="1" si="4"/>
        <v>372966.18827466137</v>
      </c>
      <c r="H22" s="266">
        <f t="shared" ca="1" si="4"/>
        <v>404196.51204984012</v>
      </c>
      <c r="I22" s="266">
        <f t="shared" ca="1" si="4"/>
        <v>382184.87944575801</v>
      </c>
      <c r="J22" s="266">
        <f t="shared" ca="1" si="4"/>
        <v>367258.22432913788</v>
      </c>
      <c r="K22" s="266" t="str">
        <f t="shared" si="4"/>
        <v xml:space="preserve"> </v>
      </c>
      <c r="L22" s="266" t="str">
        <f t="shared" si="4"/>
        <v xml:space="preserve"> </v>
      </c>
      <c r="M22" s="267">
        <f ca="1">Terminal_Ebit*(1-Marginal_TaxRate)</f>
        <v>329712.5519189717</v>
      </c>
      <c r="N22" s="150"/>
      <c r="O22" s="150"/>
      <c r="P22" s="150"/>
      <c r="Q22" s="150"/>
    </row>
    <row r="23" spans="1:19">
      <c r="A23" s="142" t="s">
        <v>193</v>
      </c>
      <c r="B23" s="29"/>
      <c r="C23" s="29">
        <f>IF(Model_Year&gt;Model_CAP_Length," ",IF(Model_Year&gt;$C$9,$M$23+(($C$6-$M$23)/($C$8-$C$9))*($C$8-Model_Year),$C$6))</f>
        <v>0.5</v>
      </c>
      <c r="D23" s="29">
        <f t="shared" ref="D23:L23" si="5">IF(Model_Year&gt;Model_CAP_Length," ",IF(D15&gt;$C$9,$M$23+(($C$6-$M$23)/($C$8-$C$9))*($C$8-D15),$C$6))</f>
        <v>0.5</v>
      </c>
      <c r="E23" s="29">
        <f t="shared" si="5"/>
        <v>0.5</v>
      </c>
      <c r="F23" s="29">
        <f t="shared" si="5"/>
        <v>0.5</v>
      </c>
      <c r="G23" s="29">
        <f t="shared" si="5"/>
        <v>0.46700547714345902</v>
      </c>
      <c r="H23" s="29">
        <f t="shared" si="5"/>
        <v>0.43401095428691805</v>
      </c>
      <c r="I23" s="29">
        <f t="shared" si="5"/>
        <v>0.40101643143037707</v>
      </c>
      <c r="J23" s="29">
        <f t="shared" si="5"/>
        <v>0.3680219085738361</v>
      </c>
      <c r="K23" s="29" t="str">
        <f t="shared" si="5"/>
        <v xml:space="preserve"> </v>
      </c>
      <c r="L23" s="29" t="str">
        <f t="shared" si="5"/>
        <v xml:space="preserve"> </v>
      </c>
      <c r="M23" s="29">
        <f>C7</f>
        <v>0.3680219085738361</v>
      </c>
      <c r="N23" s="151"/>
      <c r="O23" s="151"/>
      <c r="P23" s="151"/>
      <c r="Q23" s="151"/>
    </row>
    <row r="24" spans="1:19">
      <c r="A24" s="272" t="s">
        <v>553</v>
      </c>
      <c r="B24" s="169">
        <f>IF('Master Inputs'!W14&lt;0,D64,'Master Inputs'!W14)</f>
        <v>0</v>
      </c>
      <c r="C24" s="169">
        <f t="shared" ref="C24:L24" ca="1" si="6">IF(Model_Year&gt;Model_CAP_Length," ",(C17-B17)*Adj_WCSalesRatio)</f>
        <v>148502.06855670104</v>
      </c>
      <c r="D24" s="169">
        <f t="shared" ca="1" si="6"/>
        <v>42442.780283505133</v>
      </c>
      <c r="E24" s="169">
        <f t="shared" ca="1" si="6"/>
        <v>48809.197326030859</v>
      </c>
      <c r="F24" s="169">
        <f t="shared" ca="1" si="6"/>
        <v>56130.576924935514</v>
      </c>
      <c r="G24" s="169">
        <f t="shared" ca="1" si="6"/>
        <v>50292.108190607578</v>
      </c>
      <c r="H24" s="169">
        <f t="shared" ca="1" si="6"/>
        <v>40245.26259687978</v>
      </c>
      <c r="I24" s="169">
        <f t="shared" ca="1" si="6"/>
        <v>26357.414949744987</v>
      </c>
      <c r="J24" s="169">
        <f t="shared" ca="1" si="6"/>
        <v>9560.09427823224</v>
      </c>
      <c r="K24" s="169" t="str">
        <f t="shared" si="6"/>
        <v xml:space="preserve"> </v>
      </c>
      <c r="L24" s="169" t="str">
        <f t="shared" si="6"/>
        <v xml:space="preserve"> </v>
      </c>
      <c r="M24" s="273">
        <f ca="1">(Terminal_Sales-INDIRECT(ADDRESS(ROW(A17),C8+2)))*Adj_WCSalesRatio</f>
        <v>144726.76480606862</v>
      </c>
      <c r="N24" s="151"/>
      <c r="O24" s="151"/>
      <c r="P24" s="151"/>
      <c r="Q24" s="151"/>
    </row>
    <row r="25" spans="1:19" ht="16.5" thickBot="1">
      <c r="A25" s="131" t="s">
        <v>541</v>
      </c>
      <c r="B25" s="195">
        <f>'Master Inputs'!S14-'Master Inputs'!T14</f>
        <v>-55737</v>
      </c>
      <c r="C25" s="195">
        <f ca="1">IF(Model_Year&gt;Model_CAP_Length," ",C22*C23-C24+NetCapex_Adj)</f>
        <v>-38716.74355670104</v>
      </c>
      <c r="D25" s="195">
        <f t="shared" ref="D25:L25" ca="1" si="7">IF(Model_Year&gt;Model_CAP_Length," ",D22*D23-D24)</f>
        <v>83810.343466494844</v>
      </c>
      <c r="E25" s="195">
        <f t="shared" ca="1" si="7"/>
        <v>96381.894986469109</v>
      </c>
      <c r="F25" s="195">
        <f t="shared" ca="1" si="7"/>
        <v>110839.17923443945</v>
      </c>
      <c r="G25" s="195">
        <f t="shared" ca="1" si="7"/>
        <v>123885.14452297785</v>
      </c>
      <c r="H25" s="195">
        <f t="shared" ca="1" si="7"/>
        <v>135180.45131731511</v>
      </c>
      <c r="I25" s="195">
        <f t="shared" ca="1" si="7"/>
        <v>126905.00155224175</v>
      </c>
      <c r="J25" s="195">
        <f t="shared" ca="1" si="7"/>
        <v>125598.97837881513</v>
      </c>
      <c r="K25" s="195" t="str">
        <f t="shared" si="7"/>
        <v xml:space="preserve"> </v>
      </c>
      <c r="L25" s="195" t="str">
        <f t="shared" si="7"/>
        <v xml:space="preserve"> </v>
      </c>
      <c r="M25" s="265">
        <f ca="1">M22*M23-M24</f>
        <v>-23385.322168098632</v>
      </c>
      <c r="N25" s="151"/>
      <c r="O25" s="151"/>
      <c r="P25" s="151"/>
      <c r="Q25" s="151"/>
    </row>
    <row r="26" spans="1:19" ht="16.5" thickTop="1">
      <c r="A26" s="130" t="s">
        <v>344</v>
      </c>
      <c r="B26" s="196">
        <f ca="1">B22-B25-B24</f>
        <v>194435.33305016055</v>
      </c>
      <c r="C26" s="196">
        <f t="shared" ref="C26:L26" ca="1" si="8">IF(Model_Year&gt;Model_CAP_Length," ",C22-C25-C24)</f>
        <v>109785.32499999998</v>
      </c>
      <c r="D26" s="196">
        <f t="shared" ca="1" si="8"/>
        <v>126253.12375</v>
      </c>
      <c r="E26" s="196">
        <f t="shared" ca="1" si="8"/>
        <v>145191.09231249994</v>
      </c>
      <c r="F26" s="196">
        <f t="shared" ca="1" si="8"/>
        <v>166969.75615937496</v>
      </c>
      <c r="G26" s="196">
        <f t="shared" ca="1" si="8"/>
        <v>198788.93556107595</v>
      </c>
      <c r="H26" s="196">
        <f t="shared" ca="1" si="8"/>
        <v>228770.79813564522</v>
      </c>
      <c r="I26" s="196">
        <f t="shared" ca="1" si="8"/>
        <v>228922.46294377127</v>
      </c>
      <c r="J26" s="196">
        <f t="shared" ca="1" si="8"/>
        <v>232099.15167209052</v>
      </c>
      <c r="K26" s="196" t="str">
        <f t="shared" si="8"/>
        <v xml:space="preserve"> </v>
      </c>
      <c r="L26" s="196" t="str">
        <f t="shared" si="8"/>
        <v xml:space="preserve"> </v>
      </c>
      <c r="M26" s="197">
        <f ca="1">M22-M25-M24</f>
        <v>208371.10928100173</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0.09</v>
      </c>
      <c r="G27" s="29">
        <f t="shared" si="9"/>
        <v>7.9367499999999994E-2</v>
      </c>
      <c r="H27" s="29">
        <f t="shared" si="9"/>
        <v>6.8734999999999991E-2</v>
      </c>
      <c r="I27" s="29">
        <f t="shared" si="9"/>
        <v>5.8102500000000001E-2</v>
      </c>
      <c r="J27" s="29">
        <f t="shared" si="9"/>
        <v>4.7469999999999998E-2</v>
      </c>
      <c r="K27" s="29" t="str">
        <f t="shared" si="9"/>
        <v xml:space="preserve"> </v>
      </c>
      <c r="L27" s="29" t="str">
        <f t="shared" si="9"/>
        <v xml:space="preserve"> </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1.5236153134316754</v>
      </c>
      <c r="H28" s="30">
        <f>IF(H15&gt;$C$8," ",(1+C27)*(1+D27)*(1+E27)*(1+F27)*(1+G27)*(1+H27))</f>
        <v>1.6283410120004016</v>
      </c>
      <c r="I28" s="30">
        <f>IF(I15&gt;$C$8," ",(1+C27)*(1+D27)*(1+E27)*(1+F27)*(1+G27)*(1+H27)*(1+I27))</f>
        <v>1.7229516956501549</v>
      </c>
      <c r="J28" s="30">
        <f>IF(J15&gt;$C$8," ",(1+C27)*(1+D27)*(1+E27)*(1+F27)*(1+G27)*(1+H27)*(1+I27)*(1+J27))</f>
        <v>1.8047402126426677</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100720.48165137612</v>
      </c>
      <c r="D29" s="197">
        <f t="shared" ca="1" si="10"/>
        <v>106264.72834778216</v>
      </c>
      <c r="E29" s="197">
        <f t="shared" ca="1" si="10"/>
        <v>112114.16293573342</v>
      </c>
      <c r="F29" s="197">
        <f t="shared" ca="1" si="10"/>
        <v>118285.58474870959</v>
      </c>
      <c r="G29" s="197">
        <f t="shared" ca="1" si="10"/>
        <v>130471.86767461587</v>
      </c>
      <c r="H29" s="197">
        <f t="shared" ca="1" si="10"/>
        <v>140493.17461739937</v>
      </c>
      <c r="I29" s="197">
        <f t="shared" ca="1" si="10"/>
        <v>132866.44281538462</v>
      </c>
      <c r="J29" s="197">
        <f t="shared" ca="1" si="10"/>
        <v>128605.29734206424</v>
      </c>
      <c r="K29" s="197" t="str">
        <f t="shared" si="10"/>
        <v xml:space="preserve"> </v>
      </c>
      <c r="L29" s="197" t="str">
        <f t="shared" si="10"/>
        <v xml:space="preserve"> </v>
      </c>
      <c r="M29" s="199"/>
      <c r="N29" s="122"/>
    </row>
    <row r="30" spans="1:19">
      <c r="M30" s="122"/>
    </row>
    <row r="31" spans="1:19">
      <c r="A31" s="21" t="s">
        <v>497</v>
      </c>
      <c r="C31" s="201" t="s">
        <v>429</v>
      </c>
      <c r="D31" s="326" t="s">
        <v>428</v>
      </c>
      <c r="E31" s="326"/>
      <c r="G31" s="275"/>
      <c r="H31" s="112"/>
      <c r="I31" s="112"/>
      <c r="J31" s="112"/>
    </row>
    <row r="32" spans="1:19">
      <c r="A32" s="15" t="s">
        <v>426</v>
      </c>
      <c r="C32" s="29">
        <f ca="1">D32/D34</f>
        <v>0.17233132416353145</v>
      </c>
      <c r="D32" s="323">
        <f ca="1">SUM(C29:L29)</f>
        <v>969821.74013306526</v>
      </c>
      <c r="E32" s="323"/>
      <c r="F32" s="200"/>
      <c r="G32" s="112"/>
      <c r="H32" s="140"/>
      <c r="I32" s="140"/>
      <c r="J32" s="140"/>
    </row>
    <row r="33" spans="1:17" ht="16.5" thickBot="1">
      <c r="A33" s="15" t="s">
        <v>427</v>
      </c>
      <c r="C33" s="30">
        <f ca="1">1-C32</f>
        <v>0.82766867583646853</v>
      </c>
      <c r="D33" s="324">
        <f ca="1">IF(C8=0,(M26/(M27-M19)),(M26/(M27-M19))/INDIRECT(ADDRESS(ROW(A28),C8+2)))</f>
        <v>3848589.1731361798</v>
      </c>
      <c r="E33" s="324"/>
      <c r="F33" s="200"/>
      <c r="G33" s="107"/>
      <c r="H33" s="119"/>
      <c r="I33" s="305"/>
      <c r="J33" s="305"/>
    </row>
    <row r="34" spans="1:17" ht="16.5" thickTop="1">
      <c r="A34" s="117" t="s">
        <v>201</v>
      </c>
      <c r="D34" s="325">
        <f ca="1">D32+D33+Cash+NonOperating_Assets</f>
        <v>5627657.9132692451</v>
      </c>
      <c r="E34" s="325"/>
      <c r="F34" s="200"/>
      <c r="G34" s="107"/>
      <c r="H34" s="305"/>
      <c r="I34" s="305"/>
      <c r="J34" s="305"/>
    </row>
    <row r="35" spans="1:17">
      <c r="F35" s="112"/>
      <c r="G35" s="140"/>
      <c r="H35" s="119"/>
      <c r="I35" s="112"/>
      <c r="J35" s="112"/>
    </row>
    <row r="36" spans="1:17" ht="16.5" thickBot="1">
      <c r="A36" s="126" t="s">
        <v>358</v>
      </c>
      <c r="C36" s="107"/>
      <c r="D36" s="324">
        <f ca="1">MV_Debt</f>
        <v>1118496</v>
      </c>
      <c r="E36" s="324"/>
      <c r="G36" s="107"/>
      <c r="H36" s="119"/>
      <c r="I36" s="112"/>
      <c r="J36" s="112"/>
    </row>
    <row r="37" spans="1:17" ht="16.5" thickTop="1">
      <c r="A37" s="117" t="s">
        <v>357</v>
      </c>
      <c r="C37" s="107"/>
      <c r="D37" s="327">
        <f ca="1">D34-MV_Debt</f>
        <v>4509161.9132692451</v>
      </c>
      <c r="E37" s="327"/>
      <c r="G37" s="107"/>
      <c r="H37" s="166"/>
      <c r="I37" s="112"/>
    </row>
    <row r="38" spans="1:17">
      <c r="A38" s="126" t="s">
        <v>452</v>
      </c>
      <c r="D38" s="323">
        <f>MI*PB_Company</f>
        <v>0</v>
      </c>
      <c r="E38" s="323"/>
      <c r="G38" s="112"/>
      <c r="H38" s="119"/>
      <c r="I38" s="107"/>
    </row>
    <row r="39" spans="1:17" ht="16.5" thickBot="1">
      <c r="A39" s="126" t="s">
        <v>453</v>
      </c>
      <c r="D39" s="324">
        <v>0</v>
      </c>
      <c r="E39" s="324"/>
      <c r="G39" s="112"/>
      <c r="H39" s="119"/>
      <c r="I39" s="107"/>
    </row>
    <row r="40" spans="1:17" ht="16.5" thickTop="1">
      <c r="A40" s="117" t="s">
        <v>202</v>
      </c>
      <c r="D40" s="325">
        <f ca="1">D37-D38-D39</f>
        <v>4509161.9132692451</v>
      </c>
      <c r="E40" s="325"/>
      <c r="F40" s="123" t="str">
        <f>CF_Currency</f>
        <v>RMB</v>
      </c>
      <c r="H40" s="119"/>
      <c r="I40" s="107"/>
    </row>
    <row r="41" spans="1:17">
      <c r="A41" s="117" t="s">
        <v>203</v>
      </c>
      <c r="E41" s="258">
        <f ca="1">IF(Is_Listed="Listed",(D40*'Master Inputs'!C10)/Num_of_Shares,D40*'Master Inputs'!C10)</f>
        <v>4509161913.2692451</v>
      </c>
      <c r="F41" s="123" t="str">
        <f>CF_Currency</f>
        <v>RMB</v>
      </c>
      <c r="H41" s="167"/>
      <c r="I41" s="112"/>
    </row>
    <row r="42" spans="1:17">
      <c r="D42" s="229" t="str">
        <f>IF(F41&lt;&gt;D44,"=&gt;","")</f>
        <v>=&gt;</v>
      </c>
      <c r="E42" s="230">
        <f ca="1">IF(Price_Currency&lt;&gt;CF_Currency,E41*Exchange_Rate,"")</f>
        <v>5351033444.8316813</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33">
        <f>B17/'Master Inputs'!P14</f>
        <v>0.64633531656897114</v>
      </c>
      <c r="C47" s="33">
        <f t="shared" ref="C47:L47" ca="1" si="11">IF(C15&gt;$C$8," ",(C17-B17)/(C25+C24))</f>
        <v>9.0177242757901102</v>
      </c>
      <c r="D47" s="33">
        <f t="shared" ca="1" si="11"/>
        <v>2.2411474675033611</v>
      </c>
      <c r="E47" s="33">
        <f t="shared" ca="1" si="11"/>
        <v>2.2411474675033594</v>
      </c>
      <c r="F47" s="33">
        <f t="shared" ca="1" si="11"/>
        <v>2.2411474675033602</v>
      </c>
      <c r="G47" s="33">
        <f t="shared" ca="1" si="11"/>
        <v>1.9249397728304283</v>
      </c>
      <c r="H47" s="33">
        <f t="shared" ca="1" si="11"/>
        <v>1.529432285948104</v>
      </c>
      <c r="I47" s="33">
        <f t="shared" ca="1" si="11"/>
        <v>1.1465048227442556</v>
      </c>
      <c r="J47" s="33">
        <f t="shared" ca="1" si="11"/>
        <v>0.47154778885321419</v>
      </c>
      <c r="K47" s="33" t="str">
        <f t="shared" si="11"/>
        <v xml:space="preserve"> </v>
      </c>
      <c r="L47" s="33" t="str">
        <f t="shared" si="11"/>
        <v xml:space="preserve"> </v>
      </c>
      <c r="M47" s="33"/>
    </row>
    <row r="48" spans="1:17">
      <c r="A48" s="128" t="s">
        <v>208</v>
      </c>
      <c r="B48" s="33">
        <f>Adj!C25</f>
        <v>1424423</v>
      </c>
      <c r="C48" s="33">
        <f t="shared" ref="C48:L48" ca="1" si="12">IF(C15&gt;$C$8," ",B48+C25+C24)</f>
        <v>1534208.325</v>
      </c>
      <c r="D48" s="33">
        <f t="shared" ca="1" si="12"/>
        <v>1660461.44875</v>
      </c>
      <c r="E48" s="33">
        <f t="shared" ca="1" si="12"/>
        <v>1805652.5410624999</v>
      </c>
      <c r="F48" s="33">
        <f t="shared" ca="1" si="12"/>
        <v>1972622.2972218748</v>
      </c>
      <c r="G48" s="33">
        <f t="shared" ca="1" si="12"/>
        <v>2146799.5499354601</v>
      </c>
      <c r="H48" s="33">
        <f t="shared" ca="1" si="12"/>
        <v>2322225.2638496547</v>
      </c>
      <c r="I48" s="33">
        <f t="shared" ca="1" si="12"/>
        <v>2475487.6803516415</v>
      </c>
      <c r="J48" s="33">
        <f t="shared" ca="1" si="12"/>
        <v>2610646.7530086888</v>
      </c>
      <c r="K48" s="33" t="str">
        <f t="shared" si="12"/>
        <v xml:space="preserve"> </v>
      </c>
      <c r="L48" s="33" t="str">
        <f t="shared" si="12"/>
        <v xml:space="preserve"> </v>
      </c>
      <c r="M48" s="123"/>
    </row>
    <row r="49" spans="1:13">
      <c r="A49" s="128" t="s">
        <v>209</v>
      </c>
      <c r="B49" s="29">
        <f ca="1">B22/B48</f>
        <v>9.7371590496755922E-2</v>
      </c>
      <c r="C49" s="29">
        <f t="shared" ref="C49:L49" ca="1" si="13">IF(C15&gt;$C$8," ",C22/C48)</f>
        <v>0.1431165809897427</v>
      </c>
      <c r="D49" s="29">
        <f t="shared" ca="1" si="13"/>
        <v>0.15206992471284858</v>
      </c>
      <c r="E49" s="29">
        <f t="shared" ca="1" si="13"/>
        <v>0.16081841773065064</v>
      </c>
      <c r="F49" s="29">
        <f t="shared" ca="1" si="13"/>
        <v>0.16928710214269133</v>
      </c>
      <c r="G49" s="29">
        <f t="shared" ca="1" si="13"/>
        <v>0.17373125883405088</v>
      </c>
      <c r="H49" s="29">
        <f t="shared" ca="1" si="13"/>
        <v>0.1740556863031392</v>
      </c>
      <c r="I49" s="29">
        <f t="shared" ca="1" si="13"/>
        <v>0.15438771215838523</v>
      </c>
      <c r="J49" s="29">
        <f t="shared" ca="1" si="13"/>
        <v>0.14067710382719695</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topLeftCell="A4" workbookViewId="0">
      <pane xSplit="1" topLeftCell="B1" activePane="topRight" state="frozen"/>
      <selection pane="topRight" activeCell="L22" sqref="L2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505</v>
      </c>
      <c r="E4" s="276"/>
      <c r="F4" s="112"/>
      <c r="G4" s="119"/>
      <c r="L4" s="112"/>
    </row>
    <row r="5" spans="1:17">
      <c r="A5" t="s">
        <v>564</v>
      </c>
      <c r="C5" s="29">
        <f>IF(A4="Base Case",Base_Ebit_g,IF(A4="Bear Case",Bear_Ebit_g,Bull_Ebit_g))</f>
        <v>0.25</v>
      </c>
      <c r="E5" s="112"/>
      <c r="F5" s="112"/>
      <c r="G5" s="107"/>
      <c r="L5" s="112"/>
    </row>
    <row r="6" spans="1:17">
      <c r="A6" s="117" t="s">
        <v>343</v>
      </c>
      <c r="C6" s="29">
        <f>IF(A4="Base Case",Base_ReinvestRate,IF(A4="Bear Case",Bear_ReinvestRate,Bull_ReinvestRate))</f>
        <v>0.83333333333333337</v>
      </c>
      <c r="E6" s="112"/>
      <c r="F6" s="112"/>
      <c r="G6" s="123">
        <f>_xlfn.CEILING.MATH((C8/2))</f>
        <v>5</v>
      </c>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10</v>
      </c>
      <c r="E8" s="112"/>
      <c r="F8" s="112"/>
      <c r="G8" s="119"/>
      <c r="L8" s="112"/>
    </row>
    <row r="9" spans="1:17">
      <c r="A9" s="117" t="s">
        <v>555</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1.2875183069515859</v>
      </c>
      <c r="D16" s="29">
        <f t="shared" ca="1" si="0"/>
        <v>0.25</v>
      </c>
      <c r="E16" s="29">
        <f t="shared" ca="1" si="0"/>
        <v>0.25</v>
      </c>
      <c r="F16" s="29">
        <f t="shared" ca="1" si="0"/>
        <v>0.25</v>
      </c>
      <c r="G16" s="29">
        <f t="shared" ca="1" si="0"/>
        <v>0.25</v>
      </c>
      <c r="H16" s="29">
        <f t="shared" ca="1" si="0"/>
        <v>0.20349400000000006</v>
      </c>
      <c r="I16" s="29">
        <f t="shared" ca="1" si="0"/>
        <v>0.15698800000000013</v>
      </c>
      <c r="J16" s="29">
        <f t="shared" ca="1" si="0"/>
        <v>0.11048199999999997</v>
      </c>
      <c r="K16" s="29">
        <f t="shared" ca="1" si="0"/>
        <v>6.3976000000000033E-2</v>
      </c>
      <c r="L16" s="29">
        <f t="shared" ca="1" si="0"/>
        <v>1.7470000000000097E-2</v>
      </c>
      <c r="M16" s="29">
        <f ca="1">Terminal_Sales/INDIRECT(ADDRESS(ROW(A17),C8+2))-1</f>
        <v>0.25993093617021312</v>
      </c>
      <c r="N16" s="150"/>
      <c r="O16" s="150"/>
      <c r="P16" s="150"/>
      <c r="Q16" s="150"/>
    </row>
    <row r="17" spans="1:19">
      <c r="A17" s="128" t="s">
        <v>350</v>
      </c>
      <c r="B17" s="198">
        <f>'Master Inputs'!B14</f>
        <v>896332</v>
      </c>
      <c r="C17" s="198">
        <f t="shared" ref="C17:L17" ca="1" si="1">IF(Model_Year&gt;Model_CAP_Length," ",Model_Ebit/Model_EbitMargin)</f>
        <v>2050375.859106529</v>
      </c>
      <c r="D17" s="198">
        <f t="shared" ca="1" si="1"/>
        <v>2562969.8238831614</v>
      </c>
      <c r="E17" s="198">
        <f t="shared" ca="1" si="1"/>
        <v>3203712.2798539517</v>
      </c>
      <c r="F17" s="198">
        <f t="shared" ca="1" si="1"/>
        <v>4004640.3498174399</v>
      </c>
      <c r="G17" s="198">
        <f t="shared" ca="1" si="1"/>
        <v>5005800.4372717999</v>
      </c>
      <c r="H17" s="198">
        <f t="shared" ca="1" si="1"/>
        <v>6024450.7914539874</v>
      </c>
      <c r="I17" s="198">
        <f t="shared" ca="1" si="1"/>
        <v>6970217.2723027673</v>
      </c>
      <c r="J17" s="198">
        <f t="shared" ca="1" si="1"/>
        <v>7740300.8169813212</v>
      </c>
      <c r="K17" s="198">
        <f t="shared" ca="1" si="1"/>
        <v>8235494.3020485183</v>
      </c>
      <c r="L17" s="198">
        <f t="shared" ca="1" si="1"/>
        <v>8379368.3875053059</v>
      </c>
      <c r="M17" s="198">
        <f ca="1">Terminal_Ebit/Terminal_EbitMargin</f>
        <v>10557425.456984648</v>
      </c>
      <c r="N17" s="124"/>
      <c r="O17" s="124"/>
      <c r="P17" s="124"/>
      <c r="Q17" s="124"/>
      <c r="S17" s="144"/>
    </row>
    <row r="18" spans="1:19">
      <c r="A18" s="142" t="s">
        <v>352</v>
      </c>
      <c r="B18" s="29">
        <f ca="1">B20/B17</f>
        <v>0.2130137047433317</v>
      </c>
      <c r="C18" s="141">
        <v>0.1164</v>
      </c>
      <c r="D18" s="141">
        <v>0.1164</v>
      </c>
      <c r="E18" s="141">
        <v>0.1164</v>
      </c>
      <c r="F18" s="141">
        <v>0.1164</v>
      </c>
      <c r="G18" s="141">
        <v>0.1164</v>
      </c>
      <c r="H18" s="141">
        <v>0.1164</v>
      </c>
      <c r="I18" s="141">
        <v>0.1164</v>
      </c>
      <c r="J18" s="141">
        <v>0.1164</v>
      </c>
      <c r="K18" s="141">
        <v>0.1164</v>
      </c>
      <c r="L18" s="141">
        <v>0.1164</v>
      </c>
      <c r="M18" s="173">
        <v>9.4E-2</v>
      </c>
      <c r="N18" s="150"/>
      <c r="O18" s="150"/>
      <c r="P18" s="150"/>
      <c r="Q18" s="150"/>
    </row>
    <row r="19" spans="1:19">
      <c r="A19" s="142" t="s">
        <v>554</v>
      </c>
      <c r="B19" s="29"/>
      <c r="C19" s="29">
        <f t="shared" ref="C19:L19" si="2">IF(Model_Year&gt;Model_CAP_Length," ",IF(Model_Year&gt;$G$6,Terminal_Ebit_g+((Model_Ebit_g-Terminal_Ebit_g)/(Model_CAP_Length-$G$6))*(Model_CAP_Length-Model_Year),Model_Ebit_g))</f>
        <v>0.25</v>
      </c>
      <c r="D19" s="29">
        <f t="shared" si="2"/>
        <v>0.25</v>
      </c>
      <c r="E19" s="29">
        <f t="shared" si="2"/>
        <v>0.25</v>
      </c>
      <c r="F19" s="29">
        <f t="shared" si="2"/>
        <v>0.25</v>
      </c>
      <c r="G19" s="29">
        <f t="shared" si="2"/>
        <v>0.25</v>
      </c>
      <c r="H19" s="29">
        <f t="shared" si="2"/>
        <v>0.20349400000000001</v>
      </c>
      <c r="I19" s="29">
        <f t="shared" si="2"/>
        <v>0.15698800000000002</v>
      </c>
      <c r="J19" s="29">
        <f t="shared" si="2"/>
        <v>0.11048200000000001</v>
      </c>
      <c r="K19" s="29">
        <f t="shared" si="2"/>
        <v>6.3976000000000005E-2</v>
      </c>
      <c r="L19" s="29">
        <f t="shared" si="2"/>
        <v>1.7469999999999999E-2</v>
      </c>
      <c r="M19" s="170">
        <f>Terminal_Ebit_g</f>
        <v>1.7469999999999999E-2</v>
      </c>
      <c r="O19" s="151"/>
      <c r="P19" s="151"/>
      <c r="Q19" s="151"/>
    </row>
    <row r="20" spans="1:19">
      <c r="A20" s="128" t="s">
        <v>341</v>
      </c>
      <c r="B20" s="198">
        <f ca="1">Adj_Ebit</f>
        <v>190931</v>
      </c>
      <c r="C20" s="198">
        <f t="shared" ref="C20:L20" ca="1" si="3">IF(Model_Year&gt;Model_CAP_Length," ",B20*(1+Model_EbitGrowth_Total))</f>
        <v>238663.75</v>
      </c>
      <c r="D20" s="198">
        <f t="shared" ca="1" si="3"/>
        <v>298329.6875</v>
      </c>
      <c r="E20" s="198">
        <f t="shared" ca="1" si="3"/>
        <v>372912.109375</v>
      </c>
      <c r="F20" s="198">
        <f t="shared" ca="1" si="3"/>
        <v>466140.13671875</v>
      </c>
      <c r="G20" s="198">
        <f t="shared" ca="1" si="3"/>
        <v>582675.1708984375</v>
      </c>
      <c r="H20" s="198">
        <f t="shared" ca="1" si="3"/>
        <v>701246.07212524419</v>
      </c>
      <c r="I20" s="198">
        <f t="shared" ca="1" si="3"/>
        <v>811333.29049604211</v>
      </c>
      <c r="J20" s="198">
        <f t="shared" ca="1" si="3"/>
        <v>900971.01509662578</v>
      </c>
      <c r="K20" s="198">
        <f t="shared" ca="1" si="3"/>
        <v>958611.53675844753</v>
      </c>
      <c r="L20" s="198">
        <f t="shared" ca="1" si="3"/>
        <v>975358.48030561768</v>
      </c>
      <c r="M20" s="198">
        <f ca="1">INDIRECT(ADDRESS(ROW(A20),C8+2))*(1+Terminal_Ebit_g)</f>
        <v>992397.99295655696</v>
      </c>
      <c r="N20" s="150"/>
      <c r="O20" s="150"/>
      <c r="P20" s="150"/>
      <c r="Q20" s="150"/>
    </row>
    <row r="21" spans="1:19" ht="16.5" thickBot="1">
      <c r="A21" s="131" t="s">
        <v>351</v>
      </c>
      <c r="B21" s="30">
        <f>Adj_Effective_T</f>
        <v>0.27356828880506284</v>
      </c>
      <c r="C21" s="149">
        <v>0</v>
      </c>
      <c r="D21" s="149">
        <v>0</v>
      </c>
      <c r="E21" s="149">
        <v>0</v>
      </c>
      <c r="F21" s="149">
        <v>0</v>
      </c>
      <c r="G21" s="149">
        <v>0</v>
      </c>
      <c r="H21" s="149">
        <v>0</v>
      </c>
      <c r="I21" s="149">
        <v>0</v>
      </c>
      <c r="J21" s="149">
        <v>0</v>
      </c>
      <c r="K21" s="149">
        <v>0.1</v>
      </c>
      <c r="L21" s="149">
        <v>0.15</v>
      </c>
      <c r="M21" s="255">
        <f>Marginal_TaxRate</f>
        <v>0.25</v>
      </c>
      <c r="N21" s="151"/>
      <c r="O21" s="151"/>
      <c r="P21" s="151"/>
      <c r="Q21" s="151"/>
    </row>
    <row r="22" spans="1:19" ht="16.5" thickTop="1">
      <c r="A22" s="152" t="s">
        <v>340</v>
      </c>
      <c r="B22" s="266">
        <f ca="1">B20*(1-B21)</f>
        <v>138698.33305016055</v>
      </c>
      <c r="C22" s="266">
        <f t="shared" ref="C22:L22" ca="1" si="4">IF(Model_Year&gt;Model_CAP_Length," ",Model_Ebit*(1-C21))</f>
        <v>238663.75</v>
      </c>
      <c r="D22" s="266">
        <f t="shared" ca="1" si="4"/>
        <v>298329.6875</v>
      </c>
      <c r="E22" s="266">
        <f t="shared" ca="1" si="4"/>
        <v>372912.109375</v>
      </c>
      <c r="F22" s="266">
        <f t="shared" ca="1" si="4"/>
        <v>466140.13671875</v>
      </c>
      <c r="G22" s="266">
        <f t="shared" ca="1" si="4"/>
        <v>582675.1708984375</v>
      </c>
      <c r="H22" s="266">
        <f t="shared" ca="1" si="4"/>
        <v>701246.07212524419</v>
      </c>
      <c r="I22" s="266">
        <f t="shared" ca="1" si="4"/>
        <v>811333.29049604211</v>
      </c>
      <c r="J22" s="266">
        <f t="shared" ca="1" si="4"/>
        <v>900971.01509662578</v>
      </c>
      <c r="K22" s="266">
        <f t="shared" ca="1" si="4"/>
        <v>862750.38308260276</v>
      </c>
      <c r="L22" s="266">
        <f t="shared" ca="1" si="4"/>
        <v>829054.70825977495</v>
      </c>
      <c r="M22" s="267">
        <f ca="1">Terminal_Ebit*(1-Marginal_TaxRate)</f>
        <v>744298.49471741775</v>
      </c>
      <c r="N22" s="150"/>
      <c r="O22" s="150"/>
      <c r="P22" s="150"/>
      <c r="Q22" s="150"/>
    </row>
    <row r="23" spans="1:19">
      <c r="A23" s="142" t="s">
        <v>193</v>
      </c>
      <c r="B23" s="29"/>
      <c r="C23" s="29">
        <f>IF(Model_Year&gt;Model_CAP_Length," ",IF(Model_Year&gt;$G$6,$M$23+(($C$6-$M$23)/($C$8-$G$6))*($C$8-Model_Year),$C$6))</f>
        <v>0.83333333333333337</v>
      </c>
      <c r="D23" s="29">
        <f t="shared" ref="D23:L23" si="5">IF(Model_Year&gt;Model_CAP_Length," ",IF(D15&gt;$G$6,$M$23+(($C$6-$M$23)/($C$8-$G$6))*($C$8-D15),$C$6))</f>
        <v>0.83333333333333337</v>
      </c>
      <c r="E23" s="29">
        <f t="shared" si="5"/>
        <v>0.83333333333333337</v>
      </c>
      <c r="F23" s="29">
        <f t="shared" si="5"/>
        <v>0.83333333333333337</v>
      </c>
      <c r="G23" s="29">
        <f t="shared" si="5"/>
        <v>0.83333333333333337</v>
      </c>
      <c r="H23" s="29">
        <f t="shared" si="5"/>
        <v>0.74027104838143387</v>
      </c>
      <c r="I23" s="29">
        <f t="shared" si="5"/>
        <v>0.64720876342953448</v>
      </c>
      <c r="J23" s="29">
        <f t="shared" si="5"/>
        <v>0.55414647847763499</v>
      </c>
      <c r="K23" s="29">
        <f t="shared" si="5"/>
        <v>0.46108419352573554</v>
      </c>
      <c r="L23" s="29">
        <f t="shared" si="5"/>
        <v>0.3680219085738361</v>
      </c>
      <c r="M23" s="29">
        <f>C7</f>
        <v>0.3680219085738361</v>
      </c>
      <c r="N23" s="151"/>
      <c r="O23" s="151"/>
      <c r="P23" s="151"/>
      <c r="Q23" s="151"/>
    </row>
    <row r="24" spans="1:19">
      <c r="A24" s="272" t="s">
        <v>553</v>
      </c>
      <c r="B24" s="169">
        <f>IF('Master Inputs'!W14&lt;0,D64,'Master Inputs'!W14)</f>
        <v>0</v>
      </c>
      <c r="C24" s="169">
        <f t="shared" ref="C24:L24" ca="1" si="6">IF(Model_Year&gt;Model_CAP_Length," ",(C17-B17)*Adj_WCSalesRatio)</f>
        <v>173106.57886597936</v>
      </c>
      <c r="D24" s="169">
        <f t="shared" ca="1" si="6"/>
        <v>76889.094716494859</v>
      </c>
      <c r="E24" s="169">
        <f t="shared" ca="1" si="6"/>
        <v>96111.368395618527</v>
      </c>
      <c r="F24" s="169">
        <f t="shared" ca="1" si="6"/>
        <v>120139.21049452323</v>
      </c>
      <c r="G24" s="169">
        <f t="shared" ca="1" si="6"/>
        <v>150174.01311815399</v>
      </c>
      <c r="H24" s="169">
        <f t="shared" ca="1" si="6"/>
        <v>152797.55312732811</v>
      </c>
      <c r="I24" s="169">
        <f t="shared" ca="1" si="6"/>
        <v>141864.97212731699</v>
      </c>
      <c r="J24" s="169">
        <f t="shared" ca="1" si="6"/>
        <v>115512.53170178308</v>
      </c>
      <c r="K24" s="169">
        <f t="shared" ca="1" si="6"/>
        <v>74279.022760079562</v>
      </c>
      <c r="L24" s="169">
        <f t="shared" ca="1" si="6"/>
        <v>21581.112818518141</v>
      </c>
      <c r="M24" s="273">
        <f ca="1">(Terminal_Sales-INDIRECT(ADDRESS(ROW(A17),C8+2)))*Adj_WCSalesRatio</f>
        <v>326708.56042190135</v>
      </c>
      <c r="N24" s="151"/>
      <c r="O24" s="151"/>
      <c r="P24" s="151"/>
      <c r="Q24" s="151"/>
    </row>
    <row r="25" spans="1:19" ht="16.5" thickBot="1">
      <c r="A25" s="131" t="s">
        <v>541</v>
      </c>
      <c r="B25" s="195">
        <f>'Master Inputs'!S14-'Master Inputs'!T14</f>
        <v>-55737</v>
      </c>
      <c r="C25" s="195">
        <f ca="1">IF(Model_Year&gt;Model_CAP_Length," ",C22*C23-C24+NetCapex_Adj)</f>
        <v>25779.879467353981</v>
      </c>
      <c r="D25" s="195">
        <f t="shared" ref="D25:L25" ca="1" si="7">IF(Model_Year&gt;Model_CAP_Length," ",D22*D23-D24)</f>
        <v>171718.97820017184</v>
      </c>
      <c r="E25" s="195">
        <f t="shared" ca="1" si="7"/>
        <v>214648.72275021486</v>
      </c>
      <c r="F25" s="195">
        <f t="shared" ca="1" si="7"/>
        <v>268310.90343776846</v>
      </c>
      <c r="G25" s="195">
        <f t="shared" ca="1" si="7"/>
        <v>335388.6292972106</v>
      </c>
      <c r="H25" s="195">
        <f t="shared" ca="1" si="7"/>
        <v>366314.61185818899</v>
      </c>
      <c r="I25" s="195">
        <f t="shared" ca="1" si="7"/>
        <v>383237.04354384169</v>
      </c>
      <c r="J25" s="195">
        <f t="shared" ca="1" si="7"/>
        <v>383757.3835244322</v>
      </c>
      <c r="K25" s="195">
        <f t="shared" ca="1" si="7"/>
        <v>323521.54183758167</v>
      </c>
      <c r="L25" s="195">
        <f t="shared" ca="1" si="7"/>
        <v>283529.18322736915</v>
      </c>
      <c r="M25" s="265">
        <f ca="1">M22*M23-M24</f>
        <v>-52790.407847364026</v>
      </c>
      <c r="N25" s="151"/>
      <c r="O25" s="151"/>
      <c r="P25" s="151"/>
      <c r="Q25" s="151"/>
    </row>
    <row r="26" spans="1:19" ht="16.5" thickTop="1">
      <c r="A26" s="130" t="s">
        <v>344</v>
      </c>
      <c r="B26" s="196">
        <f ca="1">B22-B25-B24</f>
        <v>194435.33305016055</v>
      </c>
      <c r="C26" s="196">
        <f t="shared" ref="C26:L26" ca="1" si="8">IF(Model_Year&gt;Model_CAP_Length," ",C22-C25-C24)</f>
        <v>39777.291666666657</v>
      </c>
      <c r="D26" s="196">
        <f t="shared" ca="1" si="8"/>
        <v>49721.614583333299</v>
      </c>
      <c r="E26" s="196">
        <f t="shared" ca="1" si="8"/>
        <v>62152.018229166613</v>
      </c>
      <c r="F26" s="196">
        <f t="shared" ca="1" si="8"/>
        <v>77690.022786458314</v>
      </c>
      <c r="G26" s="196">
        <f t="shared" ca="1" si="8"/>
        <v>97112.528483072907</v>
      </c>
      <c r="H26" s="196">
        <f t="shared" ca="1" si="8"/>
        <v>182133.90713972709</v>
      </c>
      <c r="I26" s="196">
        <f t="shared" ca="1" si="8"/>
        <v>286231.27482488344</v>
      </c>
      <c r="J26" s="196">
        <f t="shared" ca="1" si="8"/>
        <v>401701.09987041051</v>
      </c>
      <c r="K26" s="196">
        <f t="shared" ca="1" si="8"/>
        <v>464949.8184849415</v>
      </c>
      <c r="L26" s="196">
        <f t="shared" ca="1" si="8"/>
        <v>523944.41221388761</v>
      </c>
      <c r="M26" s="197">
        <f ca="1">M22-M25-M24</f>
        <v>470380.34214288037</v>
      </c>
      <c r="N26" s="150"/>
      <c r="O26" s="150"/>
      <c r="P26" s="150"/>
      <c r="Q26" s="150"/>
    </row>
    <row r="27" spans="1:19">
      <c r="A27" s="142" t="s">
        <v>206</v>
      </c>
      <c r="B27" s="29"/>
      <c r="C27" s="29">
        <f t="shared" ref="C27:L27" si="9">IF(C15&gt;$C$8," ",IF(C15&gt;$G6,$M$27+((WACC_CAP-$M$27)/($C$8-$G$6))*($C$8-C15),WACC_CAP))</f>
        <v>0.09</v>
      </c>
      <c r="D27" s="29">
        <f t="shared" si="9"/>
        <v>0.09</v>
      </c>
      <c r="E27" s="29">
        <f t="shared" si="9"/>
        <v>0.09</v>
      </c>
      <c r="F27" s="29">
        <f t="shared" si="9"/>
        <v>0.09</v>
      </c>
      <c r="G27" s="29">
        <f t="shared" si="9"/>
        <v>0.09</v>
      </c>
      <c r="H27" s="29">
        <f t="shared" si="9"/>
        <v>8.1493999999999997E-2</v>
      </c>
      <c r="I27" s="29">
        <f t="shared" si="9"/>
        <v>7.2987999999999997E-2</v>
      </c>
      <c r="J27" s="29">
        <f t="shared" si="9"/>
        <v>6.4481999999999998E-2</v>
      </c>
      <c r="K27" s="29">
        <f t="shared" si="9"/>
        <v>5.5975999999999998E-2</v>
      </c>
      <c r="L27" s="29">
        <f t="shared" si="9"/>
        <v>4.7469999999999998E-2</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1.5386239549000005</v>
      </c>
      <c r="H28" s="30">
        <f>IF(H15&gt;$C$8," ",(1+C27)*(1+D27)*(1+E27)*(1+F27)*(1+G27)*(1+H27))</f>
        <v>1.664012575480621</v>
      </c>
      <c r="I28" s="30">
        <f>IF(I15&gt;$C$8," ",(1+C27)*(1+D27)*(1+E27)*(1+F27)*(1+G27)*(1+H27)*(1+I27))</f>
        <v>1.7854655253398006</v>
      </c>
      <c r="J28" s="30">
        <f>IF(J15&gt;$C$8," ",(1+C27)*(1+D27)*(1+E27)*(1+F27)*(1+G27)*(1+H27)*(1+I27)*(1+J27))</f>
        <v>1.9005959133447616</v>
      </c>
      <c r="K28" s="30">
        <f>IF(K15&gt;$C$8," ",(1+C27)*(1+D27)*(1+E27)*(1+F27)*(1+G27)*(1+H27)*(1+I27)*(1+J27)*(1+K27))</f>
        <v>2.0069836701901482</v>
      </c>
      <c r="L28" s="30">
        <f>IF(L15&gt;$C$8," ",(1+C27)*(1+D27)*(1+E27)*(1+F27)*(1+G27)*(1+H27)*(1+I27)*(1+J27)*(1+K27)*(1+L27))</f>
        <v>2.1022551850140743</v>
      </c>
      <c r="M28" s="30"/>
      <c r="N28" s="143"/>
      <c r="O28" s="143"/>
      <c r="P28" s="143"/>
      <c r="Q28" s="143"/>
    </row>
    <row r="29" spans="1:19" ht="16.5" thickTop="1">
      <c r="A29" s="130" t="s">
        <v>345</v>
      </c>
      <c r="B29" s="197"/>
      <c r="C29" s="197">
        <f t="shared" ref="C29:L29" ca="1" si="10">IF(Model_Year&gt;Model_CAP_Length," ",C26/C28)</f>
        <v>36492.928134556561</v>
      </c>
      <c r="D29" s="197">
        <f t="shared" ca="1" si="10"/>
        <v>41849.688227702463</v>
      </c>
      <c r="E29" s="197">
        <f t="shared" ca="1" si="10"/>
        <v>47992.761729016573</v>
      </c>
      <c r="F29" s="197">
        <f t="shared" ca="1" si="10"/>
        <v>55037.570790156649</v>
      </c>
      <c r="G29" s="197">
        <f t="shared" ca="1" si="10"/>
        <v>63116.480263941114</v>
      </c>
      <c r="H29" s="197">
        <f t="shared" ca="1" si="10"/>
        <v>109454.64585033013</v>
      </c>
      <c r="I29" s="197">
        <f t="shared" ca="1" si="10"/>
        <v>160311.84627348621</v>
      </c>
      <c r="J29" s="197">
        <f t="shared" ca="1" si="10"/>
        <v>211355.34231654601</v>
      </c>
      <c r="K29" s="197">
        <f t="shared" ca="1" si="10"/>
        <v>231665.96987851456</v>
      </c>
      <c r="L29" s="197">
        <f t="shared" ca="1" si="10"/>
        <v>249229.69197499202</v>
      </c>
      <c r="M29" s="199"/>
      <c r="N29" s="122"/>
    </row>
    <row r="30" spans="1:19">
      <c r="M30" s="122"/>
    </row>
    <row r="31" spans="1:19">
      <c r="A31" s="21" t="s">
        <v>497</v>
      </c>
      <c r="C31" s="201" t="s">
        <v>429</v>
      </c>
      <c r="D31" s="326" t="s">
        <v>428</v>
      </c>
      <c r="E31" s="326"/>
      <c r="G31" s="275"/>
      <c r="H31" s="112"/>
      <c r="I31" s="112"/>
      <c r="J31" s="112"/>
      <c r="K31" s="112"/>
    </row>
    <row r="32" spans="1:19">
      <c r="A32" s="15" t="s">
        <v>426</v>
      </c>
      <c r="C32" s="29">
        <f ca="1">D32/D34</f>
        <v>0.12734793222592056</v>
      </c>
      <c r="D32" s="323">
        <f ca="1">SUM(C29:L29)</f>
        <v>1206506.9254392423</v>
      </c>
      <c r="E32" s="323"/>
      <c r="F32" s="200"/>
      <c r="G32" s="112"/>
      <c r="H32" s="140"/>
      <c r="I32" s="140"/>
      <c r="J32" s="140"/>
      <c r="K32" s="112"/>
    </row>
    <row r="33" spans="1:17" ht="16.5" thickBot="1">
      <c r="A33" s="15" t="s">
        <v>427</v>
      </c>
      <c r="C33" s="30">
        <f ca="1">1-C32</f>
        <v>0.87265206777407944</v>
      </c>
      <c r="D33" s="324">
        <f ca="1">IF(C8=0,(M26/(M27-M19)),(M26/(M27-M19))/INDIRECT(ADDRESS(ROW(A28),C8+2)))</f>
        <v>7458345.1380528016</v>
      </c>
      <c r="E33" s="324"/>
      <c r="F33" s="200"/>
      <c r="G33" s="107"/>
      <c r="H33" s="305"/>
      <c r="I33" s="305"/>
      <c r="J33" s="305"/>
      <c r="K33" s="112"/>
    </row>
    <row r="34" spans="1:17" ht="16.5" thickTop="1">
      <c r="A34" s="117" t="s">
        <v>201</v>
      </c>
      <c r="D34" s="325">
        <f ca="1">D32+D33+Cash+NonOperating_Assets</f>
        <v>9474099.0634920448</v>
      </c>
      <c r="E34" s="325"/>
      <c r="F34" s="200"/>
      <c r="G34" s="107"/>
      <c r="H34" s="119"/>
      <c r="I34" s="305"/>
      <c r="J34" s="305"/>
      <c r="K34" s="112"/>
    </row>
    <row r="35" spans="1:17">
      <c r="F35" s="112"/>
      <c r="G35" s="140"/>
      <c r="H35" s="119"/>
      <c r="I35" s="112"/>
      <c r="J35" s="112"/>
      <c r="K35" s="112"/>
    </row>
    <row r="36" spans="1:17" ht="16.5" thickBot="1">
      <c r="A36" s="126" t="s">
        <v>358</v>
      </c>
      <c r="C36" s="107"/>
      <c r="D36" s="324">
        <f ca="1">MV_Debt</f>
        <v>1118496</v>
      </c>
      <c r="E36" s="324"/>
      <c r="G36" s="112"/>
      <c r="H36" s="112"/>
      <c r="I36" s="112"/>
      <c r="J36" s="112"/>
      <c r="K36" s="112"/>
    </row>
    <row r="37" spans="1:17" ht="16.5" thickTop="1">
      <c r="A37" s="117" t="s">
        <v>357</v>
      </c>
      <c r="C37" s="107"/>
      <c r="D37" s="327">
        <f ca="1">D34-MV_Debt</f>
        <v>8355603.0634920448</v>
      </c>
      <c r="E37" s="327"/>
      <c r="G37" s="107"/>
      <c r="H37" s="166"/>
      <c r="I37" s="112"/>
      <c r="J37" s="112"/>
      <c r="K37" s="112"/>
    </row>
    <row r="38" spans="1:17">
      <c r="A38" s="126" t="s">
        <v>452</v>
      </c>
      <c r="D38" s="323">
        <f>MI*PB_Company</f>
        <v>0</v>
      </c>
      <c r="E38" s="323"/>
      <c r="G38" s="112"/>
      <c r="H38" s="119"/>
      <c r="I38" s="107"/>
    </row>
    <row r="39" spans="1:17" ht="16.5" thickBot="1">
      <c r="A39" s="126" t="s">
        <v>453</v>
      </c>
      <c r="D39" s="324">
        <v>0</v>
      </c>
      <c r="E39" s="324"/>
      <c r="G39" s="112"/>
      <c r="H39" s="119"/>
      <c r="I39" s="107"/>
    </row>
    <row r="40" spans="1:17" ht="16.5" thickTop="1">
      <c r="A40" s="117" t="s">
        <v>202</v>
      </c>
      <c r="D40" s="325">
        <f ca="1">D37-D38-D39</f>
        <v>8355603.0634920448</v>
      </c>
      <c r="E40" s="325"/>
      <c r="F40" s="123" t="str">
        <f>CF_Currency</f>
        <v>RMB</v>
      </c>
      <c r="H40" s="119"/>
      <c r="I40" s="107"/>
    </row>
    <row r="41" spans="1:17">
      <c r="A41" s="117" t="s">
        <v>203</v>
      </c>
      <c r="E41" s="258">
        <f ca="1">IF(Is_Listed="Listed",(D40*'Master Inputs'!C10)/Num_of_Shares,D40*'Master Inputs'!C10)</f>
        <v>8355603063.4920444</v>
      </c>
      <c r="F41" s="123" t="str">
        <f>CF_Currency</f>
        <v>RMB</v>
      </c>
      <c r="H41" s="167"/>
      <c r="I41" s="112"/>
    </row>
    <row r="42" spans="1:17">
      <c r="D42" s="229" t="str">
        <f>IF(F41&lt;&gt;D44,"=&gt;","")</f>
        <v>=&gt;</v>
      </c>
      <c r="E42" s="230">
        <f ca="1">IF(Price_Currency&lt;&gt;CF_Currency,E41*Exchange_Rate,"")</f>
        <v>9915614543.1174831</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0</v>
      </c>
      <c r="F44" s="120" t="s">
        <v>431</v>
      </c>
      <c r="G44" s="34">
        <f ca="1">Current_Price/IF(Price_Currency&lt;&gt;CF_Currency,E42,E41)-1</f>
        <v>-1</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0.64633531656897114</v>
      </c>
      <c r="C47" s="268">
        <f t="shared" ref="C47:L47" ca="1" si="11">IF(C15&gt;$C$8," ",(C17-B17)/(C25+C24))</f>
        <v>5.8025260682773769</v>
      </c>
      <c r="D47" s="268">
        <f t="shared" ca="1" si="11"/>
        <v>2.061855670103093</v>
      </c>
      <c r="E47" s="268">
        <f t="shared" ca="1" si="11"/>
        <v>2.0618556701030921</v>
      </c>
      <c r="F47" s="268">
        <f t="shared" ca="1" si="11"/>
        <v>2.0618556701030935</v>
      </c>
      <c r="G47" s="268">
        <f t="shared" ca="1" si="11"/>
        <v>2.0618556701030926</v>
      </c>
      <c r="H47" s="268">
        <f t="shared" ca="1" si="11"/>
        <v>1.9622933594912135</v>
      </c>
      <c r="I47" s="268">
        <f t="shared" ca="1" si="11"/>
        <v>1.8011099798197294</v>
      </c>
      <c r="J47" s="268">
        <f t="shared" ca="1" si="11"/>
        <v>1.5424192830237631</v>
      </c>
      <c r="K47" s="268">
        <f t="shared" ca="1" si="11"/>
        <v>1.2448285124181255</v>
      </c>
      <c r="L47" s="268">
        <f t="shared" ca="1" si="11"/>
        <v>0.4715477888532138</v>
      </c>
      <c r="M47" s="268"/>
    </row>
    <row r="48" spans="1:17">
      <c r="A48" s="128" t="s">
        <v>208</v>
      </c>
      <c r="B48" s="268">
        <f>Adj!C25</f>
        <v>1424423</v>
      </c>
      <c r="C48" s="268">
        <f t="shared" ref="C48:L48" ca="1" si="12">IF(C15&gt;$C$8," ",B48+C25+C24)</f>
        <v>1623309.4583333333</v>
      </c>
      <c r="D48" s="268">
        <f t="shared" ca="1" si="12"/>
        <v>1871917.53125</v>
      </c>
      <c r="E48" s="268">
        <f t="shared" ca="1" si="12"/>
        <v>2182677.6223958335</v>
      </c>
      <c r="F48" s="268">
        <f t="shared" ca="1" si="12"/>
        <v>2571127.7363281255</v>
      </c>
      <c r="G48" s="268">
        <f t="shared" ca="1" si="12"/>
        <v>3056690.3787434897</v>
      </c>
      <c r="H48" s="268">
        <f t="shared" ca="1" si="12"/>
        <v>3575802.5437290068</v>
      </c>
      <c r="I48" s="268">
        <f t="shared" ca="1" si="12"/>
        <v>4100904.5594001655</v>
      </c>
      <c r="J48" s="268">
        <f t="shared" ca="1" si="12"/>
        <v>4600174.47462638</v>
      </c>
      <c r="K48" s="268">
        <f t="shared" ca="1" si="12"/>
        <v>4997975.0392240407</v>
      </c>
      <c r="L48" s="268">
        <f t="shared" ca="1" si="12"/>
        <v>5303085.335269928</v>
      </c>
      <c r="M48" s="123"/>
    </row>
    <row r="49" spans="1:13">
      <c r="A49" s="128" t="s">
        <v>209</v>
      </c>
      <c r="B49" s="29">
        <f ca="1">B22/B48</f>
        <v>9.7371590496755922E-2</v>
      </c>
      <c r="C49" s="29">
        <f t="shared" ref="C49:L49" ca="1" si="13">IF(C15&gt;$C$8," ",C22/C48)</f>
        <v>0.14702295287864475</v>
      </c>
      <c r="D49" s="29">
        <f t="shared" ca="1" si="13"/>
        <v>0.15937117021431282</v>
      </c>
      <c r="E49" s="29">
        <f t="shared" ca="1" si="13"/>
        <v>0.17085075026593716</v>
      </c>
      <c r="F49" s="29">
        <f t="shared" ca="1" si="13"/>
        <v>0.18129793013880099</v>
      </c>
      <c r="G49" s="29">
        <f t="shared" ca="1" si="13"/>
        <v>0.19062289558354192</v>
      </c>
      <c r="H49" s="29">
        <f t="shared" ca="1" si="13"/>
        <v>0.19610872344029193</v>
      </c>
      <c r="I49" s="29">
        <f t="shared" ca="1" si="13"/>
        <v>0.19784251955737173</v>
      </c>
      <c r="J49" s="29">
        <f t="shared" ca="1" si="13"/>
        <v>0.19585583548324031</v>
      </c>
      <c r="K49" s="29">
        <f t="shared" ca="1" si="13"/>
        <v>0.17261998635682438</v>
      </c>
      <c r="L49" s="29">
        <f t="shared" ca="1" si="13"/>
        <v>0.15633440833883469</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533</v>
      </c>
    </row>
    <row r="3" spans="1:9">
      <c r="A3" s="5" t="s">
        <v>4</v>
      </c>
      <c r="B3" s="135">
        <v>8.1999999999999993</v>
      </c>
    </row>
    <row r="5" spans="1:9">
      <c r="A5" s="328" t="s">
        <v>327</v>
      </c>
      <c r="B5" s="328"/>
      <c r="C5" s="328"/>
      <c r="D5" s="328"/>
      <c r="E5" s="328"/>
      <c r="G5" s="5"/>
    </row>
    <row r="6" spans="1:9">
      <c r="A6" s="114" t="s">
        <v>325</v>
      </c>
      <c r="B6" t="s">
        <v>326</v>
      </c>
      <c r="G6" s="5"/>
    </row>
    <row r="7" spans="1:9">
      <c r="A7"/>
      <c r="B7" t="s">
        <v>366</v>
      </c>
      <c r="G7" s="5"/>
    </row>
    <row r="8" spans="1:9">
      <c r="A8" s="114" t="s">
        <v>24</v>
      </c>
      <c r="B8" t="s">
        <v>328</v>
      </c>
      <c r="G8" s="5"/>
    </row>
    <row r="9" spans="1:9">
      <c r="A9"/>
      <c r="B9" t="s">
        <v>329</v>
      </c>
    </row>
    <row r="10" spans="1:9">
      <c r="A10"/>
      <c r="B10" t="s">
        <v>330</v>
      </c>
      <c r="E10" s="4"/>
      <c r="F10" s="5"/>
      <c r="H10" s="11"/>
      <c r="I10" s="11"/>
    </row>
    <row r="11" spans="1:9">
      <c r="A11"/>
      <c r="B11" t="s">
        <v>331</v>
      </c>
      <c r="E11" s="4"/>
      <c r="F11" s="5"/>
    </row>
    <row r="12" spans="1:9">
      <c r="A12"/>
      <c r="B12" t="s">
        <v>332</v>
      </c>
      <c r="E12" s="4"/>
      <c r="F12" s="5"/>
    </row>
    <row r="13" spans="1:9">
      <c r="A13"/>
      <c r="B13" t="s">
        <v>338</v>
      </c>
    </row>
    <row r="14" spans="1:9">
      <c r="A14" s="114" t="s">
        <v>337</v>
      </c>
      <c r="B14" t="s">
        <v>333</v>
      </c>
    </row>
    <row r="15" spans="1:9">
      <c r="A15"/>
      <c r="B15" t="s">
        <v>334</v>
      </c>
    </row>
    <row r="16" spans="1:9">
      <c r="A16"/>
      <c r="B16" t="s">
        <v>367</v>
      </c>
    </row>
    <row r="17" spans="1:7">
      <c r="A17"/>
      <c r="B17" t="s">
        <v>335</v>
      </c>
    </row>
    <row r="18" spans="1:7">
      <c r="A18"/>
      <c r="B18" t="s">
        <v>336</v>
      </c>
    </row>
    <row r="19" spans="1:7">
      <c r="A19" s="114" t="s">
        <v>28</v>
      </c>
      <c r="B19" t="s">
        <v>369</v>
      </c>
    </row>
    <row r="20" spans="1:7">
      <c r="A20" s="114" t="s">
        <v>339</v>
      </c>
      <c r="B20" t="s">
        <v>368</v>
      </c>
    </row>
    <row r="21" spans="1:7">
      <c r="A21"/>
      <c r="B21" t="s">
        <v>370</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376</v>
      </c>
      <c r="C33" s="13" t="s">
        <v>19</v>
      </c>
      <c r="E33" s="1" t="s">
        <v>46</v>
      </c>
    </row>
    <row r="34" spans="1:5">
      <c r="A34" s="1" t="s">
        <v>147</v>
      </c>
      <c r="C34" s="1" t="s">
        <v>18</v>
      </c>
      <c r="E34" s="1" t="s">
        <v>49</v>
      </c>
    </row>
    <row r="35" spans="1:5">
      <c r="A35" s="1" t="s">
        <v>148</v>
      </c>
      <c r="C35" s="1" t="s">
        <v>20</v>
      </c>
      <c r="E35" s="1" t="s">
        <v>238</v>
      </c>
    </row>
    <row r="36" spans="1:5">
      <c r="A36" s="1" t="s">
        <v>375</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322</v>
      </c>
      <c r="C46" s="1" t="s">
        <v>310</v>
      </c>
      <c r="E46" s="1" t="s">
        <v>65</v>
      </c>
    </row>
    <row r="47" spans="1:5">
      <c r="A47" s="42" t="s">
        <v>459</v>
      </c>
      <c r="C47" s="1" t="s">
        <v>311</v>
      </c>
      <c r="E47" s="1" t="s">
        <v>66</v>
      </c>
    </row>
    <row r="48" spans="1:5">
      <c r="A48" s="1" t="s">
        <v>323</v>
      </c>
      <c r="C48" s="1" t="s">
        <v>312</v>
      </c>
      <c r="E48" s="1" t="s">
        <v>245</v>
      </c>
    </row>
    <row r="49" spans="1:5">
      <c r="A49" s="1" t="s">
        <v>468</v>
      </c>
      <c r="C49" s="1" t="s">
        <v>313</v>
      </c>
      <c r="E49" s="1" t="s">
        <v>246</v>
      </c>
    </row>
    <row r="50" spans="1:5">
      <c r="A50" s="1" t="s">
        <v>324</v>
      </c>
      <c r="C50" s="1" t="s">
        <v>314</v>
      </c>
      <c r="E50" s="1" t="s">
        <v>247</v>
      </c>
    </row>
    <row r="51" spans="1:5">
      <c r="A51" s="1" t="s">
        <v>457</v>
      </c>
      <c r="E51" s="1" t="s">
        <v>248</v>
      </c>
    </row>
    <row r="52" spans="1:5">
      <c r="C52" s="13" t="s">
        <v>502</v>
      </c>
      <c r="E52" s="1" t="s">
        <v>249</v>
      </c>
    </row>
    <row r="53" spans="1:5">
      <c r="A53" s="134" t="s">
        <v>371</v>
      </c>
      <c r="C53" s="1" t="s">
        <v>503</v>
      </c>
      <c r="E53" s="1" t="s">
        <v>250</v>
      </c>
    </row>
    <row r="54" spans="1:5">
      <c r="A54" s="42">
        <v>6</v>
      </c>
      <c r="C54" s="1" t="s">
        <v>504</v>
      </c>
      <c r="E54" s="1" t="s">
        <v>251</v>
      </c>
    </row>
    <row r="55" spans="1:5">
      <c r="A55" s="42">
        <v>12</v>
      </c>
      <c r="C55" s="1" t="s">
        <v>505</v>
      </c>
      <c r="E55" s="1" t="s">
        <v>252</v>
      </c>
    </row>
    <row r="56" spans="1:5">
      <c r="E56" s="1" t="s">
        <v>78</v>
      </c>
    </row>
    <row r="57" spans="1:5">
      <c r="A57" s="13" t="s">
        <v>390</v>
      </c>
      <c r="C57" s="13" t="s">
        <v>206</v>
      </c>
      <c r="E57" s="1" t="s">
        <v>253</v>
      </c>
    </row>
    <row r="58" spans="1:5">
      <c r="A58" s="1" t="s">
        <v>391</v>
      </c>
      <c r="C58" s="1" t="s">
        <v>516</v>
      </c>
      <c r="E58" s="1" t="s">
        <v>254</v>
      </c>
    </row>
    <row r="59" spans="1:5">
      <c r="A59" s="1" t="s">
        <v>392</v>
      </c>
      <c r="C59" s="1" t="s">
        <v>517</v>
      </c>
      <c r="E59" s="1" t="s">
        <v>255</v>
      </c>
    </row>
    <row r="60" spans="1:5">
      <c r="E60" s="1" t="s">
        <v>80</v>
      </c>
    </row>
    <row r="61" spans="1:5">
      <c r="A61" s="13" t="s">
        <v>419</v>
      </c>
      <c r="C61" s="13" t="s">
        <v>535</v>
      </c>
      <c r="E61" s="1" t="s">
        <v>256</v>
      </c>
    </row>
    <row r="62" spans="1:5">
      <c r="A62" s="1" t="s">
        <v>418</v>
      </c>
      <c r="C62" s="249">
        <f>C63-(C64-C63)</f>
        <v>0.16666666666666663</v>
      </c>
      <c r="E62" s="1" t="s">
        <v>257</v>
      </c>
    </row>
    <row r="63" spans="1:5">
      <c r="A63" s="1" t="s">
        <v>420</v>
      </c>
      <c r="C63" s="249">
        <f>1/3</f>
        <v>0.33333333333333331</v>
      </c>
      <c r="E63" s="1" t="s">
        <v>258</v>
      </c>
    </row>
    <row r="64" spans="1:5">
      <c r="C64" s="249">
        <v>0.5</v>
      </c>
      <c r="E64" s="1" t="s">
        <v>83</v>
      </c>
    </row>
    <row r="65" spans="1:5">
      <c r="A65" s="13" t="s">
        <v>524</v>
      </c>
      <c r="C65" s="249">
        <f>C64+(C64-C63)</f>
        <v>0.66666666666666674</v>
      </c>
      <c r="E65" s="1" t="s">
        <v>84</v>
      </c>
    </row>
    <row r="66" spans="1:5">
      <c r="A66" s="1" t="s">
        <v>507</v>
      </c>
      <c r="C66" s="249">
        <f>C65+(C64-C63)</f>
        <v>0.83333333333333348</v>
      </c>
      <c r="E66" s="1" t="s">
        <v>259</v>
      </c>
    </row>
    <row r="67" spans="1:5">
      <c r="A67" s="1" t="s">
        <v>508</v>
      </c>
      <c r="E67" s="1" t="s">
        <v>260</v>
      </c>
    </row>
    <row r="68" spans="1:5">
      <c r="A68" s="1" t="s">
        <v>509</v>
      </c>
      <c r="E68" s="1" t="s">
        <v>261</v>
      </c>
    </row>
    <row r="69" spans="1:5">
      <c r="A69" s="1" t="s">
        <v>523</v>
      </c>
      <c r="E69" s="1" t="s">
        <v>262</v>
      </c>
    </row>
    <row r="70" spans="1:5">
      <c r="A70" s="1" t="s">
        <v>525</v>
      </c>
      <c r="E70" s="1" t="s">
        <v>263</v>
      </c>
    </row>
    <row r="71" spans="1:5">
      <c r="A71" s="1" t="s">
        <v>526</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alvisyeung@outlook.com</cp:lastModifiedBy>
  <dcterms:created xsi:type="dcterms:W3CDTF">2020-02-11T08:54:29Z</dcterms:created>
  <dcterms:modified xsi:type="dcterms:W3CDTF">2021-04-16T01:43:17Z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2cc97d8a-b66b-4d00-b89b-5660721d6f8f</vt:lpwstr>
  </property>
</Properties>
</file>