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User\Desktop\Valuation\攜程集團 9961\"/>
    </mc:Choice>
  </mc:AlternateContent>
  <xr:revisionPtr revIDLastSave="0" documentId="13_ncr:1_{5A4E752A-26EF-4507-98EB-49A3AD91AE5A}" xr6:coauthVersionLast="46" xr6:coauthVersionMax="46" xr10:uidLastSave="{00000000-0000-0000-0000-000000000000}"/>
  <bookViews>
    <workbookView xWindow="-120" yWindow="-120" windowWidth="29040" windowHeight="15840" activeTab="1" xr2:uid="{00000000-000D-0000-FFFF-FFFF00000000}"/>
  </bookViews>
  <sheets>
    <sheet name="Master Inputs" sheetId="1" r:id="rId1"/>
    <sheet name="Adj" sheetId="11" r:id="rId2"/>
    <sheet name="Scenarios" sheetId="14" r:id="rId3"/>
    <sheet name="WACC" sheetId="9" r:id="rId4"/>
    <sheet name="Base Model" sheetId="15" r:id="rId5"/>
    <sheet name="Readme" sheetId="2" r:id="rId6"/>
  </sheets>
  <definedNames>
    <definedName name="_xlnm._FilterDatabase" localSheetId="4" hidden="1">'Base Model'!$G$6:$G$6</definedName>
    <definedName name="Adj_Ebit">Adj!$C$16</definedName>
    <definedName name="Adj_Effective_T">Adj!$C$36</definedName>
    <definedName name="Adj_WCSalesRatio" comment="Adjusted WC-Sales Ratio">Adj!$C$61</definedName>
    <definedName name="Base_Ebit_g">Scenarios!$E$4</definedName>
    <definedName name="Base_ReinvestRate">Scenarios!$E$5</definedName>
    <definedName name="Base_ROC" comment="Base Case AfterTax ROC">Adj!$C$48</definedName>
    <definedName name="Bear_Ebit_g">Scenarios!$D$4</definedName>
    <definedName name="Bear_ReinvestRate">Scenarios!$D$5</definedName>
    <definedName name="Bear_ROC" comment="Bear Case AfterTax ROC">Adj!$B$48</definedName>
    <definedName name="Bull_Ebit_g">Scenarios!$F$4</definedName>
    <definedName name="Bull_ReinvestRate">Scenarios!$F$5</definedName>
    <definedName name="Bull_ROC" comment="Bull Case AfterTax ROC">Adj!$D$48</definedName>
    <definedName name="Cash">'Master Inputs'!$O$14</definedName>
    <definedName name="CF_Currency">'Master Inputs'!$F$4</definedName>
    <definedName name="Cur_BvEbit">'Master Inputs'!$D$14</definedName>
    <definedName name="Cur_Effective_T">'Master Inputs'!$H$14</definedName>
    <definedName name="Cur_InterestExpense">'Master Inputs'!$G$14</definedName>
    <definedName name="Cur_Op_Assets" comment="Current Year Operating Assets">'Master Inputs'!$Q$14</definedName>
    <definedName name="Cur_Sales">'Master Inputs'!$B$14</definedName>
    <definedName name="Cur_Sales_Diff" comment="Current Year Sales - Last Year Sales">'Master Inputs'!$B$14-'Master Inputs'!$B$17</definedName>
    <definedName name="Cur_WC_Change">'Master Inputs'!$Y$14</definedName>
    <definedName name="Current_Asset">'Master Inputs'!$J1</definedName>
    <definedName name="Current_Liabilities">'Master Inputs'!$K1</definedName>
    <definedName name="Current_Price">'Master Inputs'!$B$4</definedName>
    <definedName name="Exchange_Rate">'Master Inputs'!$F$6</definedName>
    <definedName name="In_Capex">'Master Inputs'!$U1</definedName>
    <definedName name="In_Cash">'Master Inputs'!$O1</definedName>
    <definedName name="In_Debt">'Master Inputs'!$L1</definedName>
    <definedName name="In_Dep">'Master Inputs'!$V1</definedName>
    <definedName name="In_EBIT">'Master Inputs'!$D1</definedName>
    <definedName name="In_Equity">'Master Inputs'!$M1</definedName>
    <definedName name="In_NetCapex">'Master Inputs'!$W1</definedName>
    <definedName name="In_Sales">'Master Inputs'!$B1</definedName>
    <definedName name="In_WCInv">'Master Inputs'!$Y1</definedName>
    <definedName name="Is_Listed">'Master Inputs'!$B$3</definedName>
    <definedName name="M_beyond10K">'Master Inputs'!$F$9</definedName>
    <definedName name="Marginal_TaxRate">Adj!$C$33</definedName>
    <definedName name="MI">'Master Inputs'!$N$14</definedName>
    <definedName name="Model_CAP_Length">'Base Model'!$C$8</definedName>
    <definedName name="Model_Ebit">'Base Model'!A$20</definedName>
    <definedName name="Model_Ebit_g">'Base Model'!$C$5</definedName>
    <definedName name="Model_EbitGrowth_Total">'Base Model'!A$19</definedName>
    <definedName name="Model_EbitMargin">'Base Model'!A$18</definedName>
    <definedName name="Model_ReinvestRate">'Base Model'!$C$6</definedName>
    <definedName name="Model_Sales">'Base Model'!A$17</definedName>
    <definedName name="Model_Year">'Base Model'!A$15</definedName>
    <definedName name="MV_Debt">WACC!$C$48</definedName>
    <definedName name="NetCapex_Adj">Adj!$C$17</definedName>
    <definedName name="NonCash_WC">'Master Inputs'!$S1</definedName>
    <definedName name="NonOperating_Assets">'Master Inputs'!$P$14</definedName>
    <definedName name="Num_of_Shares">'Master Inputs'!$B$5</definedName>
    <definedName name="PB_Company">'Master Inputs'!$J$5</definedName>
    <definedName name="Price_Currency">'Master Inputs'!$C$4</definedName>
    <definedName name="Riskfree_rate">WACC!$B$4</definedName>
    <definedName name="Stable_WACC">WACC!$C$18</definedName>
    <definedName name="Terminal_Ebit">'Base Model'!$M$20</definedName>
    <definedName name="Terminal_Ebit_g">Scenarios!$D$17</definedName>
    <definedName name="Terminal_EbitMargin">'Base Model'!$M$18</definedName>
    <definedName name="Terminal_Sales">'Base Model'!$M$17</definedName>
    <definedName name="WACC_CAP">WACC!$C$12</definedName>
    <definedName name="WACC_Stable">WACC!$C$18</definedName>
  </definedNames>
  <calcPr calcId="191029" iterate="1" iterateDelta="9.999999999999445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4" i="15" l="1"/>
  <c r="C62" i="11"/>
  <c r="C27" i="11"/>
  <c r="C21" i="11"/>
  <c r="C24" i="11"/>
  <c r="I14" i="1"/>
  <c r="N7" i="1" s="1"/>
  <c r="J7" i="1" s="1"/>
  <c r="B6" i="1" l="1"/>
  <c r="C6" i="1"/>
  <c r="U19" i="1"/>
  <c r="U16" i="1"/>
  <c r="U13" i="1"/>
  <c r="V19" i="1"/>
  <c r="V16" i="1"/>
  <c r="V13" i="1"/>
  <c r="AA41" i="1"/>
  <c r="Z41" i="1"/>
  <c r="L19" i="1"/>
  <c r="L16" i="1"/>
  <c r="L13" i="1"/>
  <c r="H19" i="1"/>
  <c r="H16" i="1"/>
  <c r="Z42" i="1"/>
  <c r="Z40" i="1"/>
  <c r="Z37" i="1"/>
  <c r="Z34" i="1"/>
  <c r="Z31" i="1"/>
  <c r="Z28" i="1"/>
  <c r="Z25" i="1"/>
  <c r="Z22" i="1"/>
  <c r="Z19" i="1"/>
  <c r="Z39" i="1"/>
  <c r="Z36" i="1"/>
  <c r="Z33" i="1"/>
  <c r="Z30" i="1"/>
  <c r="Z27" i="1"/>
  <c r="Z24" i="1"/>
  <c r="Z21" i="1"/>
  <c r="Z18" i="1"/>
  <c r="F40" i="1" l="1"/>
  <c r="F37" i="1"/>
  <c r="F34" i="1"/>
  <c r="F31" i="1"/>
  <c r="F28" i="1"/>
  <c r="F25" i="1"/>
  <c r="F22" i="1"/>
  <c r="F19" i="1"/>
  <c r="F16" i="1"/>
  <c r="F39" i="1"/>
  <c r="F36" i="1"/>
  <c r="F33" i="1"/>
  <c r="F30" i="1"/>
  <c r="F27" i="1"/>
  <c r="F24" i="1"/>
  <c r="F21" i="1"/>
  <c r="F18" i="1"/>
  <c r="F15" i="1"/>
  <c r="F12" i="1"/>
  <c r="F13" i="1"/>
  <c r="D12" i="14"/>
  <c r="D42" i="14" l="1"/>
  <c r="D17" i="1" l="1"/>
  <c r="D26" i="14"/>
  <c r="B14" i="1"/>
  <c r="B17" i="1"/>
  <c r="B20" i="1"/>
  <c r="D14" i="1"/>
  <c r="Z14" i="1" s="1"/>
  <c r="D20" i="1"/>
  <c r="F42" i="15"/>
  <c r="F41" i="15"/>
  <c r="F40" i="15"/>
  <c r="N6" i="1" l="1"/>
  <c r="F14" i="1"/>
  <c r="N4" i="1"/>
  <c r="F17" i="1"/>
  <c r="C16" i="9" l="1"/>
  <c r="E12" i="14" l="1"/>
  <c r="C53" i="14"/>
  <c r="C54" i="14"/>
  <c r="E58" i="14"/>
  <c r="D57" i="14"/>
  <c r="C39" i="14"/>
  <c r="C38" i="14"/>
  <c r="E43" i="14"/>
  <c r="E27" i="14"/>
  <c r="C23" i="14"/>
  <c r="C22" i="14"/>
  <c r="D17" i="14"/>
  <c r="E88" i="11"/>
  <c r="B57" i="9" l="1"/>
  <c r="D44" i="15"/>
  <c r="E44" i="15"/>
  <c r="M21" i="15"/>
  <c r="A76" i="11" l="1"/>
  <c r="A77" i="11"/>
  <c r="A78" i="11"/>
  <c r="A79" i="11"/>
  <c r="A80" i="11"/>
  <c r="A81" i="11"/>
  <c r="A82" i="11"/>
  <c r="A83" i="11"/>
  <c r="A84" i="11"/>
  <c r="A85" i="11"/>
  <c r="AA40" i="1"/>
  <c r="AA37" i="1"/>
  <c r="AA34" i="1"/>
  <c r="AA31" i="1"/>
  <c r="AA28" i="1"/>
  <c r="AA25" i="1"/>
  <c r="AA22" i="1"/>
  <c r="AA19" i="1"/>
  <c r="AA42" i="1"/>
  <c r="AA39" i="1"/>
  <c r="AA36" i="1"/>
  <c r="AA33" i="1"/>
  <c r="AA30" i="1"/>
  <c r="AA27" i="1"/>
  <c r="AA24" i="1"/>
  <c r="AA21" i="1"/>
  <c r="AA18" i="1"/>
  <c r="S40" i="1"/>
  <c r="Y37" i="1" s="1"/>
  <c r="AB37" i="1" s="1"/>
  <c r="S37" i="1"/>
  <c r="Y34" i="1" s="1"/>
  <c r="AB34" i="1" s="1"/>
  <c r="S34" i="1"/>
  <c r="Y31" i="1" s="1"/>
  <c r="AB31" i="1" s="1"/>
  <c r="S31" i="1"/>
  <c r="Y28" i="1" s="1"/>
  <c r="AB28" i="1" s="1"/>
  <c r="S28" i="1"/>
  <c r="Y25" i="1" s="1"/>
  <c r="AB25" i="1" s="1"/>
  <c r="S25" i="1"/>
  <c r="Y22" i="1" s="1"/>
  <c r="AB22" i="1" s="1"/>
  <c r="S22" i="1"/>
  <c r="Y19" i="1" s="1"/>
  <c r="S42" i="1"/>
  <c r="Y39" i="1" s="1"/>
  <c r="AB39" i="1" s="1"/>
  <c r="S39" i="1"/>
  <c r="Y36" i="1" s="1"/>
  <c r="AB36" i="1" s="1"/>
  <c r="S36" i="1"/>
  <c r="Y33" i="1" s="1"/>
  <c r="AB33" i="1" s="1"/>
  <c r="S33" i="1"/>
  <c r="Y30" i="1" s="1"/>
  <c r="AB30" i="1" s="1"/>
  <c r="S30" i="1"/>
  <c r="Y27" i="1" s="1"/>
  <c r="AB27" i="1" s="1"/>
  <c r="S27" i="1"/>
  <c r="Y24" i="1" s="1"/>
  <c r="AB24" i="1" s="1"/>
  <c r="S24" i="1"/>
  <c r="Y21" i="1" s="1"/>
  <c r="AB21" i="1" s="1"/>
  <c r="S21" i="1"/>
  <c r="Y18" i="1" s="1"/>
  <c r="S18" i="1"/>
  <c r="Y15" i="1" s="1"/>
  <c r="S15" i="1"/>
  <c r="Y12" i="1" s="1"/>
  <c r="S12" i="1"/>
  <c r="Y40" i="1"/>
  <c r="AB40" i="1" s="1"/>
  <c r="Y41" i="1"/>
  <c r="AB41" i="1" s="1"/>
  <c r="Y42" i="1"/>
  <c r="AB42" i="1" s="1"/>
  <c r="X40" i="1"/>
  <c r="X37" i="1"/>
  <c r="X34" i="1"/>
  <c r="X31" i="1"/>
  <c r="X28" i="1"/>
  <c r="X25" i="1"/>
  <c r="X22" i="1"/>
  <c r="X42" i="1"/>
  <c r="X39" i="1"/>
  <c r="X36" i="1"/>
  <c r="X33" i="1"/>
  <c r="X30" i="1"/>
  <c r="X27" i="1"/>
  <c r="X24" i="1"/>
  <c r="X21" i="1"/>
  <c r="X18" i="1"/>
  <c r="X15" i="1"/>
  <c r="X12" i="1"/>
  <c r="W40" i="1"/>
  <c r="W37" i="1"/>
  <c r="W34" i="1"/>
  <c r="W31" i="1"/>
  <c r="W28" i="1"/>
  <c r="W25" i="1"/>
  <c r="W22" i="1"/>
  <c r="W42" i="1"/>
  <c r="W39" i="1"/>
  <c r="W36" i="1"/>
  <c r="W33" i="1"/>
  <c r="W30" i="1"/>
  <c r="W27" i="1"/>
  <c r="W24" i="1"/>
  <c r="W21" i="1"/>
  <c r="W18" i="1"/>
  <c r="W15" i="1"/>
  <c r="W12" i="1"/>
  <c r="V14" i="1"/>
  <c r="T40" i="1"/>
  <c r="T37" i="1"/>
  <c r="T34" i="1"/>
  <c r="T31" i="1"/>
  <c r="T28" i="1"/>
  <c r="T25" i="1"/>
  <c r="T22" i="1"/>
  <c r="P14" i="1"/>
  <c r="O14" i="1"/>
  <c r="N14" i="1"/>
  <c r="M14" i="1"/>
  <c r="N5" i="1" s="1"/>
  <c r="K14" i="1"/>
  <c r="J14" i="1"/>
  <c r="D41" i="1"/>
  <c r="F41" i="1" s="1"/>
  <c r="D38" i="1"/>
  <c r="D35" i="1"/>
  <c r="D32" i="1"/>
  <c r="D29" i="1"/>
  <c r="D26" i="1"/>
  <c r="D23" i="1"/>
  <c r="E19" i="1"/>
  <c r="E16" i="1"/>
  <c r="B41" i="1"/>
  <c r="B38" i="1"/>
  <c r="B35" i="1"/>
  <c r="B32" i="1"/>
  <c r="B29" i="1"/>
  <c r="B26" i="1"/>
  <c r="Q26" i="1" s="1"/>
  <c r="B23" i="1"/>
  <c r="M20" i="1"/>
  <c r="F29" i="1" l="1"/>
  <c r="F32" i="1"/>
  <c r="F38" i="1"/>
  <c r="F26" i="1"/>
  <c r="P41" i="1"/>
  <c r="Q41" i="1"/>
  <c r="N23" i="1"/>
  <c r="Q23" i="1"/>
  <c r="X29" i="1"/>
  <c r="Q29" i="1"/>
  <c r="W35" i="1"/>
  <c r="Q35" i="1"/>
  <c r="Z23" i="1"/>
  <c r="AA23" i="1"/>
  <c r="O32" i="1"/>
  <c r="Q32" i="1"/>
  <c r="S38" i="1"/>
  <c r="Y35" i="1" s="1"/>
  <c r="AB35" i="1" s="1"/>
  <c r="Q38" i="1"/>
  <c r="F35" i="1"/>
  <c r="F23" i="1"/>
  <c r="F20" i="1"/>
  <c r="C26" i="1"/>
  <c r="K20" i="1"/>
  <c r="J26" i="1"/>
  <c r="X32" i="1"/>
  <c r="J29" i="1"/>
  <c r="S41" i="1"/>
  <c r="Y38" i="1" s="1"/>
  <c r="AB38" i="1" s="1"/>
  <c r="L26" i="1"/>
  <c r="E29" i="1"/>
  <c r="U32" i="1"/>
  <c r="E26" i="1"/>
  <c r="C29" i="1"/>
  <c r="N26" i="1"/>
  <c r="N29" i="1"/>
  <c r="V38" i="1"/>
  <c r="P26" i="1"/>
  <c r="V41" i="1"/>
  <c r="W38" i="1"/>
  <c r="W41" i="1"/>
  <c r="E32" i="1"/>
  <c r="C35" i="1"/>
  <c r="K23" i="1"/>
  <c r="J32" i="1"/>
  <c r="G41" i="1"/>
  <c r="M23" i="1"/>
  <c r="N32" i="1"/>
  <c r="O41" i="1"/>
  <c r="U38" i="1"/>
  <c r="X38" i="1"/>
  <c r="T23" i="1"/>
  <c r="G35" i="1"/>
  <c r="U35" i="1"/>
  <c r="E35" i="1"/>
  <c r="C38" i="1"/>
  <c r="K26" i="1"/>
  <c r="J35" i="1"/>
  <c r="M26" i="1"/>
  <c r="N35" i="1"/>
  <c r="U41" i="1"/>
  <c r="X41" i="1"/>
  <c r="T26" i="1"/>
  <c r="E38" i="1"/>
  <c r="C41" i="1"/>
  <c r="K29" i="1"/>
  <c r="J38" i="1"/>
  <c r="M29" i="1"/>
  <c r="N38" i="1"/>
  <c r="P20" i="1"/>
  <c r="T29" i="1"/>
  <c r="E41" i="1"/>
  <c r="K32" i="1"/>
  <c r="J41" i="1"/>
  <c r="L23" i="1"/>
  <c r="M32" i="1"/>
  <c r="N41" i="1"/>
  <c r="P23" i="1"/>
  <c r="T32" i="1"/>
  <c r="V20" i="1"/>
  <c r="S23" i="1"/>
  <c r="Y20" i="1" s="1"/>
  <c r="AB20" i="1" s="1"/>
  <c r="T35" i="1"/>
  <c r="O38" i="1"/>
  <c r="M35" i="1"/>
  <c r="K38" i="1"/>
  <c r="G20" i="1"/>
  <c r="L29" i="1"/>
  <c r="M38" i="1"/>
  <c r="O20" i="1"/>
  <c r="P29" i="1"/>
  <c r="V23" i="1"/>
  <c r="W23" i="1"/>
  <c r="S26" i="1"/>
  <c r="Y23" i="1" s="1"/>
  <c r="AB23" i="1" s="1"/>
  <c r="T38" i="1"/>
  <c r="G38" i="1"/>
  <c r="K41" i="1"/>
  <c r="G23" i="1"/>
  <c r="L32" i="1"/>
  <c r="M41" i="1"/>
  <c r="O23" i="1"/>
  <c r="P32" i="1"/>
  <c r="V26" i="1"/>
  <c r="W26" i="1"/>
  <c r="S29" i="1"/>
  <c r="Y26" i="1" s="1"/>
  <c r="AB26" i="1" s="1"/>
  <c r="T41" i="1"/>
  <c r="X35" i="1"/>
  <c r="C20" i="1"/>
  <c r="G26" i="1"/>
  <c r="L35" i="1"/>
  <c r="O26" i="1"/>
  <c r="P35" i="1"/>
  <c r="U23" i="1"/>
  <c r="V29" i="1"/>
  <c r="W29" i="1"/>
  <c r="X23" i="1"/>
  <c r="S32" i="1"/>
  <c r="Y29" i="1" s="1"/>
  <c r="AB29" i="1" s="1"/>
  <c r="O35" i="1"/>
  <c r="K35" i="1"/>
  <c r="E20" i="1"/>
  <c r="C23" i="1"/>
  <c r="J20" i="1"/>
  <c r="G29" i="1"/>
  <c r="L38" i="1"/>
  <c r="N20" i="1"/>
  <c r="O29" i="1"/>
  <c r="P38" i="1"/>
  <c r="U26" i="1"/>
  <c r="V32" i="1"/>
  <c r="W32" i="1"/>
  <c r="X26" i="1"/>
  <c r="S35" i="1"/>
  <c r="Y32" i="1" s="1"/>
  <c r="AB32" i="1" s="1"/>
  <c r="C32" i="1"/>
  <c r="E23" i="1"/>
  <c r="J23" i="1"/>
  <c r="G32" i="1"/>
  <c r="L41" i="1"/>
  <c r="U29" i="1"/>
  <c r="V35" i="1"/>
  <c r="C40" i="1"/>
  <c r="C37" i="1"/>
  <c r="C34" i="1"/>
  <c r="C31" i="1"/>
  <c r="C28" i="1"/>
  <c r="C25" i="1"/>
  <c r="C22" i="1"/>
  <c r="C19" i="1"/>
  <c r="C16" i="1"/>
  <c r="C39" i="1"/>
  <c r="C36" i="1"/>
  <c r="C33" i="1"/>
  <c r="C30" i="1"/>
  <c r="C27" i="1"/>
  <c r="C24" i="1"/>
  <c r="C21" i="1"/>
  <c r="C18" i="1"/>
  <c r="C15" i="1"/>
  <c r="C13" i="1"/>
  <c r="C12" i="1"/>
  <c r="E42" i="1"/>
  <c r="E39" i="1"/>
  <c r="E36" i="1"/>
  <c r="E33" i="1"/>
  <c r="E30" i="1"/>
  <c r="E27" i="1"/>
  <c r="E24" i="1"/>
  <c r="E21" i="1"/>
  <c r="E18" i="1"/>
  <c r="E15" i="1"/>
  <c r="E40" i="1"/>
  <c r="E37" i="1"/>
  <c r="E34" i="1"/>
  <c r="E31" i="1"/>
  <c r="E28" i="1"/>
  <c r="E25" i="1"/>
  <c r="E22" i="1"/>
  <c r="E13" i="1"/>
  <c r="E12" i="1"/>
  <c r="W19" i="1"/>
  <c r="X19" i="1" s="1"/>
  <c r="W16" i="1"/>
  <c r="X16" i="1" s="1"/>
  <c r="Z32" i="1" l="1"/>
  <c r="AA32" i="1"/>
  <c r="Z26" i="1"/>
  <c r="AA26" i="1"/>
  <c r="Z20" i="1"/>
  <c r="AA20" i="1"/>
  <c r="AA35" i="1"/>
  <c r="Z35" i="1"/>
  <c r="AA38" i="1"/>
  <c r="Z38" i="1"/>
  <c r="Z29" i="1"/>
  <c r="AA29" i="1"/>
  <c r="C14" i="1"/>
  <c r="N17" i="1"/>
  <c r="J17" i="1"/>
  <c r="E17" i="1"/>
  <c r="U17" i="1"/>
  <c r="O17" i="1"/>
  <c r="G17" i="1"/>
  <c r="C17" i="1"/>
  <c r="V17" i="1"/>
  <c r="M17" i="1"/>
  <c r="P17" i="1"/>
  <c r="K17" i="1"/>
  <c r="S13" i="1"/>
  <c r="L14" i="1"/>
  <c r="Q14" i="1" s="1"/>
  <c r="E14" i="1"/>
  <c r="U14" i="1"/>
  <c r="W13" i="1"/>
  <c r="X13" i="1" s="1"/>
  <c r="U20" i="1"/>
  <c r="W20" i="1" s="1"/>
  <c r="X20" i="1" s="1"/>
  <c r="S16" i="1"/>
  <c r="T16" i="1" s="1"/>
  <c r="W14" i="1" l="1"/>
  <c r="X14" i="1" s="1"/>
  <c r="B25" i="15"/>
  <c r="L17" i="1"/>
  <c r="Q17" i="1" s="1"/>
  <c r="W17" i="1"/>
  <c r="X17" i="1" s="1"/>
  <c r="T13" i="1"/>
  <c r="Y13" i="1"/>
  <c r="S14" i="1"/>
  <c r="S19" i="1"/>
  <c r="L20" i="1"/>
  <c r="Q20" i="1" s="1"/>
  <c r="Z17" i="1" s="1"/>
  <c r="S17" i="1" l="1"/>
  <c r="T17" i="1" s="1"/>
  <c r="T19" i="1"/>
  <c r="Y16" i="1"/>
  <c r="S20" i="1"/>
  <c r="T14" i="1"/>
  <c r="M19" i="15"/>
  <c r="D62" i="14"/>
  <c r="F6" i="14" s="1"/>
  <c r="D31" i="14"/>
  <c r="C62" i="2"/>
  <c r="C63" i="2"/>
  <c r="C65" i="2" s="1"/>
  <c r="C66" i="2" s="1"/>
  <c r="Y14" i="1" l="1"/>
  <c r="T20" i="1"/>
  <c r="Y17" i="1"/>
  <c r="F12" i="14" l="1"/>
  <c r="F5" i="1" l="1"/>
  <c r="D15" i="11" l="1"/>
  <c r="B66" i="9"/>
  <c r="C66" i="9"/>
  <c r="D107" i="9" l="1"/>
  <c r="D108" i="9"/>
  <c r="D109" i="9"/>
  <c r="D110" i="9"/>
  <c r="D42" i="15" l="1"/>
  <c r="C108" i="14" l="1"/>
  <c r="C107" i="14"/>
  <c r="C106" i="14"/>
  <c r="C105" i="14"/>
  <c r="C104" i="14"/>
  <c r="C103" i="14"/>
  <c r="C102" i="14"/>
  <c r="C101" i="14"/>
  <c r="C100" i="14"/>
  <c r="C97" i="14"/>
  <c r="C96" i="14"/>
  <c r="C95" i="14"/>
  <c r="C92" i="14"/>
  <c r="C91" i="14"/>
  <c r="C90" i="14"/>
  <c r="C89" i="14"/>
  <c r="C88" i="14"/>
  <c r="C87" i="14"/>
  <c r="C86" i="14"/>
  <c r="C85" i="14"/>
  <c r="C82" i="14"/>
  <c r="C81" i="14"/>
  <c r="C80" i="14"/>
  <c r="C79" i="14"/>
  <c r="C78" i="14"/>
  <c r="C77" i="14"/>
  <c r="C74" i="14"/>
  <c r="C73" i="14"/>
  <c r="C72" i="14"/>
  <c r="C71" i="14"/>
  <c r="C70" i="14"/>
  <c r="C69" i="14"/>
  <c r="C68" i="14"/>
  <c r="C76" i="14" l="1"/>
  <c r="D76" i="14" s="1"/>
  <c r="C67" i="14"/>
  <c r="D67" i="14" s="1"/>
  <c r="C99" i="14"/>
  <c r="D99" i="14" s="1"/>
  <c r="C84" i="14"/>
  <c r="D84" i="14" s="1"/>
  <c r="C94" i="14"/>
  <c r="D94" i="14" s="1"/>
  <c r="F27" i="9"/>
  <c r="D50" i="9" s="1"/>
  <c r="B35" i="9"/>
  <c r="D78" i="9"/>
  <c r="C73" i="9"/>
  <c r="C44" i="11"/>
  <c r="B76" i="11"/>
  <c r="B77" i="11"/>
  <c r="B78" i="11"/>
  <c r="D78" i="11" s="1"/>
  <c r="B79" i="11"/>
  <c r="B80" i="11"/>
  <c r="D80" i="11" s="1"/>
  <c r="B81" i="11"/>
  <c r="F81" i="11" s="1"/>
  <c r="B82" i="11"/>
  <c r="D82" i="11" s="1"/>
  <c r="B83" i="11"/>
  <c r="B84" i="11"/>
  <c r="B85" i="11"/>
  <c r="D75" i="11"/>
  <c r="E75" i="11" s="1"/>
  <c r="C110" i="14" l="1"/>
  <c r="D111" i="14" s="1"/>
  <c r="E82" i="11"/>
  <c r="F84" i="11"/>
  <c r="D84" i="11"/>
  <c r="E84" i="11" s="1"/>
  <c r="D77" i="11"/>
  <c r="E77" i="11" s="1"/>
  <c r="F77" i="11"/>
  <c r="E78" i="11"/>
  <c r="D76" i="11"/>
  <c r="E76" i="11" s="1"/>
  <c r="F76" i="11"/>
  <c r="E80" i="11"/>
  <c r="F82" i="11"/>
  <c r="F78" i="11"/>
  <c r="D79" i="11"/>
  <c r="E79" i="11" s="1"/>
  <c r="F79" i="11"/>
  <c r="D85" i="11"/>
  <c r="E85" i="11" s="1"/>
  <c r="F85" i="11"/>
  <c r="D83" i="11"/>
  <c r="E83" i="11" s="1"/>
  <c r="F83" i="11"/>
  <c r="D81" i="11"/>
  <c r="E81" i="11" s="1"/>
  <c r="F80" i="11"/>
  <c r="E86" i="11" l="1"/>
  <c r="F93" i="11" s="1"/>
  <c r="F87" i="11"/>
  <c r="D110" i="14"/>
  <c r="B48" i="9"/>
  <c r="F92" i="11" l="1"/>
  <c r="F91" i="11"/>
  <c r="J6" i="1"/>
  <c r="A14" i="1"/>
  <c r="H14" i="1"/>
  <c r="C32" i="11" s="1"/>
  <c r="C36" i="11" s="1"/>
  <c r="AB14" i="1" s="1"/>
  <c r="C23" i="11"/>
  <c r="G14" i="1"/>
  <c r="F32" i="9" s="1"/>
  <c r="F31" i="9"/>
  <c r="J5" i="1"/>
  <c r="C25" i="11"/>
  <c r="A17" i="1"/>
  <c r="A20" i="1"/>
  <c r="A23" i="1"/>
  <c r="A26" i="1"/>
  <c r="H17" i="1"/>
  <c r="A41" i="1"/>
  <c r="A40" i="1"/>
  <c r="A42" i="1"/>
  <c r="A39" i="1"/>
  <c r="A36" i="1"/>
  <c r="A33" i="1"/>
  <c r="A30" i="1"/>
  <c r="A27" i="1"/>
  <c r="A24" i="1"/>
  <c r="A21" i="1"/>
  <c r="A38" i="1"/>
  <c r="A37" i="1"/>
  <c r="A35" i="1"/>
  <c r="A34" i="1"/>
  <c r="A32" i="1"/>
  <c r="A31" i="1"/>
  <c r="A29" i="1"/>
  <c r="A28" i="1"/>
  <c r="A25" i="1"/>
  <c r="A22" i="1"/>
  <c r="A19" i="1"/>
  <c r="A16" i="1"/>
  <c r="A18" i="1"/>
  <c r="A15" i="1"/>
  <c r="A12" i="1"/>
  <c r="A13" i="1"/>
  <c r="B67" i="9"/>
  <c r="D48" i="9"/>
  <c r="D104" i="9"/>
  <c r="D105" i="9"/>
  <c r="D106" i="9"/>
  <c r="D111" i="9"/>
  <c r="D112" i="9"/>
  <c r="D113" i="9"/>
  <c r="D114" i="9"/>
  <c r="D115" i="9"/>
  <c r="D116" i="9"/>
  <c r="D117" i="9"/>
  <c r="D118" i="9"/>
  <c r="F89" i="11" l="1"/>
  <c r="C17" i="11"/>
  <c r="C18" i="11" s="1"/>
  <c r="AA17" i="1"/>
  <c r="AA14" i="1"/>
  <c r="D38" i="15"/>
  <c r="B21" i="15"/>
  <c r="AB17" i="1"/>
  <c r="J4" i="1"/>
  <c r="K51" i="11"/>
  <c r="K52" i="11" s="1"/>
  <c r="C51" i="11"/>
  <c r="J51" i="11"/>
  <c r="I51" i="11"/>
  <c r="E51" i="11"/>
  <c r="H51" i="11"/>
  <c r="D51" i="11"/>
  <c r="G51" i="11"/>
  <c r="F51" i="11"/>
  <c r="B51" i="11"/>
  <c r="H35" i="1"/>
  <c r="I4" i="11"/>
  <c r="B17" i="15"/>
  <c r="C4" i="11"/>
  <c r="C39" i="11"/>
  <c r="B4" i="11"/>
  <c r="H41" i="1"/>
  <c r="B39" i="11"/>
  <c r="G4" i="11"/>
  <c r="I39" i="11"/>
  <c r="D4" i="11"/>
  <c r="H23" i="1"/>
  <c r="H20" i="1"/>
  <c r="H32" i="1"/>
  <c r="H4" i="11"/>
  <c r="H39" i="11"/>
  <c r="J4" i="11"/>
  <c r="H38" i="1"/>
  <c r="H26" i="1"/>
  <c r="E4" i="11"/>
  <c r="D39" i="11"/>
  <c r="J39" i="11"/>
  <c r="K4" i="11"/>
  <c r="E39" i="11"/>
  <c r="K39" i="11"/>
  <c r="F39" i="11"/>
  <c r="F4" i="11"/>
  <c r="H29" i="1"/>
  <c r="G39" i="11"/>
  <c r="C26" i="11"/>
  <c r="D66" i="9"/>
  <c r="K5" i="11" l="1"/>
  <c r="K7" i="11"/>
  <c r="G5" i="11"/>
  <c r="G7" i="11"/>
  <c r="E5" i="11"/>
  <c r="E7" i="11"/>
  <c r="D5" i="11"/>
  <c r="D7" i="11"/>
  <c r="B5" i="11"/>
  <c r="B7" i="11"/>
  <c r="C5" i="11"/>
  <c r="C7" i="11"/>
  <c r="C10" i="11" s="1"/>
  <c r="C14" i="11" s="1"/>
  <c r="C16" i="11" s="1"/>
  <c r="C42" i="11" s="1"/>
  <c r="C48" i="11" s="1"/>
  <c r="F5" i="11"/>
  <c r="F7" i="11"/>
  <c r="I5" i="11"/>
  <c r="I7" i="11"/>
  <c r="J5" i="11"/>
  <c r="J7" i="11"/>
  <c r="H5" i="11"/>
  <c r="H7" i="11"/>
  <c r="K6" i="11"/>
  <c r="E6" i="11"/>
  <c r="D6" i="11"/>
  <c r="G6" i="11"/>
  <c r="J6" i="11"/>
  <c r="F6" i="11"/>
  <c r="I6" i="11"/>
  <c r="C6" i="11"/>
  <c r="H6" i="11"/>
  <c r="F40" i="11"/>
  <c r="E52" i="11"/>
  <c r="B47" i="15"/>
  <c r="B52" i="11"/>
  <c r="B40" i="11"/>
  <c r="G40" i="11"/>
  <c r="I40" i="11"/>
  <c r="B6" i="11"/>
  <c r="E7" i="14"/>
  <c r="I52" i="11"/>
  <c r="C52" i="11"/>
  <c r="J40" i="11"/>
  <c r="J52" i="11"/>
  <c r="H52" i="11"/>
  <c r="H40" i="11"/>
  <c r="D52" i="11"/>
  <c r="K40" i="11"/>
  <c r="G52" i="11"/>
  <c r="F52" i="11"/>
  <c r="C8" i="15" l="1"/>
  <c r="C57" i="11"/>
  <c r="C58" i="11"/>
  <c r="C40" i="11"/>
  <c r="K25" i="15" l="1"/>
  <c r="L25" i="15"/>
  <c r="L29" i="15"/>
  <c r="K29" i="15"/>
  <c r="K27" i="15"/>
  <c r="L27" i="15"/>
  <c r="C9" i="15"/>
  <c r="J27" i="15" s="1"/>
  <c r="C61" i="11"/>
  <c r="D62" i="11" s="1"/>
  <c r="E40" i="11"/>
  <c r="B48" i="15"/>
  <c r="B20" i="15" l="1"/>
  <c r="D75" i="9"/>
  <c r="D48" i="11" l="1"/>
  <c r="D58" i="14"/>
  <c r="F5" i="14" s="1"/>
  <c r="D43" i="14"/>
  <c r="D5" i="14" s="1"/>
  <c r="E26" i="14"/>
  <c r="E4" i="14" s="1"/>
  <c r="B48" i="11"/>
  <c r="D27" i="14"/>
  <c r="E5" i="14" s="1"/>
  <c r="E42" i="14"/>
  <c r="D4" i="14" s="1"/>
  <c r="E57" i="14"/>
  <c r="F4" i="14" s="1"/>
  <c r="D76" i="9"/>
  <c r="D77" i="9"/>
  <c r="D79" i="9" s="1"/>
  <c r="B34" i="9" s="1"/>
  <c r="B18" i="15"/>
  <c r="B22" i="15"/>
  <c r="B26" i="15" s="1"/>
  <c r="B37" i="9"/>
  <c r="C6" i="15" l="1"/>
  <c r="C44" i="9"/>
  <c r="C45" i="9" s="1"/>
  <c r="B39" i="9"/>
  <c r="C50" i="9" s="1"/>
  <c r="B62" i="9"/>
  <c r="C43" i="9"/>
  <c r="B49" i="15"/>
  <c r="C48" i="9" l="1"/>
  <c r="B24" i="9" s="1"/>
  <c r="B27" i="9" s="1"/>
  <c r="B50" i="9" s="1"/>
  <c r="E23" i="15"/>
  <c r="C23" i="15"/>
  <c r="D23" i="15"/>
  <c r="F23" i="15"/>
  <c r="D36" i="15" l="1"/>
  <c r="E48" i="9"/>
  <c r="C49" i="9" s="1"/>
  <c r="D49" i="9" l="1"/>
  <c r="B49" i="9"/>
  <c r="E50" i="9" l="1"/>
  <c r="C9" i="9" s="1"/>
  <c r="C12" i="9" s="1"/>
  <c r="E49" i="9"/>
  <c r="L28" i="15"/>
  <c r="K28" i="15"/>
  <c r="F27" i="15" l="1"/>
  <c r="D27" i="15"/>
  <c r="E27" i="15"/>
  <c r="C27" i="15"/>
  <c r="E28" i="15" l="1"/>
  <c r="C28" i="15"/>
  <c r="D28" i="15"/>
  <c r="D40" i="11"/>
  <c r="C43" i="11" s="1"/>
  <c r="E9" i="14" l="1"/>
  <c r="C5" i="15" l="1"/>
  <c r="D9" i="14"/>
  <c r="F9" i="14"/>
  <c r="E6" i="14"/>
  <c r="L19" i="15" l="1"/>
  <c r="K19" i="15"/>
  <c r="J19" i="15"/>
  <c r="C19" i="15"/>
  <c r="D19" i="15"/>
  <c r="H19" i="15"/>
  <c r="F19" i="15"/>
  <c r="I19" i="15"/>
  <c r="E19" i="15"/>
  <c r="G19" i="15"/>
  <c r="C7" i="15"/>
  <c r="M23" i="15" s="1"/>
  <c r="L23" i="15" l="1"/>
  <c r="J23" i="15"/>
  <c r="K23" i="15"/>
  <c r="G23" i="15"/>
  <c r="I23" i="15"/>
  <c r="H23" i="15"/>
  <c r="K17" i="15" l="1"/>
  <c r="K22" i="15"/>
  <c r="L22" i="15"/>
  <c r="L26" i="15" s="1"/>
  <c r="L17" i="15"/>
  <c r="L24" i="15" s="1"/>
  <c r="K47" i="15"/>
  <c r="K24" i="15" l="1"/>
  <c r="K26" i="15" s="1"/>
  <c r="L47" i="15" l="1"/>
  <c r="K48" i="15" l="1"/>
  <c r="L48" i="15" l="1"/>
  <c r="L49" i="15" s="1"/>
  <c r="K49" i="15"/>
  <c r="C67" i="9" l="1"/>
  <c r="D67" i="9" s="1"/>
  <c r="C15" i="9" s="1"/>
  <c r="C18" i="9" s="1"/>
  <c r="F10" i="14" l="1"/>
  <c r="E10" i="14"/>
  <c r="M27" i="15"/>
  <c r="D46" i="14"/>
  <c r="M49" i="15"/>
  <c r="F28" i="15"/>
  <c r="I27" i="15" l="1"/>
  <c r="H27" i="15"/>
  <c r="G27" i="15"/>
  <c r="D10" i="14"/>
  <c r="D47" i="14"/>
  <c r="D6" i="14" s="1"/>
  <c r="G28" i="15" l="1"/>
  <c r="J28" i="15"/>
  <c r="H28" i="15"/>
  <c r="I28" i="15"/>
  <c r="F13" i="14" l="1"/>
  <c r="D13" i="14" l="1"/>
  <c r="C20" i="15"/>
  <c r="C17" i="15" s="1"/>
  <c r="C24" i="15" s="1"/>
  <c r="D20" i="15" l="1"/>
  <c r="C22" i="15"/>
  <c r="C25" i="15" s="1"/>
  <c r="C26" i="15" l="1"/>
  <c r="C29" i="15" s="1"/>
  <c r="D17" i="15"/>
  <c r="D24" i="15" s="1"/>
  <c r="D22" i="15"/>
  <c r="E20" i="15"/>
  <c r="D25" i="15" l="1"/>
  <c r="E17" i="15"/>
  <c r="E24" i="15" s="1"/>
  <c r="F20" i="15"/>
  <c r="E22" i="15"/>
  <c r="C48" i="15"/>
  <c r="E25" i="15" l="1"/>
  <c r="E47" i="15" s="1"/>
  <c r="D48" i="15"/>
  <c r="D49" i="15" s="1"/>
  <c r="F17" i="15"/>
  <c r="F24" i="15" s="1"/>
  <c r="G20" i="15"/>
  <c r="F22" i="15"/>
  <c r="C49" i="15"/>
  <c r="C47" i="15"/>
  <c r="D47" i="15"/>
  <c r="D26" i="15"/>
  <c r="D29" i="15" s="1"/>
  <c r="E16" i="15"/>
  <c r="D16" i="15"/>
  <c r="C16" i="15"/>
  <c r="K20" i="15"/>
  <c r="L20" i="15"/>
  <c r="L16" i="15"/>
  <c r="K16" i="15"/>
  <c r="F25" i="15" l="1"/>
  <c r="E26" i="15"/>
  <c r="E29" i="15" s="1"/>
  <c r="E48" i="15"/>
  <c r="E49" i="15" s="1"/>
  <c r="F16" i="15"/>
  <c r="G17" i="15"/>
  <c r="G22" i="15"/>
  <c r="H20" i="15"/>
  <c r="F48" i="15" l="1"/>
  <c r="F49" i="15" s="1"/>
  <c r="F26" i="15"/>
  <c r="F29" i="15" s="1"/>
  <c r="F47" i="15"/>
  <c r="H17" i="15"/>
  <c r="I20" i="15"/>
  <c r="J20" i="15" s="1"/>
  <c r="H22" i="15"/>
  <c r="G24" i="15"/>
  <c r="G25" i="15" s="1"/>
  <c r="G16" i="15"/>
  <c r="M20" i="15"/>
  <c r="J17" i="15" l="1"/>
  <c r="J22" i="15"/>
  <c r="M22" i="15"/>
  <c r="M17" i="15"/>
  <c r="G48" i="15"/>
  <c r="G26" i="15"/>
  <c r="G29" i="15" s="1"/>
  <c r="G47" i="15"/>
  <c r="I22" i="15"/>
  <c r="I17" i="15"/>
  <c r="H24" i="15"/>
  <c r="H25" i="15" s="1"/>
  <c r="H16" i="15"/>
  <c r="M24" i="15"/>
  <c r="J24" i="15" l="1"/>
  <c r="J25" i="15" s="1"/>
  <c r="J16" i="15"/>
  <c r="H26" i="15"/>
  <c r="H29" i="15" s="1"/>
  <c r="H47" i="15"/>
  <c r="I24" i="15"/>
  <c r="I25" i="15" s="1"/>
  <c r="I16" i="15"/>
  <c r="H48" i="15"/>
  <c r="G49" i="15"/>
  <c r="M25" i="15"/>
  <c r="M26" i="15" s="1"/>
  <c r="M16" i="15"/>
  <c r="D33" i="15"/>
  <c r="J47" i="15" l="1"/>
  <c r="J26" i="15"/>
  <c r="J29" i="15" s="1"/>
  <c r="I47" i="15"/>
  <c r="H49" i="15"/>
  <c r="I26" i="15" l="1"/>
  <c r="I29" i="15" s="1"/>
  <c r="D32" i="15" s="1"/>
  <c r="I48" i="15"/>
  <c r="I49" i="15" l="1"/>
  <c r="J48" i="15"/>
  <c r="J49" i="15" s="1"/>
  <c r="D34" i="15"/>
  <c r="D37" i="15" l="1"/>
  <c r="D40" i="15" s="1"/>
  <c r="E41" i="15" s="1"/>
  <c r="C32" i="15"/>
  <c r="C33" i="15" s="1"/>
  <c r="E42" i="15" l="1"/>
  <c r="G44" i="15" s="1"/>
  <c r="H44" i="15" s="1"/>
  <c r="E13" i="14" l="1"/>
  <c r="E14" i="14" s="1"/>
  <c r="L4" i="1" l="1"/>
  <c r="L5" i="1"/>
  <c r="L6" i="1"/>
  <c r="L7" i="1"/>
  <c r="D1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Jerry</author>
    <author>Microsoft Office User</author>
  </authors>
  <commentList>
    <comment ref="I5" authorId="0" shapeId="0" xr:uid="{88771617-7DCD-4FCB-A142-221D45A148F8}">
      <text>
        <r>
          <rPr>
            <b/>
            <sz val="9"/>
            <color indexed="81"/>
            <rFont val="Tahoma"/>
            <family val="2"/>
          </rPr>
          <t>Jerry:</t>
        </r>
        <r>
          <rPr>
            <sz val="9"/>
            <color indexed="81"/>
            <rFont val="Tahoma"/>
            <family val="2"/>
          </rPr>
          <t xml:space="preserve">
B here refers to the operating assets BV instead of the total assets BV</t>
        </r>
      </text>
    </comment>
    <comment ref="D11" authorId="1" shapeId="0" xr:uid="{06915890-B319-4EBA-970A-C92E0F652ED0}">
      <text>
        <r>
          <rPr>
            <b/>
            <sz val="9"/>
            <color indexed="81"/>
            <rFont val="Tahoma"/>
            <family val="2"/>
          </rPr>
          <t>Jerry:</t>
        </r>
        <r>
          <rPr>
            <sz val="9"/>
            <color indexed="81"/>
            <rFont val="Tahoma"/>
            <family val="2"/>
          </rPr>
          <t xml:space="preserve">
Adjusted EBIT = EBIT - Pre-tax Interest Income on Cash and Marketable Securities - non operating income like gain/loss from investments</t>
        </r>
      </text>
    </comment>
    <comment ref="G11" authorId="1" shapeId="0" xr:uid="{91B07E55-002A-4FFF-8C37-7693DC641F6A}">
      <text>
        <r>
          <rPr>
            <b/>
            <sz val="9"/>
            <color indexed="81"/>
            <rFont val="Tahoma"/>
            <family val="2"/>
          </rPr>
          <t>Jerry:</t>
        </r>
        <r>
          <rPr>
            <sz val="9"/>
            <color indexed="81"/>
            <rFont val="Tahoma"/>
            <family val="2"/>
          </rPr>
          <t xml:space="preserve">
Should not include interest income and capitalized interest</t>
        </r>
      </text>
    </comment>
    <comment ref="H11" authorId="2" shapeId="0" xr:uid="{00000000-0006-0000-0100-000002000000}">
      <text>
        <r>
          <rPr>
            <b/>
            <sz val="10"/>
            <color indexed="81"/>
            <rFont val="Calibri"/>
            <family val="2"/>
          </rPr>
          <t>Jerry:</t>
        </r>
        <r>
          <rPr>
            <sz val="10"/>
            <color indexed="81"/>
            <rFont val="Calibri"/>
            <family val="2"/>
          </rPr>
          <t xml:space="preserve">
for use on operating income</t>
        </r>
      </text>
    </comment>
    <comment ref="L11" authorId="2" shapeId="0" xr:uid="{00000000-0006-0000-0100-000003000000}">
      <text>
        <r>
          <rPr>
            <b/>
            <sz val="10"/>
            <color indexed="81"/>
            <rFont val="Calibri"/>
            <family val="2"/>
          </rPr>
          <t>Jerry:</t>
        </r>
        <r>
          <rPr>
            <sz val="10"/>
            <color indexed="81"/>
            <rFont val="Calibri"/>
            <family val="2"/>
          </rPr>
          <t xml:space="preserve">
Short-term liabilities resulting from the primary business operations are non-interest bearing and comprise of accounts payable, accrued expenses, and income tax payable. 
When I Doubt, Leave it Out!
Check the </t>
        </r>
        <r>
          <rPr>
            <b/>
            <sz val="10"/>
            <color indexed="81"/>
            <rFont val="Calibri"/>
            <family val="2"/>
          </rPr>
          <t>Reconciliation of liabilities arising from financing activities</t>
        </r>
      </text>
    </comment>
    <comment ref="M11" authorId="1" shapeId="0" xr:uid="{82DC4247-7147-47AC-A499-6352F856DCE8}">
      <text>
        <r>
          <rPr>
            <b/>
            <sz val="9"/>
            <color indexed="81"/>
            <rFont val="Tahoma"/>
            <family val="2"/>
          </rPr>
          <t>Jerry:</t>
        </r>
        <r>
          <rPr>
            <sz val="9"/>
            <color indexed="81"/>
            <rFont val="Tahoma"/>
            <family val="2"/>
          </rPr>
          <t xml:space="preserve">
Mainly used to calculate the ROC</t>
        </r>
      </text>
    </comment>
    <comment ref="O11" authorId="1" shapeId="0" xr:uid="{62A8B03B-7E5A-43F0-9932-7BC05221E5AF}">
      <text>
        <r>
          <rPr>
            <b/>
            <sz val="9"/>
            <color indexed="81"/>
            <rFont val="Tahoma"/>
            <family val="2"/>
          </rPr>
          <t>Jerry:</t>
        </r>
        <r>
          <rPr>
            <sz val="9"/>
            <color indexed="81"/>
            <rFont val="Tahoma"/>
            <family val="2"/>
          </rPr>
          <t xml:space="preserve">
You may also find it at Cash flow statement.</t>
        </r>
      </text>
    </comment>
    <comment ref="S11" authorId="1" shapeId="0" xr:uid="{570AC119-039D-4DA1-9751-BA4896ADD722}">
      <text>
        <r>
          <rPr>
            <b/>
            <sz val="9"/>
            <color indexed="81"/>
            <rFont val="Tahoma"/>
            <family val="2"/>
          </rPr>
          <t>Jerry:</t>
        </r>
        <r>
          <rPr>
            <sz val="9"/>
            <color indexed="81"/>
            <rFont val="Tahoma"/>
            <family val="2"/>
          </rPr>
          <t xml:space="preserve">
non-cash working capital is a much better measure of cash tied in working capital
NON-Cash WC = Current Asset - Cash and Cash equevelient - NonInterest Bearing Current Liability
Non-Interest-Bearing Current Liability = Current Liabilities - interest-bearing debt</t>
        </r>
      </text>
    </comment>
    <comment ref="U11" authorId="2" shapeId="0" xr:uid="{00000000-0006-0000-0100-000005000000}">
      <text>
        <r>
          <rPr>
            <b/>
            <sz val="10"/>
            <color indexed="81"/>
            <rFont val="Calibri"/>
            <family val="2"/>
          </rPr>
          <t>Jerry:</t>
        </r>
        <r>
          <rPr>
            <sz val="10"/>
            <color indexed="81"/>
            <rFont val="Calibri"/>
            <family val="2"/>
          </rPr>
          <t xml:space="preserve">
Aka Capital Spending 
Only expenses associated with creating revenues in the current period should be treated as operating expenses. 
Two Approaches to obtain Capex:
Direct method (obtained from CF Statement):
Amount spent on asset
Less: Value received for assets that were sold
= CapEx
Indirect Method:
PP&amp;E Balance in the current period
Less: PP&amp;E balance in the previous period
Plus: Depreciation in the current period
= CapEx
Should include the net Acquisitions of other firms</t>
        </r>
      </text>
    </comment>
    <comment ref="Y11" authorId="0" shapeId="0" xr:uid="{85E263F7-634D-4348-AC1F-17951829A8A4}">
      <text>
        <r>
          <rPr>
            <b/>
            <sz val="9"/>
            <color indexed="81"/>
            <rFont val="Tahoma"/>
            <family val="2"/>
          </rPr>
          <t>Jerry:</t>
        </r>
        <r>
          <rPr>
            <sz val="9"/>
            <color indexed="81"/>
            <rFont val="Tahoma"/>
            <family val="2"/>
          </rPr>
          <t xml:space="preserve">
WCInv = Change in Non-Cash WC</t>
        </r>
      </text>
    </comment>
    <comment ref="Z11" authorId="1" shapeId="0" xr:uid="{ED9571A1-1063-4F00-AA07-CD033F136C92}">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 ref="AA11" authorId="1" shapeId="0" xr:uid="{221307D4-429C-4438-907F-D9171254E6ED}">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 ref="AB11" authorId="2" shapeId="0" xr:uid="{00000000-0006-0000-0100-000006000000}">
      <text>
        <r>
          <rPr>
            <b/>
            <sz val="10"/>
            <color indexed="81"/>
            <rFont val="Calibri"/>
            <family val="2"/>
          </rPr>
          <t xml:space="preserve">Jerry: </t>
        </r>
        <r>
          <rPr>
            <sz val="10"/>
            <color indexed="81"/>
            <rFont val="Calibri"/>
            <family val="2"/>
          </rPr>
          <t xml:space="preserve">
Reinvestment Rate = (Net Capex + WCInv)/NOPAT
NOPAT=EBIT(1-t)
Net Capex=(Capex-D&amp;A)
The percentage of NOPAT that is reinvested through current year Net Capex.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Aswath Damodaran</author>
    <author>Microsoft Office User</author>
    <author>Jerry</author>
  </authors>
  <commentList>
    <comment ref="A10" authorId="0" shapeId="0" xr:uid="{AD441BF8-0492-425C-8CD9-B5A22574DD6C}">
      <text>
        <r>
          <rPr>
            <b/>
            <sz val="9"/>
            <color indexed="81"/>
            <rFont val="Tahoma"/>
            <family val="2"/>
          </rPr>
          <t>Jerry:</t>
        </r>
        <r>
          <rPr>
            <sz val="9"/>
            <color indexed="81"/>
            <rFont val="Tahoma"/>
            <family val="2"/>
          </rPr>
          <t xml:space="preserve">
1. Company Pre-tax ROC
2. Sector Pre-tax ROC</t>
        </r>
      </text>
    </comment>
    <comment ref="G10" authorId="1" shapeId="0" xr:uid="{00000000-0006-0000-05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A11" authorId="0" shapeId="0" xr:uid="{305BEED0-6071-4CB6-AC5F-245A5E3A7F5C}">
      <text>
        <r>
          <rPr>
            <b/>
            <sz val="9"/>
            <color indexed="81"/>
            <rFont val="Tahoma"/>
            <family val="2"/>
          </rPr>
          <t>Jerry:</t>
        </r>
        <r>
          <rPr>
            <sz val="9"/>
            <color indexed="81"/>
            <rFont val="Tahoma"/>
            <family val="2"/>
          </rPr>
          <t xml:space="preserve">
1. Company Margin
2. Sector Margin</t>
        </r>
      </text>
    </comment>
    <comment ref="C11" authorId="1" shapeId="0" xr:uid="{00000000-0006-0000-05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A15" authorId="2" shapeId="0" xr:uid="{00000000-0006-0000-0000-000005000000}">
      <text>
        <r>
          <rPr>
            <b/>
            <sz val="10"/>
            <color indexed="81"/>
            <rFont val="Calibri"/>
            <family val="2"/>
          </rPr>
          <t xml:space="preserve">Jerry:
</t>
        </r>
        <r>
          <rPr>
            <sz val="10"/>
            <color indexed="81"/>
            <rFont val="Calibri"/>
            <family val="2"/>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C15" authorId="2" shapeId="0" xr:uid="{00000000-0006-0000-0000-000006000000}">
      <text>
        <r>
          <rPr>
            <b/>
            <sz val="10"/>
            <color indexed="81"/>
            <rFont val="Calibri"/>
            <family val="2"/>
          </rPr>
          <t>Jerry:</t>
        </r>
        <r>
          <rPr>
            <sz val="10"/>
            <color indexed="81"/>
            <rFont val="Calibri"/>
            <family val="2"/>
          </rPr>
          <t xml:space="preserve">
Please input your numbers into R&amp;D converter worksheet</t>
        </r>
      </text>
    </comment>
    <comment ref="E17" authorId="3" shapeId="0" xr:uid="{070D08AD-24C8-425E-A827-0AF7815CD74E}">
      <text>
        <r>
          <rPr>
            <b/>
            <sz val="9"/>
            <color indexed="81"/>
            <rFont val="Tahoma"/>
            <family val="2"/>
          </rPr>
          <t>Jerry:</t>
        </r>
        <r>
          <rPr>
            <sz val="9"/>
            <color indexed="81"/>
            <rFont val="Tahoma"/>
            <family val="2"/>
          </rPr>
          <t xml:space="preserve">
If you are not working in US dollars, you should add the inflation differential to the industry averages.</t>
        </r>
      </text>
    </comment>
    <comment ref="C22" authorId="2" shapeId="0" xr:uid="{00000000-0006-0000-0000-000009000000}">
      <text>
        <r>
          <rPr>
            <b/>
            <sz val="10"/>
            <color indexed="81"/>
            <rFont val="Calibri"/>
            <family val="2"/>
          </rPr>
          <t>Jerry:</t>
        </r>
        <r>
          <rPr>
            <sz val="10"/>
            <color indexed="81"/>
            <rFont val="Calibri"/>
            <family val="2"/>
          </rPr>
          <t xml:space="preserve">
The beginning-of-year BV is more appropriate when examining ROE for a number of years or when the BV is stable, while the average BV is more appropriate when BV is volatile.
Note that you should be consistent with the method of BV. </t>
        </r>
      </text>
    </comment>
    <comment ref="A23" authorId="3" shapeId="0" xr:uid="{2E544AB5-DA95-496D-9B71-2A43C7ED5723}">
      <text>
        <r>
          <rPr>
            <b/>
            <sz val="9"/>
            <color indexed="81"/>
            <rFont val="Tahoma"/>
            <family val="2"/>
          </rPr>
          <t>Jerry:</t>
        </r>
        <r>
          <rPr>
            <sz val="9"/>
            <color indexed="81"/>
            <rFont val="Tahoma"/>
            <family val="2"/>
          </rPr>
          <t xml:space="preserve">
Debt should not include Non-interesting bearing Debt like AP or supplier credit in finance!</t>
        </r>
      </text>
    </comment>
    <comment ref="C23" authorId="2" shapeId="0" xr:uid="{00000000-0006-0000-0000-00000A000000}">
      <text>
        <r>
          <rPr>
            <b/>
            <sz val="10"/>
            <color indexed="81"/>
            <rFont val="Calibri"/>
            <family val="2"/>
          </rPr>
          <t>Jerry:</t>
        </r>
        <r>
          <rPr>
            <sz val="10"/>
            <color indexed="81"/>
            <rFont val="Calibri"/>
            <family val="2"/>
          </rPr>
          <t xml:space="preserve">
I use the average book value of debt from the beginning and end of current year to compute return on capital.</t>
        </r>
      </text>
    </comment>
    <comment ref="C24" authorId="2" shapeId="0" xr:uid="{00000000-0006-0000-0000-00000B000000}">
      <text>
        <r>
          <rPr>
            <b/>
            <sz val="10"/>
            <color indexed="81"/>
            <rFont val="Calibri"/>
            <family val="2"/>
          </rPr>
          <t>Jerry:</t>
        </r>
        <r>
          <rPr>
            <sz val="10"/>
            <color indexed="81"/>
            <rFont val="Calibri"/>
            <family val="2"/>
          </rPr>
          <t xml:space="preserve">
I use the average book value of equity from the beginning and end of current year to compute return on capital.</t>
        </r>
      </text>
    </comment>
    <comment ref="E24" authorId="3" shapeId="0" xr:uid="{18A432B5-556C-4556-94BA-E1A24D63DD21}">
      <text>
        <r>
          <rPr>
            <b/>
            <sz val="9"/>
            <color indexed="81"/>
            <rFont val="Tahoma"/>
            <family val="2"/>
          </rPr>
          <t>Jerry:</t>
        </r>
        <r>
          <rPr>
            <sz val="9"/>
            <color indexed="81"/>
            <rFont val="Tahoma"/>
            <family val="2"/>
          </rPr>
          <t xml:space="preserve">
ROIC = NOPAT/(BV of Capital - Cash)
is different from ROA</t>
        </r>
      </text>
    </comment>
    <comment ref="A36" authorId="3" shapeId="0" xr:uid="{BD2AC984-571D-4683-A3EC-5D05D6828986}">
      <text>
        <r>
          <rPr>
            <b/>
            <sz val="9"/>
            <color indexed="81"/>
            <rFont val="Tahoma"/>
            <family val="2"/>
          </rPr>
          <t>Jerry:</t>
        </r>
        <r>
          <rPr>
            <sz val="9"/>
            <color indexed="81"/>
            <rFont val="Tahoma"/>
            <family val="2"/>
          </rPr>
          <t xml:space="preserve">
Inversely related to After Tax Roc
Positively related to After Tax Reinvestment Rate</t>
        </r>
      </text>
    </comment>
    <comment ref="A42" authorId="3" shapeId="0" xr:uid="{3327AC4B-3E53-4578-B111-1A86C7F34859}">
      <text>
        <r>
          <rPr>
            <b/>
            <sz val="9"/>
            <color indexed="81"/>
            <rFont val="Tahoma"/>
            <family val="2"/>
          </rPr>
          <t>Jerry:</t>
        </r>
        <r>
          <rPr>
            <sz val="9"/>
            <color indexed="81"/>
            <rFont val="Tahoma"/>
            <family val="2"/>
          </rPr>
          <t xml:space="preserve">
ROC After Tax = NOPAT/Operating Capital</t>
        </r>
      </text>
    </comment>
    <comment ref="C42" authorId="3" shapeId="0" xr:uid="{2D14B5EC-AF76-4AE6-A940-29B2F5168080}">
      <text>
        <r>
          <rPr>
            <b/>
            <sz val="9"/>
            <color indexed="81"/>
            <rFont val="Tahoma"/>
            <family val="2"/>
          </rPr>
          <t>Jerry:</t>
        </r>
        <r>
          <rPr>
            <sz val="9"/>
            <color indexed="81"/>
            <rFont val="Tahoma"/>
            <family val="2"/>
          </rPr>
          <t xml:space="preserve">
The investments made during the course of a year will generally not start generating earnings during the year, we divide the operating income for the year by the capital invested at the beginning of the year. </t>
        </r>
      </text>
    </comment>
    <comment ref="B47" authorId="3" shapeId="0" xr:uid="{ABD4A1CB-D7A4-4F43-AB77-5CA4BB62C7C2}">
      <text>
        <r>
          <rPr>
            <b/>
            <sz val="9"/>
            <color indexed="81"/>
            <rFont val="Tahoma"/>
            <family val="2"/>
          </rPr>
          <t>Jerry:</t>
        </r>
        <r>
          <rPr>
            <sz val="9"/>
            <color indexed="81"/>
            <rFont val="Tahoma"/>
            <family val="2"/>
          </rPr>
          <t xml:space="preserve">
You can use percentage to estimate the Bear and Bull Cases</t>
        </r>
      </text>
    </comment>
    <comment ref="A62" authorId="3" shapeId="0" xr:uid="{203124C6-3794-4821-9623-8BE835474B5B}">
      <text>
        <r>
          <rPr>
            <b/>
            <sz val="9"/>
            <color indexed="81"/>
            <rFont val="Tahoma"/>
            <family val="2"/>
          </rPr>
          <t>Jerry:</t>
        </r>
        <r>
          <rPr>
            <sz val="9"/>
            <color indexed="81"/>
            <rFont val="Tahoma"/>
            <family val="2"/>
          </rPr>
          <t xml:space="preserve">
Chg. WC=(Current Revenue - last year Revenue) * WC/Sales</t>
        </r>
      </text>
    </comment>
    <comment ref="A63" authorId="0" shapeId="0" xr:uid="{44A543EF-356F-42CC-8B41-A2E147EBED89}">
      <text>
        <r>
          <rPr>
            <b/>
            <sz val="9"/>
            <color indexed="81"/>
            <rFont val="Tahoma"/>
            <family val="2"/>
          </rPr>
          <t>Jerry:</t>
        </r>
        <r>
          <rPr>
            <sz val="9"/>
            <color indexed="81"/>
            <rFont val="Tahoma"/>
            <family val="2"/>
          </rPr>
          <t xml:space="preserve">
Reinvestment_Rate = (Net_Capex+WCInv)/NOPAT</t>
        </r>
      </text>
    </comment>
    <comment ref="C66" authorId="2" shapeId="0" xr:uid="{00000000-0006-0000-0000-00000F000000}">
      <text>
        <r>
          <rPr>
            <b/>
            <sz val="10"/>
            <color indexed="81"/>
            <rFont val="Calibri"/>
            <family val="2"/>
          </rPr>
          <t>Jerry:</t>
        </r>
        <r>
          <rPr>
            <sz val="10"/>
            <color indexed="81"/>
            <rFont val="Calibri"/>
            <family val="2"/>
          </rPr>
          <t xml:space="preserve">
You can assume your WC as a percent of revenue is the same as the input in the high growth period. 
Alternatively, you can compare it with the industry average.
Note: this value actually doesn't affect the final value, so there is no need to spend a lot of time estimating.</t>
        </r>
      </text>
    </comment>
    <comment ref="C89" authorId="2" shapeId="0" xr:uid="{00000000-0006-0000-0600-000001000000}">
      <text>
        <r>
          <rPr>
            <b/>
            <sz val="10"/>
            <color indexed="81"/>
            <rFont val="Calibri"/>
            <family val="2"/>
          </rPr>
          <t>Jerry:</t>
        </r>
        <r>
          <rPr>
            <sz val="10"/>
            <color indexed="81"/>
            <rFont val="Calibri"/>
            <family val="2"/>
          </rPr>
          <t xml:space="preserve">
This Tax Effect should be added back to the adjusted Operating Income in the ROIC calculation.</t>
        </r>
      </text>
    </comment>
    <comment ref="F89" authorId="1" shapeId="0" xr:uid="{00000000-0006-0000-0600-000002000000}">
      <text>
        <r>
          <rPr>
            <b/>
            <sz val="9"/>
            <color indexed="81"/>
            <rFont val="Geneva"/>
            <family val="2"/>
          </rPr>
          <t>Aswath Damodaran:</t>
        </r>
        <r>
          <rPr>
            <sz val="9"/>
            <color indexed="81"/>
            <rFont val="Geneva"/>
            <family val="2"/>
          </rPr>
          <t xml:space="preserve">
By expensing R&amp;D rather than capitalizing it, R&amp;D expense million is tax-deductible.</t>
        </r>
      </text>
    </comment>
    <comment ref="C92" authorId="0" shapeId="0" xr:uid="{7179DE5B-2540-4B32-8907-E3B2302AC4EB}">
      <text>
        <r>
          <rPr>
            <b/>
            <sz val="9"/>
            <color indexed="81"/>
            <rFont val="Tahoma"/>
            <family val="2"/>
          </rPr>
          <t>Jerry:</t>
        </r>
        <r>
          <rPr>
            <sz val="9"/>
            <color indexed="81"/>
            <rFont val="Tahoma"/>
            <family val="2"/>
          </rPr>
          <t xml:space="preserve">
1. Add back the R&amp;D Expenses
2. Subtract out the amortization Adjustment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s>
  <commentList>
    <comment ref="B9" authorId="0" shapeId="0" xr:uid="{00000000-0006-0000-0200-000005000000}">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B14" authorId="1" shapeId="0" xr:uid="{EB5BC7EF-837F-42ED-8015-5C4277E83B62}">
      <text>
        <r>
          <rPr>
            <b/>
            <sz val="9"/>
            <color indexed="81"/>
            <rFont val="Tahoma"/>
            <family val="2"/>
          </rPr>
          <t>Jerry:</t>
        </r>
        <r>
          <rPr>
            <sz val="9"/>
            <color indexed="81"/>
            <rFont val="Tahoma"/>
            <family val="2"/>
          </rPr>
          <t xml:space="preserve">
It is the best to adjust this value with a margin of safty discount.
In Normal market: 15%
In Bearish market: 25%
In Bull market: 10%</t>
        </r>
      </text>
    </comment>
    <comment ref="B16" authorId="1" shapeId="0" xr:uid="{395096E0-9A58-439E-B43E-8000DA652913}">
      <text>
        <r>
          <rPr>
            <b/>
            <sz val="9"/>
            <color indexed="81"/>
            <rFont val="Tahoma"/>
            <family val="2"/>
          </rPr>
          <t>Jerry:</t>
        </r>
        <r>
          <rPr>
            <sz val="9"/>
            <color indexed="81"/>
            <rFont val="Tahoma"/>
            <family val="2"/>
          </rPr>
          <t xml:space="preserve">
EBIT growth rate during stable growth period</t>
        </r>
      </text>
    </comment>
    <comment ref="B17" authorId="1" shapeId="0" xr:uid="{C25172E8-9F66-490A-BB12-D52B4CA7EFAD}">
      <text>
        <r>
          <rPr>
            <b/>
            <sz val="9"/>
            <color indexed="81"/>
            <rFont val="Tahoma"/>
            <family val="2"/>
          </rPr>
          <t>Jerry:</t>
        </r>
        <r>
          <rPr>
            <sz val="9"/>
            <color indexed="81"/>
            <rFont val="Tahoma"/>
            <family val="2"/>
          </rPr>
          <t xml:space="preserve">
This is a growth rate that is sustainable forever. It should be less than or equal to the growth rate of the economy (defined in real or nominal terms).</t>
        </r>
      </text>
    </comment>
    <comment ref="D17" authorId="2" shapeId="0" xr:uid="{00000000-0006-0000-0000-000016000000}">
      <text>
        <r>
          <rPr>
            <b/>
            <sz val="9"/>
            <color indexed="81"/>
            <rFont val="Geneva"/>
            <family val="2"/>
          </rPr>
          <t>Aswath Damodaran:</t>
        </r>
        <r>
          <rPr>
            <sz val="9"/>
            <color indexed="81"/>
            <rFont val="Geneva"/>
            <family val="2"/>
          </rPr>
          <t xml:space="preserve">
The risk free rate is a good proxy for the growth rate in the economy. </t>
        </r>
      </text>
    </comment>
    <comment ref="B19" authorId="1" shapeId="0" xr:uid="{1DCEBC24-E71E-4907-A1F3-8D0688C0CD08}">
      <text>
        <r>
          <rPr>
            <b/>
            <sz val="9"/>
            <color indexed="81"/>
            <rFont val="Tahoma"/>
            <family val="2"/>
          </rPr>
          <t>Jerry:</t>
        </r>
        <r>
          <rPr>
            <sz val="9"/>
            <color indexed="81"/>
            <rFont val="Tahoma"/>
            <family val="2"/>
          </rPr>
          <t xml:space="preserve">
(Based on Fundamentals)</t>
        </r>
      </text>
    </comment>
    <comment ref="F26" authorId="1" shapeId="0" xr:uid="{AE15AD5E-3811-47CE-BBD7-F3D9A37D63E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30" authorId="2" shapeId="0" xr:uid="{00000000-0006-0000-0000-000018000000}">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E30" authorId="1" shapeId="0" xr:uid="{5FAF3E88-181F-48CD-A1F0-FDF8A2372A2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B31" authorId="1" shapeId="0" xr:uid="{F9905715-FECC-46EF-9861-FC51C4B191C6}">
      <text>
        <r>
          <rPr>
            <b/>
            <sz val="9"/>
            <color indexed="81"/>
            <rFont val="Tahoma"/>
            <family val="2"/>
          </rPr>
          <t>Jerry:</t>
        </r>
        <r>
          <rPr>
            <sz val="9"/>
            <color indexed="81"/>
            <rFont val="Tahoma"/>
            <family val="2"/>
          </rPr>
          <t xml:space="preserve">
Expected Reinvestment = Growth rate/ROC</t>
        </r>
      </text>
    </comment>
    <comment ref="D31" authorId="1" shapeId="0" xr:uid="{3278ACD7-4374-4D94-AA77-ADB218C9D08C}">
      <text>
        <r>
          <rPr>
            <b/>
            <sz val="9"/>
            <color indexed="81"/>
            <rFont val="Tahoma"/>
            <family val="2"/>
          </rPr>
          <t>Jerry:</t>
        </r>
        <r>
          <rPr>
            <sz val="9"/>
            <color indexed="81"/>
            <rFont val="Tahoma"/>
            <family val="2"/>
          </rPr>
          <t xml:space="preserve">
The Reinvestment rate is inversely related to the ROC.</t>
        </r>
      </text>
    </comment>
    <comment ref="D46" authorId="2" shapeId="0" xr:uid="{DE25FC79-1118-48B6-A939-79CE243AA67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47" authorId="1" shapeId="0" xr:uid="{3AB8C419-A455-469E-87B6-1A71CB6A8641}">
      <text>
        <r>
          <rPr>
            <b/>
            <sz val="9"/>
            <color indexed="81"/>
            <rFont val="Tahoma"/>
            <family val="2"/>
          </rPr>
          <t>Jerry:</t>
        </r>
        <r>
          <rPr>
            <sz val="9"/>
            <color indexed="81"/>
            <rFont val="Tahoma"/>
            <family val="2"/>
          </rPr>
          <t xml:space="preserve">
Expected Reinvestment = Growth rate/ROC</t>
        </r>
      </text>
    </comment>
    <comment ref="D47" authorId="1" shapeId="0" xr:uid="{1CEDF03B-AC7B-4FE1-B9A3-D1E1964569E2}">
      <text>
        <r>
          <rPr>
            <b/>
            <sz val="9"/>
            <color indexed="81"/>
            <rFont val="Tahoma"/>
            <family val="2"/>
          </rPr>
          <t>Jerry:</t>
        </r>
        <r>
          <rPr>
            <sz val="9"/>
            <color indexed="81"/>
            <rFont val="Tahoma"/>
            <family val="2"/>
          </rPr>
          <t xml:space="preserve">
The Reinvestment rate is inversely related to the ROC.</t>
        </r>
      </text>
    </comment>
    <comment ref="D61" authorId="2" shapeId="0" xr:uid="{57036919-B82C-4D9F-9099-810D1B1CB3D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62" authorId="1" shapeId="0" xr:uid="{71A3A945-577E-4A61-8A49-C7EEB0DD6C0A}">
      <text>
        <r>
          <rPr>
            <b/>
            <sz val="9"/>
            <color indexed="81"/>
            <rFont val="Tahoma"/>
            <family val="2"/>
          </rPr>
          <t>Jerry:</t>
        </r>
        <r>
          <rPr>
            <sz val="9"/>
            <color indexed="81"/>
            <rFont val="Tahoma"/>
            <family val="2"/>
          </rPr>
          <t xml:space="preserve">
Expected Reinvestment = Growth rate/ROC</t>
        </r>
      </text>
    </comment>
    <comment ref="D62" authorId="1" shapeId="0" xr:uid="{C723249E-9378-4447-A5A7-0DE7CABF3507}">
      <text>
        <r>
          <rPr>
            <b/>
            <sz val="9"/>
            <color indexed="81"/>
            <rFont val="Tahoma"/>
            <family val="2"/>
          </rPr>
          <t>Jerry:</t>
        </r>
        <r>
          <rPr>
            <sz val="9"/>
            <color indexed="81"/>
            <rFont val="Tahoma"/>
            <family val="2"/>
          </rPr>
          <t xml:space="preserve">
The Reinvestment rate is inversely related to the ROC.</t>
        </r>
      </text>
    </comment>
    <comment ref="B72" authorId="1" shapeId="0" xr:uid="{85C999D8-0361-4402-89B6-D0FDA628A13B}">
      <text>
        <r>
          <rPr>
            <b/>
            <sz val="9"/>
            <color indexed="81"/>
            <rFont val="Tahoma"/>
            <family val="2"/>
          </rPr>
          <t>Jerry:</t>
        </r>
        <r>
          <rPr>
            <sz val="9"/>
            <color indexed="81"/>
            <rFont val="Tahoma"/>
            <family val="2"/>
          </rPr>
          <t xml:space="preserve">
No matter what their size, incumbents may have cost or quality advantages not available to potential rivals. These advantages can stem from such sources as proprietary technology, preferential access to the best raw material sources, preemption of the most favorable geographic locations, established brand identities, or cumulative experience that has allowed incumbents to learn how to produce more efficiently. </t>
        </r>
      </text>
    </comment>
    <comment ref="B82" authorId="1" shapeId="0" xr:uid="{371CC19F-2E16-431C-A560-C3B8BDFE96C1}">
      <text>
        <r>
          <rPr>
            <b/>
            <sz val="9"/>
            <color indexed="81"/>
            <rFont val="Tahoma"/>
            <family val="2"/>
          </rPr>
          <t>Jerry:</t>
        </r>
        <r>
          <rPr>
            <sz val="9"/>
            <color indexed="81"/>
            <rFont val="Tahoma"/>
            <family val="2"/>
          </rPr>
          <t xml:space="preserve">
 if industry participants make too much money relative to suppliers, they will induce suppliers to enter the market.</t>
        </r>
      </text>
    </comment>
    <comment ref="B88" authorId="1" shapeId="0" xr:uid="{A0B18DD4-5ED2-4775-ABEC-671B1F26FEB2}">
      <text>
        <r>
          <rPr>
            <b/>
            <sz val="9"/>
            <color indexed="81"/>
            <rFont val="Tahoma"/>
            <family val="2"/>
          </rPr>
          <t>Jerry:</t>
        </r>
        <r>
          <rPr>
            <sz val="9"/>
            <color indexed="81"/>
            <rFont val="Tahoma"/>
            <family val="2"/>
          </rPr>
          <t xml:space="preserve">
Buyers can credibly threaten to integrate backward and produce the industry’s product themselves if vendors are too profitable.</t>
        </r>
      </text>
    </comment>
    <comment ref="B89" authorId="1" shapeId="0" xr:uid="{CC8144C1-8908-42E4-A486-34CC65F3FEFC}">
      <text>
        <r>
          <rPr>
            <b/>
            <sz val="9"/>
            <color indexed="81"/>
            <rFont val="Tahoma"/>
            <family val="2"/>
          </rPr>
          <t>Jerry:</t>
        </r>
        <r>
          <rPr>
            <sz val="9"/>
            <color indexed="81"/>
            <rFont val="Tahoma"/>
            <family val="2"/>
          </rPr>
          <t xml:space="preserve">
Buyers are likely to shop around and bargain hard, as consumers do for home mortgages. Where the product sold by an industry is a small fraction of buyers’ costs or expenditures, buyers are usually less price sensitive.</t>
        </r>
      </text>
    </comment>
    <comment ref="B90" authorId="1" shapeId="0" xr:uid="{B81E62DF-7D5C-4C0A-B73F-343AEAA6F973}">
      <text>
        <r>
          <rPr>
            <b/>
            <sz val="9"/>
            <color indexed="81"/>
            <rFont val="Tahoma"/>
            <family val="2"/>
          </rPr>
          <t>Jerry:</t>
        </r>
        <r>
          <rPr>
            <sz val="9"/>
            <color indexed="81"/>
            <rFont val="Tahoma"/>
            <family val="2"/>
          </rPr>
          <t xml:space="preserve">
The buyer group earns low profits, is strapped for cash, or is otherwise under pressure to trim its purchasing costs. </t>
        </r>
      </text>
    </comment>
    <comment ref="B91" authorId="1" shapeId="0" xr:uid="{D251B19E-9A0F-440D-B49A-519671B88FF8}">
      <text>
        <r>
          <rPr>
            <b/>
            <sz val="9"/>
            <color indexed="81"/>
            <rFont val="Tahoma"/>
            <family val="2"/>
          </rPr>
          <t>Jerry:</t>
        </r>
        <r>
          <rPr>
            <sz val="9"/>
            <color indexed="81"/>
            <rFont val="Tahoma"/>
            <family val="2"/>
          </rPr>
          <t xml:space="preserve">
Where the quality of buyers' products or services is very much affected by the industry’s product, buyers are generally less price sensitive. </t>
        </r>
      </text>
    </comment>
    <comment ref="B92" authorId="1" shapeId="0" xr:uid="{A531AB19-06DA-4BAE-B2CE-BB28E5FEBBB4}">
      <text>
        <r>
          <rPr>
            <b/>
            <sz val="9"/>
            <color indexed="81"/>
            <rFont val="Tahoma"/>
            <family val="2"/>
          </rPr>
          <t>Jerry:</t>
        </r>
        <r>
          <rPr>
            <sz val="9"/>
            <color indexed="81"/>
            <rFont val="Tahoma"/>
            <family val="2"/>
          </rPr>
          <t xml:space="preserve">
where an industry’s product or service can pay for itself many times over by improving performance or reducing labor, material, or other costs, buyers are usually more interested in quality than in price.</t>
        </r>
      </text>
    </comment>
    <comment ref="B101" authorId="1" shapeId="0" xr:uid="{AB93F19D-3A9B-4510-B91D-3A00C6B553D7}">
      <text>
        <r>
          <rPr>
            <b/>
            <sz val="9"/>
            <color indexed="81"/>
            <rFont val="Tahoma"/>
            <family val="2"/>
          </rPr>
          <t>Jerry:</t>
        </r>
        <r>
          <rPr>
            <sz val="9"/>
            <color indexed="81"/>
            <rFont val="Tahoma"/>
            <family val="2"/>
          </rPr>
          <t xml:space="preserve">
Slow growth precipitates fights for market share.</t>
        </r>
      </text>
    </comment>
    <comment ref="B102" authorId="1" shapeId="0" xr:uid="{FEF58730-CDCB-4262-9665-B8AB78FDF03C}">
      <text>
        <r>
          <rPr>
            <b/>
            <sz val="9"/>
            <color indexed="81"/>
            <rFont val="Tahoma"/>
            <family val="2"/>
          </rPr>
          <t>Jerry:</t>
        </r>
        <r>
          <rPr>
            <sz val="9"/>
            <color indexed="81"/>
            <rFont val="Tahoma"/>
            <family val="2"/>
          </rPr>
          <t xml:space="preserve">
Exit barriers arise because of such things as highly specialized assets or management’s devotion to a particular business. These barriers keep companies in the market even
though they may be earning low or negative returns. Excess capacity remains in use, and the profitability of healthy competitors suffers as the sick ones hang on.</t>
        </r>
      </text>
    </comment>
    <comment ref="B103" authorId="1" shapeId="0" xr:uid="{0CF5066A-0562-4370-B76C-B998F8915686}">
      <text>
        <r>
          <rPr>
            <b/>
            <sz val="9"/>
            <color indexed="81"/>
            <rFont val="Tahoma"/>
            <family val="2"/>
          </rPr>
          <t>Jerry:</t>
        </r>
        <r>
          <rPr>
            <sz val="9"/>
            <color indexed="81"/>
            <rFont val="Tahoma"/>
            <family val="2"/>
          </rPr>
          <t xml:space="preserve">
Rivalry is high especially if they have goals that go beyond economic performance in the particular industry.</t>
        </r>
      </text>
    </comment>
    <comment ref="B104" authorId="1" shapeId="0" xr:uid="{61CD43E6-C28C-458C-B80B-AB5B8BA34BC1}">
      <text>
        <r>
          <rPr>
            <b/>
            <sz val="9"/>
            <color indexed="81"/>
            <rFont val="Tahoma"/>
            <family val="2"/>
          </rPr>
          <t>Jerry:</t>
        </r>
        <r>
          <rPr>
            <sz val="9"/>
            <color indexed="81"/>
            <rFont val="Tahoma"/>
            <family val="2"/>
          </rPr>
          <t xml:space="preserve">
Competition is high when the firms cannot read each other’s signals well because of lack of familiarity with one another, diverse approaches to competing, or differing goals.</t>
        </r>
      </text>
    </comment>
    <comment ref="E110" authorId="1" shapeId="0" xr:uid="{1A407860-00FA-4624-8EC9-9DEDDAD68204}">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111" authorId="1" shapeId="0" xr:uid="{00000000-0006-0000-0000-00001E000000}">
      <text>
        <r>
          <rPr>
            <b/>
            <sz val="9"/>
            <color indexed="81"/>
            <rFont val="Tahoma"/>
            <family val="2"/>
          </rPr>
          <t>Jerry:</t>
        </r>
        <r>
          <rPr>
            <sz val="9"/>
            <color indexed="81"/>
            <rFont val="Tahoma"/>
            <family val="2"/>
          </rPr>
          <t xml:space="preserve">
THIS MODEL WILL ONLY ACCPET A MAX CAP OF 10 YEARS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Jerry</author>
    <author>Aswath Damodaran</author>
    <author>Microsoft Office User</author>
    <author>User</author>
  </authors>
  <commentList>
    <comment ref="A9" authorId="0" shapeId="0" xr:uid="{FEB97210-E5CA-49E8-A947-D4BFD2B355DB}">
      <text>
        <r>
          <rPr>
            <b/>
            <sz val="9"/>
            <color indexed="81"/>
            <rFont val="Tahoma"/>
            <family val="2"/>
          </rPr>
          <t>Jerry:</t>
        </r>
        <r>
          <rPr>
            <sz val="9"/>
            <color indexed="81"/>
            <rFont val="Tahoma"/>
            <family val="2"/>
          </rPr>
          <t xml:space="preserve">
Only includes systematic risk according CAPM</t>
        </r>
      </text>
    </comment>
    <comment ref="C10" authorId="0" shapeId="0" xr:uid="{A03A5513-684D-4E00-B6B0-7A015A91D3A0}">
      <text>
        <r>
          <rPr>
            <b/>
            <sz val="9"/>
            <color indexed="81"/>
            <rFont val="Tahoma"/>
            <family val="2"/>
          </rPr>
          <t>Jerry:</t>
        </r>
        <r>
          <rPr>
            <sz val="9"/>
            <color indexed="81"/>
            <rFont val="Tahoma"/>
            <family val="2"/>
          </rPr>
          <t xml:space="preserve">
Warran Buffet is believed to use a constant 8% as discount rate for both High and stable growth periods.</t>
        </r>
      </text>
    </comment>
    <comment ref="A16" authorId="0" shapeId="0" xr:uid="{56690B9E-B483-4E52-A76B-DCA5CA436E15}">
      <text>
        <r>
          <rPr>
            <b/>
            <sz val="9"/>
            <color indexed="81"/>
            <rFont val="Tahoma"/>
            <family val="2"/>
          </rPr>
          <t>Jerry:</t>
        </r>
        <r>
          <rPr>
            <sz val="9"/>
            <color indexed="81"/>
            <rFont val="Tahoma"/>
            <family val="2"/>
          </rPr>
          <t xml:space="preserve">
Required rate of return = nominal risk-free rate + risk premiums</t>
        </r>
      </text>
    </comment>
    <comment ref="C18" authorId="0" shapeId="0" xr:uid="{FBAFAEE4-066D-4828-BE9C-ACBA9F439E66}">
      <text>
        <r>
          <rPr>
            <b/>
            <sz val="9"/>
            <color indexed="81"/>
            <rFont val="Tahoma"/>
            <family val="2"/>
          </rPr>
          <t>Jerry:</t>
        </r>
        <r>
          <rPr>
            <sz val="9"/>
            <color indexed="81"/>
            <rFont val="Tahoma"/>
            <family val="2"/>
          </rPr>
          <t xml:space="preserve">
The discount rate during stable growth must be greater than the constant growth rate. Otherwise, the math will not work.</t>
        </r>
      </text>
    </comment>
    <comment ref="A23" authorId="0" shapeId="0" xr:uid="{03AF3243-2B46-475A-AB72-5F2C682B5E5C}">
      <text>
        <r>
          <rPr>
            <b/>
            <sz val="9"/>
            <color indexed="81"/>
            <rFont val="Tahoma"/>
            <family val="2"/>
          </rPr>
          <t>Jerry:</t>
        </r>
        <r>
          <rPr>
            <sz val="9"/>
            <color indexed="81"/>
            <rFont val="Tahoma"/>
            <family val="2"/>
          </rPr>
          <t xml:space="preserve">
Bottom-up betas will likely provide us with the best beta estimates.</t>
        </r>
      </text>
    </comment>
    <comment ref="B23" authorId="1" shapeId="0" xr:uid="{00000000-0006-0000-0400-000002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25" authorId="1" shapeId="0" xr:uid="{00000000-0006-0000-04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30" authorId="0" shapeId="0" xr:uid="{07BE95D3-8514-4AE6-8C7A-CECB20993942}">
      <text>
        <r>
          <rPr>
            <b/>
            <sz val="9"/>
            <color indexed="81"/>
            <rFont val="Tahoma"/>
            <family val="2"/>
          </rPr>
          <t>Jerry:</t>
        </r>
        <r>
          <rPr>
            <sz val="9"/>
            <color indexed="81"/>
            <rFont val="Tahoma"/>
            <family val="2"/>
          </rPr>
          <t xml:space="preserve">
1: Large market cap Manufacturer (&gt;$5 billion) and safe.
2: Small market cap (&lt;$5 billion) or risky.
3: Financial service firm
If company has volatile earnings or is in risky business, use 2, even if large market cap.</t>
        </r>
      </text>
    </comment>
    <comment ref="F32" authorId="1" shapeId="0" xr:uid="{00000000-0006-0000-04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F33" authorId="1" shapeId="0" xr:uid="{00000000-0006-0000-0400-000005000000}">
      <text>
        <r>
          <rPr>
            <b/>
            <sz val="9"/>
            <color indexed="81"/>
            <rFont val="Geneva"/>
            <family val="2"/>
          </rPr>
          <t>Aswath Damodaran:</t>
        </r>
        <r>
          <rPr>
            <sz val="9"/>
            <color indexed="81"/>
            <rFont val="Geneva"/>
            <family val="2"/>
          </rPr>
          <t xml:space="preserve">
Generally found in footnotes to financial statements.
If you don't have this information, then enter 0 to use BV of debt as the market value of the debt.</t>
        </r>
      </text>
    </comment>
    <comment ref="B37" authorId="1" shapeId="0" xr:uid="{00000000-0006-0000-0400-000006000000}">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 ref="C43" authorId="2" shapeId="0" xr:uid="{00000000-0006-0000-0400-000001000000}">
      <text>
        <r>
          <rPr>
            <b/>
            <sz val="10"/>
            <color indexed="81"/>
            <rFont val="Calibri"/>
            <family val="2"/>
          </rPr>
          <t>Jerry:</t>
        </r>
        <r>
          <rPr>
            <sz val="10"/>
            <color indexed="81"/>
            <rFont val="Calibri"/>
            <family val="2"/>
          </rPr>
          <t xml:space="preserve">
If the company is being traded, Market Value of Debt =
Interest Expense*((1-1/(1/cost of Debt)^Maturity)/cost of Debt) + BV of Straight Debt /(1+cost of Debt)^maturity</t>
        </r>
      </text>
    </comment>
    <comment ref="C48" authorId="0" shapeId="0" xr:uid="{A0588D00-FD8F-4DA0-9D7D-32E1355D029A}">
      <text>
        <r>
          <rPr>
            <b/>
            <sz val="9"/>
            <color indexed="81"/>
            <rFont val="Tahoma"/>
            <family val="2"/>
          </rPr>
          <t>Jerry:</t>
        </r>
        <r>
          <rPr>
            <sz val="9"/>
            <color indexed="81"/>
            <rFont val="Tahoma"/>
            <family val="2"/>
          </rPr>
          <t xml:space="preserve">
I assume the Operating leased is already included in the debt.</t>
        </r>
      </text>
    </comment>
    <comment ref="B54" authorId="0" shapeId="0" xr:uid="{5EC93159-04EB-45CB-985A-FDFE4E159884}">
      <text>
        <r>
          <rPr>
            <b/>
            <sz val="9"/>
            <color indexed="81"/>
            <rFont val="Tahoma"/>
            <family val="2"/>
          </rPr>
          <t>Jerry:</t>
        </r>
        <r>
          <rPr>
            <sz val="9"/>
            <color indexed="81"/>
            <rFont val="Tahoma"/>
            <family val="2"/>
          </rPr>
          <t xml:space="preserve">
There is empirical evidence that suggests that the betas for most companies, over time, tend to move toward the average beta, which is 1.</t>
        </r>
      </text>
    </comment>
    <comment ref="B62" authorId="0" shapeId="0" xr:uid="{CDE2F7E8-5EA8-4DE4-94F5-C83E92D1E91E}">
      <text>
        <r>
          <rPr>
            <b/>
            <sz val="9"/>
            <color indexed="81"/>
            <rFont val="Tahoma"/>
            <family val="2"/>
          </rPr>
          <t>Jerry:</t>
        </r>
        <r>
          <rPr>
            <sz val="9"/>
            <color indexed="81"/>
            <rFont val="Tahoma"/>
            <family val="2"/>
          </rPr>
          <t xml:space="preserve">
By Default, it equals to the Pre tax Cost of Debt during CAP.</t>
        </r>
      </text>
    </comment>
    <comment ref="A79" authorId="3" shapeId="0" xr:uid="{BAF44102-5426-4254-BACE-FE896ED1169B}">
      <text>
        <r>
          <rPr>
            <b/>
            <sz val="9"/>
            <color indexed="81"/>
            <rFont val="Tahoma"/>
            <family val="2"/>
          </rPr>
          <t>Jerry:</t>
        </r>
        <r>
          <rPr>
            <sz val="9"/>
            <color indexed="81"/>
            <rFont val="Tahoma"/>
            <family val="2"/>
          </rPr>
          <t xml:space="preserve">
Cost of Debt = Riskfree+Company Default Spread+Country Default Spread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55E097E5-B931-4D26-B8CB-A3D268B3AC32}">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7B572D37-3019-473C-B87A-A9EE128F8F16}">
      <text>
        <r>
          <rPr>
            <b/>
            <sz val="9"/>
            <color indexed="81"/>
            <rFont val="Tahoma"/>
            <family val="2"/>
          </rPr>
          <t>Jerry:</t>
        </r>
        <r>
          <rPr>
            <sz val="9"/>
            <color indexed="81"/>
            <rFont val="Tahoma"/>
            <family val="2"/>
          </rPr>
          <t xml:space="preserve">
NOPAT = Opearting Income * (1 - tax rate)</t>
        </r>
      </text>
    </comment>
    <comment ref="A23" authorId="1" shapeId="0" xr:uid="{376B2607-BB4D-44E4-918B-1ACB724CB646}">
      <text>
        <r>
          <rPr>
            <b/>
            <sz val="9"/>
            <color indexed="81"/>
            <rFont val="Tahoma"/>
            <family val="2"/>
          </rPr>
          <t>Jerry:</t>
        </r>
        <r>
          <rPr>
            <sz val="9"/>
            <color indexed="81"/>
            <rFont val="Tahoma"/>
            <family val="2"/>
          </rPr>
          <t xml:space="preserve">
Reinvestment Rate = (Net Capex + Change in WC)/NOPAT</t>
        </r>
      </text>
    </comment>
    <comment ref="A24" authorId="1" shapeId="0" xr:uid="{2DA26B93-D83F-4BEB-A945-C056D77B1AAE}">
      <text>
        <r>
          <rPr>
            <b/>
            <sz val="9"/>
            <color indexed="81"/>
            <rFont val="Tahoma"/>
            <family val="2"/>
          </rPr>
          <t>Jerry:</t>
        </r>
        <r>
          <rPr>
            <sz val="9"/>
            <color indexed="81"/>
            <rFont val="Tahoma"/>
            <family val="2"/>
          </rPr>
          <t xml:space="preserve">
Change in WC = Change in Sales * WC/Sales</t>
        </r>
      </text>
    </comment>
    <comment ref="C24" authorId="0" shapeId="0" xr:uid="{00000000-0006-0000-0200-000008000000}">
      <text>
        <r>
          <rPr>
            <b/>
            <sz val="10"/>
            <color indexed="81"/>
            <rFont val="Calibri"/>
            <family val="2"/>
          </rPr>
          <t>Jerry:</t>
        </r>
        <r>
          <rPr>
            <sz val="10"/>
            <color indexed="81"/>
            <rFont val="Calibri"/>
            <family val="2"/>
          </rPr>
          <t xml:space="preserve">
Chg. WC = Chg. In Sales * (WC/Sales)</t>
        </r>
      </text>
    </comment>
    <comment ref="A25" authorId="1" shapeId="0" xr:uid="{26BCF011-E327-45BC-AE84-06CBED4C3749}">
      <text>
        <r>
          <rPr>
            <b/>
            <sz val="9"/>
            <color indexed="81"/>
            <rFont val="Tahoma"/>
            <family val="2"/>
          </rPr>
          <t>Jerry:</t>
        </r>
        <r>
          <rPr>
            <sz val="9"/>
            <color indexed="81"/>
            <rFont val="Tahoma"/>
            <family val="2"/>
          </rPr>
          <t xml:space="preserve">
Net Capex = NOPAT*Reinvestment Rate - Change in WC</t>
        </r>
      </text>
    </comment>
    <comment ref="M25" authorId="1" shapeId="0" xr:uid="{3E5D8DFC-D8BF-4F13-947A-383CAE6390AF}">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5AB9F087-6BBF-45EA-89E9-5F459D91A99A}">
      <text>
        <r>
          <rPr>
            <b/>
            <sz val="9"/>
            <color indexed="81"/>
            <rFont val="Tahoma"/>
            <family val="2"/>
          </rPr>
          <t>Jerry:</t>
        </r>
        <r>
          <rPr>
            <sz val="9"/>
            <color indexed="81"/>
            <rFont val="Tahoma"/>
            <family val="2"/>
          </rPr>
          <t xml:space="preserve">
FCFF = NOPAT-Change in WC-Net Capex</t>
        </r>
      </text>
    </comment>
    <comment ref="M26" authorId="1" shapeId="0" xr:uid="{196751A1-4561-4794-AA44-13DD44CA5069}">
      <text>
        <r>
          <rPr>
            <b/>
            <sz val="9"/>
            <color indexed="81"/>
            <rFont val="Tahoma"/>
            <family val="2"/>
          </rPr>
          <t>Jerry:</t>
        </r>
        <r>
          <rPr>
            <sz val="9"/>
            <color indexed="81"/>
            <rFont val="Tahoma"/>
            <family val="2"/>
          </rPr>
          <t xml:space="preserve">
Terminal Cash Flow</t>
        </r>
      </text>
    </comment>
    <comment ref="A37" authorId="1" shapeId="0" xr:uid="{91D03FC4-C3BB-4668-BE53-3349C352CC49}">
      <text>
        <r>
          <rPr>
            <b/>
            <sz val="9"/>
            <color indexed="81"/>
            <rFont val="Tahoma"/>
            <family val="2"/>
          </rPr>
          <t>Jerry:</t>
        </r>
        <r>
          <rPr>
            <sz val="9"/>
            <color indexed="81"/>
            <rFont val="Tahoma"/>
            <family val="2"/>
          </rPr>
          <t xml:space="preserve">
includes Minority Interests</t>
        </r>
      </text>
    </comment>
    <comment ref="D38" authorId="1" shapeId="0" xr:uid="{FA4A0BA0-4AE6-4818-A1CE-E1F79761EDFC}">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63250D16-D026-4C77-8148-F3490A8C4A3F}">
      <text>
        <r>
          <rPr>
            <b/>
            <sz val="9"/>
            <color indexed="81"/>
            <rFont val="Tahoma"/>
            <family val="2"/>
          </rPr>
          <t>Jerry:</t>
        </r>
        <r>
          <rPr>
            <sz val="9"/>
            <color indexed="81"/>
            <rFont val="Tahoma"/>
            <family val="2"/>
          </rPr>
          <t xml:space="preserve">
Aka "Capital Turnover Ratio"</t>
        </r>
      </text>
    </comment>
    <comment ref="C47" authorId="0" shapeId="0" xr:uid="{00000000-0006-0000-0200-000009000000}">
      <text>
        <r>
          <rPr>
            <b/>
            <sz val="10"/>
            <color indexed="81"/>
            <rFont val="Calibri"/>
            <family val="2"/>
          </rPr>
          <t>Jerry:</t>
        </r>
        <r>
          <rPr>
            <sz val="10"/>
            <color indexed="81"/>
            <rFont val="Calibri"/>
            <family val="2"/>
          </rPr>
          <t xml:space="preserve">
Sale to Capital = Chg. Sales / Chg. Reinvestment</t>
        </r>
      </text>
    </comment>
  </commentList>
</comments>
</file>

<file path=xl/sharedStrings.xml><?xml version="1.0" encoding="utf-8"?>
<sst xmlns="http://schemas.openxmlformats.org/spreadsheetml/2006/main" count="811" uniqueCount="609">
  <si>
    <t>Large cap</t>
  </si>
  <si>
    <t>Notes on the colors of the cells:</t>
    <phoneticPr fontId="10" type="noConversion"/>
  </si>
  <si>
    <t>Author:</t>
  </si>
  <si>
    <t>Jerry Chen</t>
  </si>
  <si>
    <t>Version:</t>
  </si>
  <si>
    <t>Tool Title:</t>
    <phoneticPr fontId="2" type="noConversion"/>
  </si>
  <si>
    <t>Answer Keys</t>
  </si>
  <si>
    <t>Emerging Market</t>
    <phoneticPr fontId="3" type="noConversion"/>
  </si>
  <si>
    <t>Type of the Company</t>
    <phoneticPr fontId="3" type="noConversion"/>
  </si>
  <si>
    <t>Large cap</t>
    <phoneticPr fontId="3" type="noConversion"/>
  </si>
  <si>
    <t>Small cap</t>
    <phoneticPr fontId="3" type="noConversion"/>
  </si>
  <si>
    <t>Financial service firm</t>
    <phoneticPr fontId="3" type="noConversion"/>
  </si>
  <si>
    <t>Inputs</t>
    <phoneticPr fontId="2" type="noConversion"/>
  </si>
  <si>
    <t>Yes/No/Neutral</t>
    <phoneticPr fontId="2" type="noConversion"/>
  </si>
  <si>
    <t>Yes</t>
    <phoneticPr fontId="2" type="noConversion"/>
  </si>
  <si>
    <t>No</t>
    <phoneticPr fontId="2" type="noConversion"/>
  </si>
  <si>
    <t>Neutral</t>
    <phoneticPr fontId="2" type="noConversion"/>
  </si>
  <si>
    <t>Current Price</t>
  </si>
  <si>
    <t>Option Price</t>
  </si>
  <si>
    <t>Estimated Value</t>
  </si>
  <si>
    <t>R &amp; D Converter</t>
  </si>
  <si>
    <t>Inputs</t>
  </si>
  <si>
    <t>Over how many years do you want to amortize R&amp;D expenses</t>
  </si>
  <si>
    <t>! If in doubt, use the lookup table below</t>
  </si>
  <si>
    <t>Year</t>
  </si>
  <si>
    <t>Output</t>
  </si>
  <si>
    <t>R&amp;D Expense</t>
  </si>
  <si>
    <t>Unamortized portion</t>
  </si>
  <si>
    <t>Current</t>
  </si>
  <si>
    <t>Value of Research Asset =</t>
  </si>
  <si>
    <t>Tax Effect of R&amp;D Expensing</t>
  </si>
  <si>
    <t>Industry Name</t>
  </si>
  <si>
    <t>Amortization Period</t>
  </si>
  <si>
    <t>Advertising</t>
  </si>
  <si>
    <t>Aerospace/Defense</t>
  </si>
  <si>
    <t>Non-technological Service</t>
  </si>
  <si>
    <t>2 years</t>
  </si>
  <si>
    <t>Air Transport</t>
  </si>
  <si>
    <t>Retail, Tech Service</t>
  </si>
  <si>
    <t>3 years</t>
  </si>
  <si>
    <t>Aluminum</t>
  </si>
  <si>
    <t>Light Manufacturing</t>
  </si>
  <si>
    <t>5 years</t>
  </si>
  <si>
    <t>Apparel</t>
  </si>
  <si>
    <t>Heavy  Manufacturing</t>
  </si>
  <si>
    <t>10 years</t>
  </si>
  <si>
    <t>Auto &amp; Truck</t>
  </si>
  <si>
    <t>Research, with Patenting</t>
  </si>
  <si>
    <t>Auto Parts (OEM)</t>
  </si>
  <si>
    <t>Long Gestation Period</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</si>
  <si>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</si>
  <si>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</si>
  <si>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</si>
  <si>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</si>
  <si>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</si>
  <si>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</si>
  <si>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</si>
  <si>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</si>
  <si>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</si>
  <si>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</si>
  <si>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</si>
  <si>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</si>
  <si>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</si>
  <si>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</si>
  <si>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</si>
  <si>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</si>
  <si>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</si>
  <si>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</si>
  <si>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</si>
  <si>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</si>
  <si>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</si>
  <si>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</si>
  <si>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</si>
  <si>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</si>
  <si>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</si>
  <si>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</si>
  <si>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</si>
  <si>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</si>
  <si>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</si>
  <si>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</si>
  <si>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</si>
  <si>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</si>
  <si>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</si>
  <si>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</si>
  <si>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</si>
  <si>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</si>
  <si>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</si>
  <si>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</si>
  <si>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</si>
  <si>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</si>
  <si>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</si>
  <si>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</si>
  <si>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</si>
  <si>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</si>
  <si>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</si>
  <si>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</si>
  <si>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</si>
  <si>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</si>
  <si>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</si>
  <si>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</si>
  <si>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</si>
  <si>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</si>
  <si>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</si>
  <si>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</si>
  <si>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</si>
  <si>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</si>
  <si>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</si>
  <si>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</si>
  <si>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</si>
  <si>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</si>
  <si>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</si>
  <si>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</si>
  <si>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</si>
  <si>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</si>
  <si>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</si>
  <si>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</si>
  <si>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</si>
  <si>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</si>
  <si>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</si>
  <si>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</si>
  <si>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</si>
  <si>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</si>
  <si>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</si>
  <si>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</si>
  <si>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</si>
  <si>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</si>
  <si>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</si>
  <si>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</si>
  <si>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</si>
  <si>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</si>
  <si>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</si>
  <si>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</si>
  <si>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</si>
  <si>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</si>
  <si>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</si>
  <si>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</si>
  <si>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</si>
  <si>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</si>
  <si>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</si>
  <si>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</si>
  <si>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</si>
  <si>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Look Up Table for Amortization Periods</t>
  </si>
  <si>
    <t>Pre-tax Cost of Debt =</t>
  </si>
  <si>
    <t>Valuation Output</t>
  </si>
  <si>
    <t>Beginning</t>
  </si>
  <si>
    <t>Average</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</si>
  <si>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</si>
  <si>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</si>
  <si>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</si>
  <si>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</si>
  <si>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</si>
  <si>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</si>
  <si>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</si>
  <si>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</si>
  <si>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</si>
  <si>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</si>
  <si>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7"/>
  </si>
  <si>
    <t>For large manufacturing firms</t>
  </si>
  <si>
    <t>If interest coverage ratio is</t>
  </si>
  <si>
    <t>&gt;</t>
  </si>
  <si>
    <t>≤ to</t>
  </si>
  <si>
    <t>Rating is</t>
  </si>
  <si>
    <t>Spread is</t>
  </si>
  <si>
    <t>D2/D</t>
  </si>
  <si>
    <t>Caa/CCC</t>
  </si>
  <si>
    <t>Ca2/CC</t>
  </si>
  <si>
    <t>C2/C</t>
  </si>
  <si>
    <t>B3/B-</t>
  </si>
  <si>
    <t>B2/B</t>
  </si>
  <si>
    <t>B1/B+</t>
  </si>
  <si>
    <t>Ba2/BB</t>
  </si>
  <si>
    <t>Ba1/BB+</t>
  </si>
  <si>
    <t>Baa2/BBB</t>
  </si>
  <si>
    <t>A3/A-</t>
  </si>
  <si>
    <t>A2/A</t>
  </si>
  <si>
    <t>A1/A+</t>
  </si>
  <si>
    <t>Aa2/AA</t>
  </si>
  <si>
    <t>Aaa/AAA</t>
  </si>
  <si>
    <t>For smaller and riskier firms</t>
  </si>
  <si>
    <t>greater than</t>
  </si>
  <si>
    <t>(Enter 1 if large manufacturing firm, 2 if smaller or riskier firm, 3 if financial service firm)</t>
  </si>
  <si>
    <t>For financial service firms (default spreads are slighty different)</t>
  </si>
  <si>
    <t>If long term interest coverage ratio is</t>
  </si>
  <si>
    <t>Approach for estimating pre-tax cost of debt</t>
  </si>
  <si>
    <t>Cost of debt</t>
  </si>
  <si>
    <t>Direct input</t>
  </si>
  <si>
    <t>Synthetic rating</t>
  </si>
  <si>
    <t>Actual rating</t>
  </si>
  <si>
    <t>Acutal Rating Chart</t>
    <phoneticPr fontId="3" type="noConversion"/>
  </si>
  <si>
    <t>Output Summary</t>
  </si>
  <si>
    <t>Reinvestment Rate</t>
  </si>
  <si>
    <t>Terminal Year</t>
  </si>
  <si>
    <t>Interest Expense</t>
  </si>
  <si>
    <t>Effective Tax Rate</t>
  </si>
  <si>
    <t>Cash &amp; Marketable Securities</t>
  </si>
  <si>
    <t>D&amp;A</t>
  </si>
  <si>
    <t>EBIT Margin</t>
  </si>
  <si>
    <t>Stable Growth</t>
  </si>
  <si>
    <t>Value of Firm =</t>
  </si>
  <si>
    <t>Value of Equity in Common Stock =</t>
  </si>
  <si>
    <t>Value of equity per share =</t>
  </si>
  <si>
    <t>CHINA</t>
  </si>
  <si>
    <t>EBIT Growth</t>
  </si>
  <si>
    <t>Discount Rate</t>
  </si>
  <si>
    <t>Implied variables</t>
  </si>
  <si>
    <t>Invested capital</t>
  </si>
  <si>
    <t>After Tax ROIC</t>
  </si>
  <si>
    <t>Revenue growth rate</t>
  </si>
  <si>
    <t>Equity</t>
  </si>
  <si>
    <t>Unlevered beta =</t>
  </si>
  <si>
    <t>Equity Risk Premium =</t>
  </si>
  <si>
    <t>Debt</t>
  </si>
  <si>
    <t>Interest Expense on Debt =</t>
  </si>
  <si>
    <t>Average Maturity =</t>
  </si>
  <si>
    <t>Preferred Stock</t>
  </si>
  <si>
    <t>Number of Preferred Shares =</t>
  </si>
  <si>
    <t>Current Market Price per Share=</t>
  </si>
  <si>
    <t>Annual Dividend per Share =</t>
  </si>
  <si>
    <t>Estimating Market Value of Straight Debt =</t>
  </si>
  <si>
    <t>Estimated Value of Straight Debt in Convertible =</t>
  </si>
  <si>
    <t>Estimated Value of Equity in Convertible =</t>
  </si>
  <si>
    <t>Levered Beta for equity =</t>
  </si>
  <si>
    <t xml:space="preserve">Debt </t>
  </si>
  <si>
    <t>Capital</t>
  </si>
  <si>
    <t>Market Value</t>
  </si>
  <si>
    <t>Weight in Cost of Capital</t>
  </si>
  <si>
    <t>Cost of Component</t>
  </si>
  <si>
    <t>Cost of Equity</t>
  </si>
  <si>
    <t>Stable Growth Period</t>
  </si>
  <si>
    <t>High Growth Period</t>
  </si>
  <si>
    <t>Equity Risk Premium in stable growth =</t>
  </si>
  <si>
    <t>Cost of Capital Worksheet</t>
  </si>
  <si>
    <t>Master Inputs Worksheet</t>
  </si>
  <si>
    <t>Industry</t>
  </si>
  <si>
    <t>None</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</si>
  <si>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</si>
  <si>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</si>
  <si>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</si>
  <si>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</si>
  <si>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</si>
  <si>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</si>
  <si>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</si>
  <si>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</si>
  <si>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</si>
  <si>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</si>
  <si>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</si>
  <si>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</si>
  <si>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</si>
  <si>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</si>
  <si>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</si>
  <si>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</si>
  <si>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</si>
  <si>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</si>
  <si>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</si>
  <si>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</si>
  <si>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</si>
  <si>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</si>
  <si>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</si>
  <si>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</si>
  <si>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</si>
  <si>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</si>
  <si>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</si>
  <si>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</si>
  <si>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</si>
  <si>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</si>
  <si>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</si>
  <si>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</si>
  <si>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</si>
  <si>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</si>
  <si>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</si>
  <si>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</si>
  <si>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</si>
  <si>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</si>
  <si>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</si>
  <si>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</si>
  <si>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</si>
  <si>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</si>
  <si>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</si>
  <si>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</si>
  <si>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</si>
  <si>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</si>
  <si>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</si>
  <si>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</si>
  <si>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</si>
  <si>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</si>
  <si>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</si>
  <si>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(Online)</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</si>
  <si>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</si>
  <si>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</si>
  <si>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</si>
  <si>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</si>
  <si>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</si>
  <si>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</si>
  <si>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</si>
  <si>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</si>
  <si>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</si>
  <si>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</si>
  <si>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</si>
  <si>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</si>
  <si>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</si>
  <si>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Total Market </t>
  </si>
  <si>
    <t>Total Market (without financials)</t>
  </si>
  <si>
    <t>EBIT growth (BV) =</t>
  </si>
  <si>
    <t>China</t>
  </si>
  <si>
    <t>Emerging Market</t>
  </si>
  <si>
    <t>Market Type</t>
  </si>
  <si>
    <t>India</t>
  </si>
  <si>
    <t>Other Emerging Market</t>
  </si>
  <si>
    <t>US</t>
  </si>
  <si>
    <t>Europe</t>
  </si>
  <si>
    <t>Japan</t>
  </si>
  <si>
    <t>Global</t>
  </si>
  <si>
    <t>Net Capex/Sales</t>
  </si>
  <si>
    <t>Input Cells filled in Gold Color requires inputs</t>
  </si>
  <si>
    <t>Input Cells filled in Green Color do not need to be updated because are automatically filled</t>
  </si>
  <si>
    <t>Capex</t>
  </si>
  <si>
    <t>Year of the last 10k =</t>
  </si>
  <si>
    <t>0/1/2/3/4/5</t>
  </si>
  <si>
    <t>The FCFF for the high growth phase are shown below (upto 10 years)</t>
  </si>
  <si>
    <t>agree/disagree</t>
  </si>
  <si>
    <t>agree</t>
  </si>
  <si>
    <t>disagree</t>
  </si>
  <si>
    <t>What the model does</t>
  </si>
  <si>
    <t>This model is designed to value firms with operating income that is either positive or can be normalized to be</t>
  </si>
  <si>
    <t>FCFF VALUATION MODEL</t>
  </si>
  <si>
    <t>The inputs are in the following pages:</t>
  </si>
  <si>
    <t>1. The bulk of the inputs are in the Valuation inputs page;</t>
  </si>
  <si>
    <t>2. You must also input the numbers from the current financial statements to the BV inputs page;</t>
  </si>
  <si>
    <t>3. If you want to normalized operating income, WC, Reinvestment Rate and ROC, use the normalizer worksheet.</t>
  </si>
  <si>
    <t>4. If you have R&amp;D or operating leases, you will need to input the required numbers in those worksheets.</t>
  </si>
  <si>
    <t>The spreadsheet can be used to value a company, with fixed inputs for a high growth phase and different inputs</t>
  </si>
  <si>
    <t xml:space="preserve">for a stable growth phase (2-stage model) or it can be adjusted to allow for a transition phase (3-stage model). </t>
  </si>
  <si>
    <t>inputs adjusted during the second half of the high growth phase.</t>
  </si>
  <si>
    <t>You can even make it a stable growth model, by setting the length of the high growth period to zero.</t>
  </si>
  <si>
    <t>Valuation Stages</t>
  </si>
  <si>
    <t>5. If you want to find out the Cost of Capital, you will need to input the required numbers in its worksheets.</t>
  </si>
  <si>
    <t>After you are done</t>
  </si>
  <si>
    <t>NOPAT</t>
  </si>
  <si>
    <t>EBIT (Operating income)</t>
  </si>
  <si>
    <t>Reinvestment rate =</t>
  </si>
  <si>
    <t>FCFF</t>
  </si>
  <si>
    <t>PV of FCFF</t>
  </si>
  <si>
    <t>Sales/Capital =</t>
  </si>
  <si>
    <t>Sales/Capital</t>
  </si>
  <si>
    <t>Expected WC/Sales ratio =</t>
  </si>
  <si>
    <t>WC/Sales Ratio</t>
  </si>
  <si>
    <t>Revenue</t>
  </si>
  <si>
    <t>Tax rate</t>
  </si>
  <si>
    <t>EBIT margin</t>
  </si>
  <si>
    <t>BV of Straight Debt =</t>
  </si>
  <si>
    <t>Length of CAP =</t>
  </si>
  <si>
    <t>Use the Porter's Five Forces Analysis to estimate the length of CAP</t>
  </si>
  <si>
    <t>Length of the CAP suggested by the Porter's Five Forces</t>
  </si>
  <si>
    <t xml:space="preserve">Value of Equity = </t>
  </si>
  <si>
    <t>- MV of outstanding debt =</t>
  </si>
  <si>
    <t>WC/Sales =</t>
  </si>
  <si>
    <t>EBIT</t>
  </si>
  <si>
    <t>WC/Sales</t>
  </si>
  <si>
    <t xml:space="preserve">Approach used to normalize = </t>
  </si>
  <si>
    <t>After Tax ROC</t>
  </si>
  <si>
    <t>3. Direct Input</t>
  </si>
  <si>
    <t>Scenario forecasting Worksheet</t>
  </si>
  <si>
    <t>positive. It allows for up to 10 years of high growth, and can be used either as a 2-stage or a 3-stage model.</t>
  </si>
  <si>
    <t xml:space="preserve">To switch from one to the other, enter yes in the Valuation input page to the question of whether you want the </t>
  </si>
  <si>
    <t>After the a value is calcuated by the model for the two scenarios, you can use the Forecast worksheet to calculate</t>
  </si>
  <si>
    <t>The Ouput is contained in the Base Model and Alternate Model worksheet.</t>
  </si>
  <si>
    <t xml:space="preserve"> their expected probabilities. The expected value is at the Base Model E79.</t>
  </si>
  <si>
    <t>6/12</t>
  </si>
  <si>
    <t>Current Asset</t>
  </si>
  <si>
    <t>Current Liabilities</t>
  </si>
  <si>
    <t>Base</t>
  </si>
  <si>
    <t>End</t>
  </si>
  <si>
    <t>Beginning/Average/End</t>
  </si>
  <si>
    <t>Capitalize R&amp;D expenses?</t>
  </si>
  <si>
    <t>Cash =</t>
  </si>
  <si>
    <t>Non-operating Assets =</t>
  </si>
  <si>
    <t>Adjustments to inputs Worksheet</t>
  </si>
  <si>
    <t>Pre-Tax ROC</t>
  </si>
  <si>
    <t>After Tax 
Reinvestment Rate</t>
  </si>
  <si>
    <t>Fair Value of 
Non-operating Assets</t>
  </si>
  <si>
    <t>Non-cash WC</t>
  </si>
  <si>
    <t>EBIT margin (Lease &amp; R&amp;D adjusted) =</t>
  </si>
  <si>
    <t>Adjustment approach =</t>
  </si>
  <si>
    <t>1. No Adjustment</t>
  </si>
  <si>
    <t>Effective/Marginal</t>
  </si>
  <si>
    <t>Effective =&gt;</t>
  </si>
  <si>
    <t>Marginal =&gt;</t>
  </si>
  <si>
    <t>2. Historical average</t>
  </si>
  <si>
    <t>3. Sector average WC/Sales</t>
  </si>
  <si>
    <t>4. Direct Input</t>
  </si>
  <si>
    <t>3. Sector After Tax ROC</t>
  </si>
  <si>
    <t>After Tax ROC =</t>
  </si>
  <si>
    <t>After Tax Reinvestment Rate  =</t>
  </si>
  <si>
    <t>Benchmark</t>
  </si>
  <si>
    <t>Length of CAP through competitive enviroment analysis</t>
  </si>
  <si>
    <t>Scenario Inputs</t>
  </si>
  <si>
    <t>Bearish Case</t>
  </si>
  <si>
    <t>Required Rate of Return Worksheet</t>
  </si>
  <si>
    <t>Bullish Case</t>
  </si>
  <si>
    <t>Valuation Inputs Dashboard</t>
  </si>
  <si>
    <t>Probability of the Scenario =</t>
  </si>
  <si>
    <t>Bear</t>
  </si>
  <si>
    <t>Bull</t>
  </si>
  <si>
    <t>Reinvestment Rate =</t>
  </si>
  <si>
    <t>Industry Averages:</t>
  </si>
  <si>
    <t>Non-Cash WC/Sales =</t>
  </si>
  <si>
    <t>Net Capex/Sales =</t>
  </si>
  <si>
    <t>The company competes in?</t>
  </si>
  <si>
    <t>Company Name:</t>
  </si>
  <si>
    <t>Valuation Date:</t>
  </si>
  <si>
    <t>Listed/Private:</t>
  </si>
  <si>
    <t>Listed</t>
  </si>
  <si>
    <t>Listed/Private</t>
  </si>
  <si>
    <t>Private</t>
  </si>
  <si>
    <t>Current Price:</t>
  </si>
  <si>
    <t>Number of Shares:</t>
  </si>
  <si>
    <t>Conversion Sign</t>
  </si>
  <si>
    <t>Company statement BV Inputs</t>
  </si>
  <si>
    <t>Discount Rate during the Stable Growth Period=</t>
  </si>
  <si>
    <t>PV of FCFF during CAP =</t>
  </si>
  <si>
    <t>PV of Terminal Value =</t>
  </si>
  <si>
    <t>Values</t>
  </si>
  <si>
    <t>% Value of Firm</t>
  </si>
  <si>
    <t>Given the Current Stock price =</t>
  </si>
  <si>
    <t xml:space="preserve">, the company is </t>
  </si>
  <si>
    <t>Valuation Verdict:</t>
  </si>
  <si>
    <t>Current Market Rates</t>
  </si>
  <si>
    <t>in</t>
  </si>
  <si>
    <t>Current Riskfree rate is =</t>
  </si>
  <si>
    <t>Beta =</t>
  </si>
  <si>
    <t>Type of the firm</t>
  </si>
  <si>
    <t>1. Synthetic rating</t>
  </si>
  <si>
    <t>Interest coverage ratio =</t>
  </si>
  <si>
    <t>Country Default Spread =</t>
  </si>
  <si>
    <t>2. Actual rating=</t>
  </si>
  <si>
    <t>Actual rating (if any)</t>
  </si>
  <si>
    <t>Market Value of the CB =</t>
  </si>
  <si>
    <t>Interest Expense on CB =</t>
  </si>
  <si>
    <t>Maturity of CB =</t>
  </si>
  <si>
    <t>BV of CB =</t>
  </si>
  <si>
    <t>Cost of Preferred Stock=</t>
  </si>
  <si>
    <t>Convertible Bond</t>
  </si>
  <si>
    <t>Cost of Equity during CAP</t>
  </si>
  <si>
    <t>After tax Cost of Debt during CAP =</t>
  </si>
  <si>
    <t>After Tax Pre-tax Cost of debt =</t>
  </si>
  <si>
    <t>- Fair value of Minority Interests</t>
  </si>
  <si>
    <r>
      <t xml:space="preserve">- Fair value of Options </t>
    </r>
    <r>
      <rPr>
        <sz val="12"/>
        <color rgb="FFFF0000"/>
        <rFont val="Calibri"/>
        <family val="2"/>
        <scheme val="minor"/>
      </rPr>
      <t>(Assume $0)</t>
    </r>
  </si>
  <si>
    <t>To answer the below questions, Each force is ranked by Very High, High, Medium, Low, and Very Low:</t>
  </si>
  <si>
    <t>a.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</si>
  <si>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</si>
  <si>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</si>
  <si>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</si>
  <si>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</si>
  <si>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</si>
  <si>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</si>
  <si>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5. There is no incumbency advantages independent of size.</t>
  </si>
  <si>
    <t>6. There are equal access to distribution channels.</t>
  </si>
  <si>
    <t>7. There is no restrictive government policy.</t>
  </si>
  <si>
    <t>b. Power of Suppliers =</t>
  </si>
  <si>
    <t>1. The supplier is more concentrated than the industry it sells to.</t>
  </si>
  <si>
    <t>2. The supplier group does not depends heavily on the industry for its revenues.</t>
  </si>
  <si>
    <t>unclear</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</si>
  <si>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</si>
  <si>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</si>
  <si>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</si>
  <si>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</si>
  <si>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c.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</si>
  <si>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</si>
  <si>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</si>
  <si>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</si>
  <si>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</si>
  <si>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</si>
  <si>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</si>
  <si>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</si>
  <si>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 xml:space="preserve">8. The industry’s product has little effect on the buyer’s other costs. </t>
  </si>
  <si>
    <t>d. Threat of Substitutions =</t>
  </si>
  <si>
    <t>1. There is an unfavorable gap in the price or performance when compared.</t>
  </si>
  <si>
    <t>2. The buyer's cost of switching to the substitute is low.</t>
  </si>
  <si>
    <t>3. It's likely the substitutes will become very attractive in three to five years.</t>
  </si>
  <si>
    <t>e.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</si>
  <si>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</si>
  <si>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</si>
  <si>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</si>
  <si>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</si>
  <si>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</si>
  <si>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 xml:space="preserve">6. Products or services of rivals are nearly identical with few buyer switching costs. </t>
  </si>
  <si>
    <t xml:space="preserve">7. Fixed costs are high and marginal costs are low. </t>
  </si>
  <si>
    <t xml:space="preserve">8. Capacity must be expanded in large increments to be efficient. </t>
  </si>
  <si>
    <t xml:space="preserve">9. The product is perishable. </t>
  </si>
  <si>
    <t>Conclusion: the Industry Competition level is</t>
  </si>
  <si>
    <t>FCFF Valuation</t>
  </si>
  <si>
    <t>Market</t>
  </si>
  <si>
    <t>P/EBIT =</t>
  </si>
  <si>
    <t>P/B =</t>
  </si>
  <si>
    <t>P/S =</t>
  </si>
  <si>
    <t>Bear/Base/Bull</t>
  </si>
  <si>
    <t>Bear Case</t>
  </si>
  <si>
    <t>Base Case</t>
  </si>
  <si>
    <t>Bull Case</t>
  </si>
  <si>
    <t>Excess Return during CAP =</t>
  </si>
  <si>
    <t>HKD</t>
  </si>
  <si>
    <t>RMB</t>
  </si>
  <si>
    <t>USD</t>
  </si>
  <si>
    <t>After Tax 
ROC</t>
  </si>
  <si>
    <t>Straight Debt</t>
  </si>
  <si>
    <t>Debt Ratio =</t>
  </si>
  <si>
    <t>Rates during CAP</t>
  </si>
  <si>
    <t>Rates after CAP</t>
  </si>
  <si>
    <t>Choice of the discount rate during CAP?</t>
  </si>
  <si>
    <t>Cost of Capital</t>
  </si>
  <si>
    <t>Direct Input</t>
  </si>
  <si>
    <t>1. Cost of Capital using bottom-up Beta =</t>
  </si>
  <si>
    <t>Discount Rate during CAP =</t>
  </si>
  <si>
    <t>Choice of the discount rate during the stable growth period?</t>
  </si>
  <si>
    <t>1. Cost of Capital =</t>
  </si>
  <si>
    <t>CF Currency</t>
  </si>
  <si>
    <t>EUR</t>
  </si>
  <si>
    <t>Currency Sign</t>
  </si>
  <si>
    <t>JAP</t>
  </si>
  <si>
    <t>KOR</t>
  </si>
  <si>
    <t>1. Effective Tax rate</t>
  </si>
  <si>
    <t>2. Marginal Tax rate</t>
  </si>
  <si>
    <t>Figure in =</t>
  </si>
  <si>
    <t>Weighted Value of Equity per share =</t>
  </si>
  <si>
    <t>The demand is serverly affacted by the current external econmic factors.</t>
  </si>
  <si>
    <t>The demand is only lightly affacted by the current external econmic factors.</t>
  </si>
  <si>
    <t>DCF Valuation</t>
  </si>
  <si>
    <t>Expected Value of Euqity per share =</t>
  </si>
  <si>
    <t>Likelihood</t>
  </si>
  <si>
    <t>During CAP</t>
  </si>
  <si>
    <t>Expected ROC in stable growth =</t>
  </si>
  <si>
    <t>Hence, Expected Reinvestment rate =</t>
  </si>
  <si>
    <t>Excess Return after CAP =</t>
  </si>
  <si>
    <t>Reinvestment Rate after CAP =</t>
  </si>
  <si>
    <t>Net Capex</t>
  </si>
  <si>
    <t xml:space="preserve">BV EBIT </t>
  </si>
  <si>
    <t>Sales</t>
  </si>
  <si>
    <t>Sales Growth Rate</t>
  </si>
  <si>
    <t xml:space="preserve">X months beyond 10K </t>
  </si>
  <si>
    <t>Perpetual EBIT growth rate=</t>
  </si>
  <si>
    <t>Perpetual EBIT growth rate</t>
  </si>
  <si>
    <t>Adj. EBIT =</t>
  </si>
  <si>
    <t>2. Direct Input (Default) =</t>
  </si>
  <si>
    <t>Non-Cash WC/Sales</t>
  </si>
  <si>
    <t>Adj. Effective Tax Rate</t>
  </si>
  <si>
    <t>WCInv</t>
  </si>
  <si>
    <t>EBIT growth rate</t>
  </si>
  <si>
    <t>Gradually adjust CAP inputs in the second half at</t>
  </si>
  <si>
    <t>Choice of BV for ratios:</t>
  </si>
  <si>
    <t>Method 1</t>
  </si>
  <si>
    <t>Method 2</t>
  </si>
  <si>
    <t>Input:</t>
  </si>
  <si>
    <t>Output:</t>
  </si>
  <si>
    <t>Expected EBIT Growth Rate =</t>
  </si>
  <si>
    <r>
      <t xml:space="preserve">If </t>
    </r>
    <r>
      <rPr>
        <u/>
        <sz val="12"/>
        <color theme="1"/>
        <rFont val="Calibri"/>
        <family val="2"/>
        <scheme val="minor"/>
      </rPr>
      <t>Ebit Growth Rate</t>
    </r>
    <r>
      <rPr>
        <sz val="12"/>
        <color theme="1"/>
        <rFont val="Calibri"/>
        <family val="2"/>
        <scheme val="minor"/>
      </rPr>
      <t xml:space="preserve"> can be more reliably estimated, please enter. </t>
    </r>
    <r>
      <rPr>
        <u/>
        <sz val="12"/>
        <color theme="1"/>
        <rFont val="Calibri"/>
        <family val="2"/>
        <scheme val="minor"/>
      </rPr>
      <t>OR</t>
    </r>
  </si>
  <si>
    <r>
      <t xml:space="preserve">If </t>
    </r>
    <r>
      <rPr>
        <u/>
        <sz val="12"/>
        <color theme="1"/>
        <rFont val="Calibri"/>
        <family val="2"/>
        <scheme val="minor"/>
      </rPr>
      <t>Reinvestment Rate</t>
    </r>
    <r>
      <rPr>
        <sz val="12"/>
        <color theme="1"/>
        <rFont val="Calibri"/>
        <family val="2"/>
        <scheme val="minor"/>
      </rPr>
      <t xml:space="preserve"> can be more reliably estimated, please enter.</t>
    </r>
  </si>
  <si>
    <t>EBIT growth rate =</t>
  </si>
  <si>
    <t>2.Base</t>
  </si>
  <si>
    <t>2.Bull</t>
  </si>
  <si>
    <t>2.Bear</t>
  </si>
  <si>
    <t>Outputs:</t>
  </si>
  <si>
    <t>3. Tax Rate</t>
  </si>
  <si>
    <t>2. BS Adj.</t>
  </si>
  <si>
    <t xml:space="preserve"> Cumulated Discount factor</t>
  </si>
  <si>
    <t>Company</t>
  </si>
  <si>
    <t>Index</t>
  </si>
  <si>
    <t>Dep This Year</t>
  </si>
  <si>
    <t>Net Capex Adjustment =</t>
  </si>
  <si>
    <t>Debt =</t>
  </si>
  <si>
    <t>Equity =</t>
  </si>
  <si>
    <t>Amortization Adj.</t>
  </si>
  <si>
    <t>1. Net Capex Adj.</t>
  </si>
  <si>
    <t>2. EBIT Adjustment =</t>
  </si>
  <si>
    <t>3. Equity Adjustment</t>
  </si>
  <si>
    <t>Capex Adj.</t>
  </si>
  <si>
    <t>Confidence Level:</t>
  </si>
  <si>
    <t>Exchange Rate</t>
  </si>
  <si>
    <t>Interest-bearing Debt</t>
  </si>
  <si>
    <t>Multiples:</t>
  </si>
  <si>
    <t>Sales/share =</t>
  </si>
  <si>
    <t>Equity/share =</t>
  </si>
  <si>
    <t>EBIT/share =</t>
  </si>
  <si>
    <t>BV of Minority interests</t>
  </si>
  <si>
    <t>P/E =</t>
  </si>
  <si>
    <t xml:space="preserve">E/Share = </t>
  </si>
  <si>
    <t>攜程集團 9961</t>
  </si>
  <si>
    <t>This spreadsheet converts R&amp;D expenses from operating to capital expenses. It makes the appropriate adjustments to equity and operating income</t>
  </si>
  <si>
    <t>Justified</t>
  </si>
  <si>
    <t>Pre Tax 
ROC</t>
  </si>
  <si>
    <t>If Expect Non-Negative earnings next year:</t>
  </si>
  <si>
    <t>2. Ebit Margin * EBIT</t>
  </si>
  <si>
    <t>3. Adj. Sales * EBIT Margin</t>
  </si>
  <si>
    <t>4. last year EBIT * Adj. EBIT Growth</t>
  </si>
  <si>
    <t>Operating Assets</t>
  </si>
  <si>
    <t>BV of Assets</t>
  </si>
  <si>
    <t>1. Pre-Tax Roc * Asset</t>
  </si>
  <si>
    <t>Yes</t>
  </si>
  <si>
    <t>Normalized EBIT =</t>
  </si>
  <si>
    <t>Capitalization:</t>
  </si>
  <si>
    <t>Net Income</t>
  </si>
  <si>
    <t>After-Tax ROC</t>
  </si>
  <si>
    <t>4. After-Tax ROC</t>
  </si>
  <si>
    <t>Equity Adjustment =</t>
  </si>
  <si>
    <t>Adj. Net Capex =</t>
  </si>
  <si>
    <t>Operating Capital =</t>
  </si>
  <si>
    <t>Adj. After-Tax ROC</t>
  </si>
  <si>
    <t>1. Adj. EBIT</t>
  </si>
  <si>
    <t>WCInv =</t>
  </si>
  <si>
    <t>Adj. Reinvestment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</si>
</sst>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00_);[Red]\(&quot;¥&quot;#,##0.00\)"/>
    <numFmt numFmtId="165" formatCode="#,##0_ "/>
    <numFmt numFmtId="166" formatCode="&quot;$&quot;#,##0.00_);[Red]\(&quot;$&quot;#,##0.00\)"/>
    <numFmt numFmtId="167" formatCode="_(&quot;$&quot;* #,##0.00_);_(&quot;$&quot;* \(#,##0.00\);_(&quot;$&quot;* &quot;-&quot;??_);_(@_)"/>
    <numFmt numFmtId="168" formatCode="0.0000%"/>
    <numFmt numFmtId="169" formatCode="0.0000"/>
    <numFmt numFmtId="170" formatCode="#,##0.00_ ;[Red]\-#,##0.00\ "/>
    <numFmt numFmtId="171" formatCode="#,##0.00000000_ ;[Red]\-#,##0.00000000\ "/>
    <numFmt numFmtId="172" formatCode="#,##0_ ;[Red]\-#,##0\ "/>
    <numFmt numFmtId="173" formatCode="#,##0.00;[Red]#,##0.00"/>
    <numFmt numFmtId="174" formatCode="0.000%"/>
    <numFmt numFmtId="175" formatCode="#,##0.000"/>
    <numFmt numFmtId="176" formatCode="0.000"/>
  </numFmts>
  <fonts count="51">
    <font>
      <sz val="12"/>
      <color theme="1"/>
      <name val="Calibri"/>
      <family val="2"/>
      <scheme val="minor"/>
    </font>
    <font>
      <sz val="12"/>
      <color theme="1"/>
      <name val="Calibri"/>
      <family val="2"/>
      <scheme val="minor"/>
    </font>
    <font>
      <sz val="9"/>
      <name val="Calibri"/>
      <family val="2"/>
      <charset val="136"/>
      <scheme val="minor"/>
    </font>
    <font>
      <sz val="9"/>
      <name val="Calibri"/>
      <family val="3"/>
      <charset val="136"/>
      <scheme val="minor"/>
    </font>
    <font>
      <sz val="12"/>
      <color theme="1"/>
      <name val="Times New Roman"/>
      <family val="1"/>
    </font>
    <font>
      <sz val="11"/>
      <color theme="1"/>
      <name val="Times New Roman"/>
      <family val="1"/>
    </font>
    <font>
      <sz val="12"/>
      <color rgb="FF000000"/>
      <name val="Times New Roman"/>
      <family val="1"/>
    </font>
    <font>
      <b/>
      <sz val="9"/>
      <color indexed="81"/>
      <name val="Tahoma"/>
      <family val="2"/>
    </font>
    <font>
      <sz val="9"/>
      <color indexed="81"/>
      <name val="Tahoma"/>
      <family val="2"/>
    </font>
    <font>
      <b/>
      <sz val="12"/>
      <color rgb="FF000000"/>
      <name val="Times New Roman"/>
      <family val="1"/>
    </font>
    <font>
      <sz val="9"/>
      <name val="細明體"/>
      <family val="3"/>
      <charset val="136"/>
    </font>
    <font>
      <sz val="12"/>
      <color theme="0"/>
      <name val="Times New Roman"/>
      <family val="1"/>
    </font>
    <font>
      <b/>
      <sz val="12"/>
      <color theme="0"/>
      <name val="Times New Roman"/>
      <family val="1"/>
    </font>
    <font>
      <sz val="12"/>
      <name val="Times New Roman"/>
      <family val="1"/>
    </font>
    <font>
      <b/>
      <sz val="11"/>
      <color theme="1"/>
      <name val="Times New Roman"/>
      <family val="1"/>
    </font>
    <font>
      <b/>
      <sz val="12"/>
      <color theme="1"/>
      <name val="Times New Roman"/>
      <family val="1"/>
    </font>
    <font>
      <b/>
      <sz val="12"/>
      <color theme="1"/>
      <name val="Calibri"/>
      <family val="2"/>
      <scheme val="minor"/>
    </font>
    <font>
      <sz val="10"/>
      <color indexed="81"/>
      <name val="Calibri"/>
      <family val="2"/>
    </font>
    <font>
      <b/>
      <sz val="10"/>
      <color indexed="81"/>
      <name val="Calibri"/>
      <family val="2"/>
    </font>
    <font>
      <b/>
      <sz val="9"/>
      <color indexed="81"/>
      <name val="Geneva"/>
      <family val="2"/>
    </font>
    <font>
      <sz val="9"/>
      <color indexed="81"/>
      <name val="Geneva"/>
      <family val="2"/>
    </font>
    <font>
      <sz val="11"/>
      <color theme="1"/>
      <name val="Calibri"/>
      <family val="2"/>
      <scheme val="minor"/>
    </font>
    <font>
      <i/>
      <sz val="12"/>
      <color theme="1"/>
      <name val="Calibri"/>
      <family val="2"/>
      <scheme val="minor"/>
    </font>
    <font>
      <sz val="10"/>
      <name val="Geneva"/>
      <family val="2"/>
    </font>
    <font>
      <b/>
      <sz val="9"/>
      <color rgb="FF000000"/>
      <name val="Geneva"/>
      <family val="2"/>
    </font>
    <font>
      <sz val="9"/>
      <color rgb="FF000000"/>
      <name val="Geneva"/>
      <family val="2"/>
    </font>
    <font>
      <sz val="9"/>
      <name val="Geneva"/>
      <family val="2"/>
    </font>
    <font>
      <sz val="12"/>
      <color rgb="FF000000"/>
      <name val="PMingLiu"/>
      <family val="1"/>
      <charset val="136"/>
    </font>
    <font>
      <b/>
      <sz val="12"/>
      <name val="Times New Roman"/>
      <family val="1"/>
    </font>
    <font>
      <b/>
      <i/>
      <sz val="12"/>
      <name val="Times New Roman"/>
      <family val="1"/>
    </font>
    <font>
      <i/>
      <sz val="12"/>
      <name val="Times New Roman"/>
      <family val="1"/>
    </font>
    <font>
      <b/>
      <i/>
      <sz val="12"/>
      <color theme="1"/>
      <name val="Calibri"/>
      <family val="2"/>
      <scheme val="minor"/>
    </font>
    <font>
      <i/>
      <u/>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b/>
      <sz val="12"/>
      <color theme="5" tint="-0.499984740745262"/>
      <name val="Calibri"/>
      <family val="2"/>
      <scheme val="minor"/>
    </font>
    <font>
      <i/>
      <u/>
      <sz val="12"/>
      <name val="Times New Roman"/>
      <family val="1"/>
    </font>
    <font>
      <i/>
      <sz val="12"/>
      <name val="Calibri"/>
      <family val="2"/>
      <scheme val="minor"/>
    </font>
    <font>
      <b/>
      <sz val="14"/>
      <color theme="1"/>
      <name val="Calibri"/>
      <family val="2"/>
      <scheme val="minor"/>
    </font>
    <font>
      <sz val="14"/>
      <color theme="1"/>
      <name val="Calibri"/>
      <family val="2"/>
      <scheme val="minor"/>
    </font>
    <font>
      <i/>
      <u/>
      <sz val="12"/>
      <color theme="1"/>
      <name val="Calibri"/>
      <family val="2"/>
      <scheme val="minor"/>
    </font>
    <font>
      <u/>
      <sz val="12"/>
      <color theme="1"/>
      <name val="Calibri"/>
      <family val="2"/>
      <scheme val="minor"/>
    </font>
    <font>
      <b/>
      <sz val="12"/>
      <name val="Calibri"/>
      <family val="2"/>
      <scheme val="minor"/>
    </font>
    <font>
      <b/>
      <i/>
      <sz val="12"/>
      <name val="Calibri"/>
      <family val="2"/>
      <scheme val="minor"/>
    </font>
    <font>
      <b/>
      <i/>
      <u/>
      <sz val="12"/>
      <name val="Times New Roman"/>
      <family val="1"/>
    </font>
    <font>
      <sz val="12"/>
      <color rgb="FFFF0000"/>
      <name val="Times New Roman"/>
      <family val="1"/>
    </font>
    <font>
      <b/>
      <i/>
      <u/>
      <sz val="12"/>
      <color theme="1"/>
      <name val="Calibri"/>
      <family val="2"/>
      <scheme val="minor"/>
    </font>
    <font>
      <sz val="12"/>
      <color theme="0"/>
      <name val="Calibri"/>
      <family val="2"/>
      <scheme val="minor"/>
    </font>
    <font>
      <b/>
      <i/>
      <u/>
      <sz val="12"/>
      <color theme="1"/>
      <name val="Times New Roman"/>
      <family val="1"/>
    </font>
    <font>
      <i/>
      <sz val="12"/>
      <color theme="1"/>
      <name val="Times New Roman"/>
      <family val="1"/>
    </font>
  </fonts>
  <fills count="1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bottom style="thin">
        <color auto="1"/>
      </bottom>
      <diagonal/>
    </border>
    <border>
      <left/>
      <right style="thin">
        <color indexed="64"/>
      </right>
      <top/>
      <bottom/>
      <diagonal/>
    </border>
  </borders>
  <cellStyleXfs count="15">
    <xf numFmtId="0" fontId="0" fillId="0" borderId="0">
      <alignment vertical="center"/>
    </xf>
    <xf numFmtId="9" fontId="1" fillId="0" borderId="0" applyFont="0" applyFill="0" applyBorder="0" applyAlignment="0" applyProtection="0"/>
    <xf numFmtId="0" fontId="26" fillId="0" borderId="0"/>
    <xf numFmtId="0" fontId="21" fillId="0" borderId="0"/>
    <xf numFmtId="167" fontId="26" fillId="0" borderId="0" applyFont="0" applyFill="0" applyBorder="0" applyAlignment="0" applyProtection="0"/>
    <xf numFmtId="0" fontId="27" fillId="0" borderId="0"/>
    <xf numFmtId="0" fontId="26" fillId="0" borderId="0"/>
    <xf numFmtId="0" fontId="23" fillId="0" borderId="0"/>
    <xf numFmtId="43" fontId="26" fillId="0" borderId="0" applyFont="0" applyFill="0" applyBorder="0" applyAlignment="0" applyProtection="0"/>
    <xf numFmtId="9" fontId="26" fillId="0" borderId="0" applyFont="0" applyFill="0" applyBorder="0" applyAlignment="0" applyProtection="0"/>
    <xf numFmtId="9" fontId="23" fillId="0" borderId="0" applyFont="0" applyFill="0" applyBorder="0" applyAlignment="0" applyProtection="0"/>
    <xf numFmtId="167" fontId="26" fillId="0" borderId="0" applyFont="0" applyFill="0" applyBorder="0" applyAlignment="0" applyProtection="0"/>
    <xf numFmtId="0" fontId="23" fillId="0" borderId="0"/>
    <xf numFmtId="166" fontId="23" fillId="0" borderId="0" applyFont="0" applyFill="0" applyBorder="0" applyAlignment="0" applyProtection="0"/>
    <xf numFmtId="9" fontId="23" fillId="0" borderId="0" applyFont="0" applyFill="0" applyBorder="0" applyAlignment="0" applyProtection="0"/>
  </cellStyleXfs>
  <cellXfs count="345">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9" fillId="0" borderId="0" xfId="0" applyFont="1">
      <alignment vertical="center"/>
    </xf>
    <xf numFmtId="0" fontId="6" fillId="0" borderId="0" xfId="0" applyFont="1">
      <alignment vertical="center"/>
    </xf>
    <xf numFmtId="0" fontId="5" fillId="0" borderId="0" xfId="0" applyFont="1" applyAlignment="1"/>
    <xf numFmtId="0" fontId="6" fillId="3" borderId="0" xfId="0" applyFont="1" applyFill="1">
      <alignment vertical="center"/>
    </xf>
    <xf numFmtId="0" fontId="6" fillId="4" borderId="0" xfId="0" applyFont="1" applyFill="1">
      <alignment vertical="center"/>
    </xf>
    <xf numFmtId="0" fontId="5" fillId="0" borderId="0" xfId="0" applyFont="1" applyAlignment="1">
      <alignment horizontal="center"/>
    </xf>
    <xf numFmtId="0" fontId="11" fillId="5" borderId="0" xfId="0" applyFont="1" applyFill="1">
      <alignment vertical="center"/>
    </xf>
    <xf numFmtId="0" fontId="12" fillId="5" borderId="0" xfId="0" applyFont="1" applyFill="1">
      <alignment vertical="center"/>
    </xf>
    <xf numFmtId="0" fontId="13" fillId="0" borderId="0" xfId="0" applyFont="1" applyFill="1">
      <alignment vertical="center"/>
    </xf>
    <xf numFmtId="0" fontId="14" fillId="0" borderId="0" xfId="0" applyFont="1" applyAlignment="1"/>
    <xf numFmtId="0" fontId="15" fillId="0" borderId="0" xfId="0" applyFont="1">
      <alignment vertical="center"/>
    </xf>
    <xf numFmtId="0" fontId="4" fillId="0" borderId="0" xfId="0" applyFont="1" applyFill="1" applyBorder="1">
      <alignment vertical="center"/>
    </xf>
    <xf numFmtId="0" fontId="16" fillId="0" borderId="0" xfId="0" applyFont="1">
      <alignment vertical="center"/>
    </xf>
    <xf numFmtId="0" fontId="22" fillId="0" borderId="0" xfId="0" applyFont="1">
      <alignment vertical="center"/>
    </xf>
    <xf numFmtId="0" fontId="4" fillId="0" borderId="0" xfId="0" applyFont="1" applyAlignment="1">
      <alignment horizontal="center" vertical="center"/>
    </xf>
    <xf numFmtId="10" fontId="4" fillId="3" borderId="1"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4" borderId="1" xfId="0" applyNumberFormat="1" applyFont="1" applyFill="1" applyBorder="1" applyAlignment="1">
      <alignment horizontal="center" vertical="center"/>
    </xf>
    <xf numFmtId="0" fontId="16" fillId="7" borderId="0" xfId="0" applyFont="1" applyFill="1">
      <alignment vertical="center"/>
    </xf>
    <xf numFmtId="0" fontId="28" fillId="0" borderId="0" xfId="12" applyFont="1"/>
    <xf numFmtId="0" fontId="13" fillId="0" borderId="0" xfId="12" applyFont="1"/>
    <xf numFmtId="0" fontId="13" fillId="3" borderId="1" xfId="12" applyFont="1" applyFill="1" applyBorder="1" applyAlignment="1">
      <alignment horizontal="center"/>
    </xf>
    <xf numFmtId="2" fontId="13" fillId="3" borderId="1" xfId="12" applyNumberFormat="1" applyFont="1" applyFill="1" applyBorder="1" applyAlignment="1">
      <alignment horizontal="center"/>
    </xf>
    <xf numFmtId="166" fontId="13" fillId="4" borderId="1" xfId="13" applyFont="1" applyFill="1" applyBorder="1"/>
    <xf numFmtId="10"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10" fontId="0" fillId="4" borderId="1" xfId="0" applyNumberFormat="1" applyFont="1" applyFill="1" applyBorder="1" applyAlignment="1">
      <alignment horizontal="center" vertical="center"/>
    </xf>
    <xf numFmtId="10" fontId="0" fillId="4" borderId="8"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40" fontId="0" fillId="4" borderId="1" xfId="0" applyNumberFormat="1" applyFont="1" applyFill="1" applyBorder="1" applyAlignment="1">
      <alignment horizontal="center" vertical="center"/>
    </xf>
    <xf numFmtId="10" fontId="32" fillId="7" borderId="1" xfId="0" applyNumberFormat="1" applyFont="1" applyFill="1" applyBorder="1" applyAlignment="1">
      <alignment horizontal="center" vertical="center"/>
    </xf>
    <xf numFmtId="3" fontId="4" fillId="3" borderId="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4" xfId="0" applyNumberFormat="1" applyFont="1" applyFill="1" applyBorder="1" applyAlignment="1">
      <alignment horizontal="center" vertical="center"/>
    </xf>
    <xf numFmtId="40" fontId="4" fillId="8" borderId="9" xfId="0" applyNumberFormat="1" applyFont="1" applyFill="1" applyBorder="1" applyAlignment="1">
      <alignment horizontal="center" vertical="center"/>
    </xf>
    <xf numFmtId="40" fontId="4" fillId="8" borderId="4" xfId="0" applyNumberFormat="1" applyFont="1" applyFill="1" applyBorder="1" applyAlignment="1">
      <alignment horizontal="center" vertical="center"/>
    </xf>
    <xf numFmtId="0" fontId="4" fillId="0" borderId="0" xfId="0" applyFont="1" applyAlignment="1">
      <alignment horizontal="left" vertical="center"/>
    </xf>
    <xf numFmtId="14" fontId="15" fillId="0" borderId="0" xfId="0" quotePrefix="1" applyNumberFormat="1" applyFont="1" applyAlignment="1">
      <alignment horizontal="left" vertical="center"/>
    </xf>
    <xf numFmtId="0" fontId="13" fillId="0" borderId="1" xfId="12" applyFont="1" applyBorder="1"/>
    <xf numFmtId="0" fontId="30" fillId="0" borderId="0" xfId="12" applyFont="1" applyAlignment="1">
      <alignment horizontal="center"/>
    </xf>
    <xf numFmtId="0" fontId="30" fillId="0" borderId="1" xfId="12" applyFont="1" applyBorder="1" applyAlignment="1">
      <alignment horizontal="center"/>
    </xf>
    <xf numFmtId="10" fontId="13" fillId="4" borderId="1" xfId="12" applyNumberFormat="1" applyFont="1" applyFill="1" applyBorder="1"/>
    <xf numFmtId="167" fontId="13" fillId="4" borderId="1" xfId="12" applyNumberFormat="1" applyFont="1" applyFill="1" applyBorder="1"/>
    <xf numFmtId="10" fontId="13" fillId="4" borderId="1" xfId="14" applyNumberFormat="1" applyFont="1" applyFill="1" applyBorder="1"/>
    <xf numFmtId="10" fontId="13" fillId="4" borderId="4" xfId="12" applyNumberFormat="1" applyFont="1" applyFill="1" applyBorder="1"/>
    <xf numFmtId="10" fontId="13" fillId="4" borderId="2" xfId="14" applyNumberFormat="1" applyFont="1" applyFill="1" applyBorder="1"/>
    <xf numFmtId="10" fontId="13" fillId="4" borderId="5" xfId="14" applyNumberFormat="1" applyFont="1" applyFill="1" applyBorder="1"/>
    <xf numFmtId="0" fontId="29" fillId="7" borderId="0" xfId="12" applyFont="1" applyFill="1"/>
    <xf numFmtId="0" fontId="4" fillId="0" borderId="0" xfId="0" applyFont="1" applyAlignment="1"/>
    <xf numFmtId="0" fontId="29" fillId="0" borderId="0" xfId="0" applyFont="1" applyAlignment="1"/>
    <xf numFmtId="0" fontId="30" fillId="0" borderId="0" xfId="0" applyFont="1" applyAlignment="1"/>
    <xf numFmtId="0" fontId="28" fillId="0" borderId="0" xfId="0" applyFont="1" applyAlignment="1"/>
    <xf numFmtId="0" fontId="13" fillId="0" borderId="0" xfId="0" applyFont="1" applyAlignment="1"/>
    <xf numFmtId="0" fontId="13" fillId="4" borderId="5" xfId="0" applyFont="1" applyFill="1" applyBorder="1" applyAlignment="1">
      <alignment horizontal="center"/>
    </xf>
    <xf numFmtId="2" fontId="28" fillId="4" borderId="5" xfId="0" applyNumberFormat="1" applyFont="1" applyFill="1" applyBorder="1" applyAlignment="1">
      <alignment horizontal="center"/>
    </xf>
    <xf numFmtId="0" fontId="28" fillId="4" borderId="6" xfId="0" applyFont="1" applyFill="1" applyBorder="1" applyAlignment="1">
      <alignment horizontal="center"/>
    </xf>
    <xf numFmtId="10" fontId="28" fillId="4" borderId="5" xfId="1" applyNumberFormat="1" applyFont="1" applyFill="1" applyBorder="1" applyAlignment="1">
      <alignment horizontal="center"/>
    </xf>
    <xf numFmtId="10" fontId="28" fillId="4" borderId="5" xfId="0" applyNumberFormat="1" applyFont="1" applyFill="1" applyBorder="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0" fontId="28" fillId="0" borderId="0" xfId="7" applyFont="1"/>
    <xf numFmtId="0" fontId="13" fillId="0" borderId="0" xfId="7" applyFont="1"/>
    <xf numFmtId="0" fontId="30" fillId="0" borderId="1" xfId="0" applyFont="1" applyBorder="1" applyAlignment="1">
      <alignment horizontal="centerContinuous"/>
    </xf>
    <xf numFmtId="0" fontId="30" fillId="0" borderId="1" xfId="0" applyFont="1" applyBorder="1" applyAlignment="1"/>
    <xf numFmtId="0" fontId="30" fillId="0" borderId="0" xfId="7" applyFont="1"/>
    <xf numFmtId="0" fontId="13" fillId="0" borderId="0" xfId="7" applyFont="1" applyAlignment="1">
      <alignment horizontal="centerContinuous"/>
    </xf>
    <xf numFmtId="0" fontId="30" fillId="0" borderId="1" xfId="0" applyFont="1" applyBorder="1" applyAlignment="1">
      <alignment horizontal="center"/>
    </xf>
    <xf numFmtId="0" fontId="13" fillId="0" borderId="1" xfId="7" applyFont="1" applyBorder="1" applyAlignment="1">
      <alignment horizontal="center"/>
    </xf>
    <xf numFmtId="0" fontId="13" fillId="0" borderId="1" xfId="0" applyFont="1" applyBorder="1" applyAlignment="1">
      <alignment horizontal="center"/>
    </xf>
    <xf numFmtId="10" fontId="13" fillId="0" borderId="7" xfId="0" applyNumberFormat="1" applyFont="1" applyBorder="1" applyAlignment="1">
      <alignment horizontal="center"/>
    </xf>
    <xf numFmtId="10" fontId="13" fillId="0" borderId="7" xfId="7" applyNumberFormat="1" applyFont="1" applyBorder="1" applyAlignment="1">
      <alignment horizontal="center"/>
    </xf>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0" borderId="7" xfId="1" applyNumberFormat="1" applyFont="1" applyBorder="1" applyAlignment="1">
      <alignment horizontal="center"/>
    </xf>
    <xf numFmtId="0" fontId="13" fillId="0" borderId="0" xfId="2" applyFont="1"/>
    <xf numFmtId="40" fontId="4" fillId="0" borderId="11" xfId="0" applyNumberFormat="1" applyFont="1" applyFill="1" applyBorder="1" applyAlignment="1">
      <alignment horizontal="center" vertical="center"/>
    </xf>
    <xf numFmtId="0" fontId="4" fillId="0" borderId="11" xfId="0" applyFont="1" applyFill="1" applyBorder="1">
      <alignment vertical="center"/>
    </xf>
    <xf numFmtId="40" fontId="4" fillId="8" borderId="1" xfId="0" applyNumberFormat="1" applyFont="1" applyFill="1" applyBorder="1" applyAlignment="1">
      <alignment horizontal="center" vertical="center"/>
    </xf>
    <xf numFmtId="166" fontId="13" fillId="4" borderId="1" xfId="13"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applyAlignment="1"/>
    <xf numFmtId="40" fontId="13" fillId="0" borderId="0" xfId="0" applyNumberFormat="1" applyFont="1" applyFill="1" applyBorder="1" applyAlignment="1">
      <alignment horizontal="center"/>
    </xf>
    <xf numFmtId="10" fontId="13" fillId="0" borderId="0" xfId="14" applyNumberFormat="1" applyFont="1" applyFill="1" applyBorder="1" applyAlignment="1">
      <alignment horizontal="center"/>
    </xf>
    <xf numFmtId="0" fontId="13" fillId="0" borderId="0" xfId="12" applyFont="1" applyFill="1" applyBorder="1"/>
    <xf numFmtId="10" fontId="13" fillId="0" borderId="0" xfId="14" applyNumberFormat="1" applyFont="1" applyFill="1" applyBorder="1"/>
    <xf numFmtId="168" fontId="13" fillId="0" borderId="0" xfId="14" applyNumberFormat="1" applyFont="1" applyFill="1" applyBorder="1"/>
    <xf numFmtId="168" fontId="13" fillId="0" borderId="0" xfId="12" applyNumberFormat="1" applyFont="1" applyFill="1" applyBorder="1"/>
    <xf numFmtId="169" fontId="13" fillId="0" borderId="0" xfId="12" applyNumberFormat="1" applyFont="1" applyFill="1" applyBorder="1"/>
    <xf numFmtId="0" fontId="16" fillId="0" borderId="0" xfId="0" applyFont="1" applyAlignment="1">
      <alignment horizontal="center" vertical="center"/>
    </xf>
    <xf numFmtId="170" fontId="4" fillId="3" borderId="9" xfId="0" applyNumberFormat="1" applyFont="1" applyFill="1" applyBorder="1" applyAlignment="1">
      <alignment horizontal="center" vertical="center"/>
    </xf>
    <xf numFmtId="170" fontId="4" fillId="3" borderId="4" xfId="0" applyNumberFormat="1" applyFont="1" applyFill="1" applyBorder="1" applyAlignment="1">
      <alignment horizontal="center" vertical="center"/>
    </xf>
    <xf numFmtId="170" fontId="4" fillId="3" borderId="9" xfId="0" applyNumberFormat="1" applyFont="1" applyFill="1" applyBorder="1">
      <alignment vertical="center"/>
    </xf>
    <xf numFmtId="170" fontId="4" fillId="3" borderId="1" xfId="0" applyNumberFormat="1" applyFont="1" applyFill="1" applyBorder="1">
      <alignment vertical="center"/>
    </xf>
    <xf numFmtId="10" fontId="4" fillId="8" borderId="1"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0" fontId="4" fillId="0" borderId="0" xfId="0" applyNumberFormat="1" applyFont="1">
      <alignment vertical="center"/>
    </xf>
    <xf numFmtId="10" fontId="4" fillId="0" borderId="0" xfId="0" applyNumberFormat="1" applyFont="1" applyAlignment="1">
      <alignment horizontal="center" vertical="center"/>
    </xf>
    <xf numFmtId="0" fontId="15" fillId="0" borderId="0" xfId="0" applyFont="1" applyAlignment="1">
      <alignment horizontal="left" vertical="center"/>
    </xf>
    <xf numFmtId="10" fontId="0" fillId="0" borderId="0" xfId="0" applyNumberFormat="1" applyFont="1" applyFill="1" applyBorder="1" applyAlignment="1">
      <alignment horizontal="center" vertical="center"/>
    </xf>
    <xf numFmtId="10" fontId="4" fillId="0" borderId="1" xfId="0" applyNumberFormat="1" applyFont="1" applyFill="1" applyBorder="1" applyAlignment="1">
      <alignment horizontal="center" vertical="center"/>
    </xf>
    <xf numFmtId="10" fontId="4" fillId="8" borderId="10" xfId="0" applyNumberFormat="1" applyFont="1" applyFill="1" applyBorder="1" applyAlignment="1">
      <alignment horizontal="center" vertical="center"/>
    </xf>
    <xf numFmtId="0" fontId="28" fillId="0" borderId="0" xfId="2" applyFont="1"/>
    <xf numFmtId="0" fontId="0" fillId="0" borderId="0" xfId="0" applyFont="1" applyFill="1" applyBorder="1">
      <alignment vertical="center"/>
    </xf>
    <xf numFmtId="0" fontId="4" fillId="0" borderId="0" xfId="0" applyNumberFormat="1" applyFont="1" applyAlignment="1">
      <alignment horizontal="center" vertical="center"/>
    </xf>
    <xf numFmtId="0" fontId="34" fillId="0" borderId="0" xfId="0" applyFont="1">
      <alignment vertical="center"/>
    </xf>
    <xf numFmtId="0" fontId="39" fillId="2" borderId="0" xfId="0" applyFont="1" applyFill="1" applyAlignment="1"/>
    <xf numFmtId="0" fontId="40" fillId="2" borderId="0" xfId="0" applyFont="1" applyFill="1" applyAlignment="1"/>
    <xf numFmtId="0" fontId="0" fillId="0" borderId="0" xfId="0" applyFont="1">
      <alignment vertical="center"/>
    </xf>
    <xf numFmtId="0" fontId="41" fillId="0" borderId="0" xfId="0" applyFont="1">
      <alignment vertical="center"/>
    </xf>
    <xf numFmtId="40" fontId="0" fillId="0" borderId="0" xfId="0" applyNumberFormat="1" applyFont="1" applyFill="1" applyBorder="1" applyAlignment="1">
      <alignment horizontal="center" vertical="center"/>
    </xf>
    <xf numFmtId="0" fontId="0" fillId="0" borderId="0" xfId="0" applyFont="1" applyAlignment="1">
      <alignment horizontal="center" vertical="center"/>
    </xf>
    <xf numFmtId="1" fontId="0" fillId="4" borderId="1" xfId="0" applyNumberFormat="1" applyFont="1" applyFill="1" applyBorder="1" applyAlignment="1">
      <alignment horizontal="center" vertical="center"/>
    </xf>
    <xf numFmtId="0" fontId="0" fillId="0" borderId="0" xfId="0" applyFont="1" applyBorder="1">
      <alignment vertical="center"/>
    </xf>
    <xf numFmtId="0" fontId="0" fillId="4" borderId="1" xfId="0" applyFont="1" applyFill="1" applyBorder="1" applyAlignment="1">
      <alignment horizontal="center" vertical="center"/>
    </xf>
    <xf numFmtId="40"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0" xfId="0" quotePrefix="1" applyFont="1">
      <alignment vertical="center"/>
    </xf>
    <xf numFmtId="4" fontId="0" fillId="4"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9" xfId="0" applyFont="1" applyBorder="1">
      <alignment vertical="center"/>
    </xf>
    <xf numFmtId="0" fontId="0" fillId="0" borderId="8" xfId="0" applyFont="1" applyBorder="1">
      <alignment vertical="center"/>
    </xf>
    <xf numFmtId="10" fontId="13" fillId="3" borderId="1" xfId="12" applyNumberFormat="1" applyFont="1" applyFill="1" applyBorder="1" applyAlignment="1">
      <alignment horizontal="center"/>
    </xf>
    <xf numFmtId="0" fontId="42" fillId="0" borderId="1" xfId="0" applyFont="1" applyBorder="1" applyAlignment="1">
      <alignment horizontal="center" vertical="center"/>
    </xf>
    <xf numFmtId="16" fontId="15" fillId="0" borderId="0" xfId="0" quotePrefix="1" applyNumberFormat="1" applyFont="1">
      <alignment vertical="center"/>
    </xf>
    <xf numFmtId="2" fontId="5" fillId="0" borderId="0" xfId="0" applyNumberFormat="1" applyFont="1" applyAlignment="1">
      <alignment horizontal="center"/>
    </xf>
    <xf numFmtId="0" fontId="4" fillId="0" borderId="2" xfId="0" applyFont="1" applyBorder="1" applyAlignment="1">
      <alignment horizontal="center" vertical="center" wrapText="1"/>
    </xf>
    <xf numFmtId="40" fontId="4" fillId="4" borderId="2" xfId="0" applyNumberFormat="1" applyFont="1" applyFill="1" applyBorder="1" applyAlignment="1">
      <alignment horizontal="center" vertical="center"/>
    </xf>
    <xf numFmtId="4" fontId="4" fillId="3" borderId="1" xfId="0" applyNumberFormat="1" applyFont="1" applyFill="1" applyBorder="1" applyAlignment="1">
      <alignment horizontal="center" vertical="center"/>
    </xf>
    <xf numFmtId="4" fontId="4" fillId="4" borderId="1" xfId="0" applyNumberFormat="1" applyFont="1" applyFill="1" applyBorder="1" applyAlignment="1">
      <alignment horizontal="center" vertical="center"/>
    </xf>
    <xf numFmtId="0" fontId="0" fillId="0" borderId="0" xfId="0" applyFont="1" applyFill="1" applyBorder="1" applyAlignment="1">
      <alignment horizontal="center" vertical="center"/>
    </xf>
    <xf numFmtId="10" fontId="0" fillId="3" borderId="1" xfId="0" applyNumberFormat="1" applyFont="1" applyFill="1" applyBorder="1" applyAlignment="1">
      <alignment horizontal="center" vertical="center"/>
    </xf>
    <xf numFmtId="0" fontId="22" fillId="0" borderId="1" xfId="0" applyFont="1" applyBorder="1" applyAlignment="1">
      <alignment horizontal="right" vertical="center"/>
    </xf>
    <xf numFmtId="38" fontId="16" fillId="0" borderId="0" xfId="0" applyNumberFormat="1" applyFont="1" applyAlignment="1">
      <alignment horizontal="center" vertical="center"/>
    </xf>
    <xf numFmtId="40" fontId="35" fillId="0" borderId="0" xfId="0" applyNumberFormat="1" applyFont="1" applyAlignment="1">
      <alignment horizontal="center"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0" fillId="9" borderId="0" xfId="0" applyFont="1" applyFill="1" applyAlignment="1"/>
    <xf numFmtId="1" fontId="0" fillId="3" borderId="1" xfId="0" applyNumberFormat="1" applyFont="1" applyFill="1" applyBorder="1" applyAlignment="1">
      <alignment horizontal="center" vertical="center"/>
    </xf>
    <xf numFmtId="10" fontId="0" fillId="3" borderId="8" xfId="0" applyNumberFormat="1" applyFont="1" applyFill="1" applyBorder="1" applyAlignment="1">
      <alignment horizontal="center" vertical="center"/>
    </xf>
    <xf numFmtId="10" fontId="0" fillId="0" borderId="0" xfId="0" applyNumberFormat="1" applyFont="1" applyAlignment="1">
      <alignment horizontal="center" vertical="center"/>
    </xf>
    <xf numFmtId="38" fontId="0" fillId="0" borderId="0" xfId="0" applyNumberFormat="1" applyFont="1" applyAlignment="1">
      <alignment horizontal="center" vertical="center"/>
    </xf>
    <xf numFmtId="0" fontId="0" fillId="0" borderId="9" xfId="0" applyFont="1" applyBorder="1" applyAlignment="1">
      <alignment horizontal="left" vertical="center"/>
    </xf>
    <xf numFmtId="0" fontId="13" fillId="0" borderId="0" xfId="12" applyFont="1" applyAlignment="1">
      <alignment horizontal="center"/>
    </xf>
    <xf numFmtId="0" fontId="35" fillId="3" borderId="1" xfId="0" applyFont="1" applyFill="1" applyBorder="1" applyAlignment="1">
      <alignment horizontal="center"/>
    </xf>
    <xf numFmtId="0" fontId="35" fillId="0" borderId="0" xfId="0" applyFont="1" applyAlignment="1">
      <alignment horizontal="left"/>
    </xf>
    <xf numFmtId="166" fontId="35" fillId="4" borderId="1" xfId="13" applyFont="1" applyFill="1" applyBorder="1" applyAlignment="1">
      <alignment horizontal="center"/>
    </xf>
    <xf numFmtId="0" fontId="0" fillId="3" borderId="1" xfId="0" applyFont="1" applyFill="1" applyBorder="1" applyAlignment="1">
      <alignment horizontal="center" vertical="center"/>
    </xf>
    <xf numFmtId="0" fontId="0" fillId="0" borderId="0" xfId="0" applyFont="1" applyFill="1">
      <alignment vertical="center"/>
    </xf>
    <xf numFmtId="0" fontId="35" fillId="0" borderId="0" xfId="0" applyFont="1" applyFill="1" applyBorder="1" applyAlignment="1"/>
    <xf numFmtId="10" fontId="35" fillId="0" borderId="0" xfId="0" applyNumberFormat="1" applyFont="1" applyFill="1" applyBorder="1" applyAlignment="1">
      <alignment horizontal="center"/>
    </xf>
    <xf numFmtId="0" fontId="16" fillId="9" borderId="0" xfId="0" applyFont="1" applyFill="1" applyAlignment="1">
      <alignment horizontal="left"/>
    </xf>
    <xf numFmtId="10" fontId="13" fillId="4" borderId="1" xfId="0" applyNumberFormat="1" applyFont="1" applyFill="1" applyBorder="1" applyAlignment="1">
      <alignment horizontal="center" vertical="center"/>
    </xf>
    <xf numFmtId="10" fontId="35" fillId="0" borderId="0" xfId="0" applyNumberFormat="1" applyFont="1" applyFill="1" applyBorder="1" applyAlignment="1">
      <alignment horizontal="left"/>
    </xf>
    <xf numFmtId="170" fontId="0"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10" fontId="32" fillId="0" borderId="0" xfId="0"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10" fontId="16" fillId="4" borderId="1" xfId="0" applyNumberFormat="1" applyFont="1" applyFill="1" applyBorder="1" applyAlignment="1">
      <alignment horizontal="center" vertical="center"/>
    </xf>
    <xf numFmtId="1" fontId="0" fillId="0" borderId="0" xfId="0" applyNumberFormat="1" applyFont="1">
      <alignment vertical="center"/>
    </xf>
    <xf numFmtId="171" fontId="0" fillId="0" borderId="0" xfId="0" applyNumberFormat="1" applyFont="1">
      <alignment vertical="center"/>
    </xf>
    <xf numFmtId="10" fontId="16" fillId="3" borderId="1" xfId="0" applyNumberFormat="1" applyFont="1" applyFill="1" applyBorder="1" applyAlignment="1">
      <alignment horizontal="center" vertical="center"/>
    </xf>
    <xf numFmtId="0" fontId="43" fillId="11" borderId="0" xfId="12" applyFont="1" applyFill="1" applyAlignment="1">
      <alignment horizontal="left"/>
    </xf>
    <xf numFmtId="0" fontId="43" fillId="11" borderId="0" xfId="12" applyFont="1" applyFill="1" applyAlignment="1">
      <alignment horizontal="centerContinuous"/>
    </xf>
    <xf numFmtId="0" fontId="43" fillId="0" borderId="0" xfId="12" applyFont="1" applyAlignment="1">
      <alignment horizontal="centerContinuous"/>
    </xf>
    <xf numFmtId="0" fontId="43" fillId="0" borderId="0" xfId="12" applyFont="1"/>
    <xf numFmtId="0" fontId="35" fillId="0" borderId="0" xfId="12" applyFont="1"/>
    <xf numFmtId="0" fontId="35" fillId="3" borderId="1" xfId="12" applyFont="1" applyFill="1" applyBorder="1" applyAlignment="1">
      <alignment horizontal="center"/>
    </xf>
    <xf numFmtId="2" fontId="35" fillId="0" borderId="1" xfId="12" applyNumberFormat="1" applyFont="1" applyBorder="1" applyAlignment="1">
      <alignment horizontal="center"/>
    </xf>
    <xf numFmtId="2" fontId="35" fillId="0" borderId="0" xfId="12" applyNumberFormat="1" applyFont="1"/>
    <xf numFmtId="2" fontId="35" fillId="0" borderId="2" xfId="12" applyNumberFormat="1" applyFont="1" applyBorder="1" applyAlignment="1">
      <alignment horizontal="centerContinuous"/>
    </xf>
    <xf numFmtId="2" fontId="35" fillId="0" borderId="3" xfId="12" applyNumberFormat="1" applyFont="1" applyBorder="1" applyAlignment="1">
      <alignment horizontal="centerContinuous"/>
    </xf>
    <xf numFmtId="4" fontId="35" fillId="4" borderId="1" xfId="12" applyNumberFormat="1" applyFont="1" applyFill="1" applyBorder="1" applyAlignment="1">
      <alignment horizontal="center"/>
    </xf>
    <xf numFmtId="2" fontId="35" fillId="4" borderId="1" xfId="12" applyNumberFormat="1" applyFont="1" applyFill="1" applyBorder="1" applyAlignment="1">
      <alignment horizontal="center"/>
    </xf>
    <xf numFmtId="166" fontId="35" fillId="4" borderId="1" xfId="13" applyFont="1" applyFill="1" applyBorder="1"/>
    <xf numFmtId="0" fontId="44" fillId="0" borderId="0" xfId="12" applyFont="1"/>
    <xf numFmtId="0" fontId="38" fillId="0" borderId="0" xfId="12" applyFont="1"/>
    <xf numFmtId="0" fontId="35" fillId="0" borderId="0" xfId="12" applyFont="1" applyAlignment="1">
      <alignment horizontal="right"/>
    </xf>
    <xf numFmtId="4" fontId="0" fillId="3" borderId="1" xfId="0" applyNumberFormat="1" applyFont="1" applyFill="1" applyBorder="1" applyAlignment="1">
      <alignment horizontal="center" vertical="center"/>
    </xf>
    <xf numFmtId="0" fontId="15" fillId="10" borderId="0" xfId="0" applyFont="1" applyFill="1" applyAlignment="1"/>
    <xf numFmtId="0" fontId="4" fillId="10" borderId="0" xfId="0" applyFont="1" applyFill="1" applyAlignment="1"/>
    <xf numFmtId="14" fontId="6" fillId="3" borderId="1" xfId="0" applyNumberFormat="1" applyFont="1" applyFill="1" applyBorder="1" applyAlignment="1">
      <alignment horizontal="center" vertical="center"/>
    </xf>
    <xf numFmtId="3" fontId="0" fillId="4" borderId="8" xfId="0" applyNumberFormat="1" applyFont="1" applyFill="1" applyBorder="1" applyAlignment="1">
      <alignment horizontal="center" vertical="center"/>
    </xf>
    <xf numFmtId="172" fontId="0" fillId="4" borderId="9" xfId="0" applyNumberFormat="1" applyFont="1" applyFill="1" applyBorder="1" applyAlignment="1">
      <alignment horizontal="center" vertical="center"/>
    </xf>
    <xf numFmtId="172" fontId="16" fillId="4" borderId="9" xfId="0" applyNumberFormat="1" applyFont="1" applyFill="1" applyBorder="1" applyAlignment="1">
      <alignment horizontal="center" vertical="center"/>
    </xf>
    <xf numFmtId="172" fontId="0" fillId="4" borderId="1" xfId="0" applyNumberFormat="1" applyFont="1" applyFill="1" applyBorder="1" applyAlignment="1">
      <alignment horizontal="center" vertical="center"/>
    </xf>
    <xf numFmtId="172" fontId="16" fillId="0" borderId="12" xfId="0" applyNumberFormat="1" applyFont="1" applyFill="1" applyBorder="1" applyAlignment="1">
      <alignment horizontal="center" vertical="center"/>
    </xf>
    <xf numFmtId="40" fontId="0" fillId="0" borderId="0" xfId="0" applyNumberFormat="1" applyFont="1" applyFill="1" applyBorder="1" applyAlignment="1">
      <alignment vertical="center"/>
    </xf>
    <xf numFmtId="0" fontId="22" fillId="0" borderId="0" xfId="0" applyFont="1" applyAlignment="1">
      <alignment horizontal="center" vertical="center"/>
    </xf>
    <xf numFmtId="0" fontId="37" fillId="7" borderId="0" xfId="12" applyFont="1" applyFill="1"/>
    <xf numFmtId="10" fontId="13" fillId="4" borderId="1" xfId="12" applyNumberFormat="1" applyFont="1" applyFill="1" applyBorder="1" applyAlignment="1">
      <alignment horizontal="center"/>
    </xf>
    <xf numFmtId="40" fontId="13" fillId="3" borderId="1" xfId="12" applyNumberFormat="1" applyFont="1" applyFill="1" applyBorder="1" applyAlignment="1">
      <alignment horizontal="center"/>
    </xf>
    <xf numFmtId="166" fontId="13" fillId="4" borderId="1" xfId="12" applyNumberFormat="1" applyFont="1" applyFill="1" applyBorder="1" applyAlignment="1">
      <alignment horizontal="center"/>
    </xf>
    <xf numFmtId="3" fontId="13" fillId="3" borderId="1" xfId="12" applyNumberFormat="1" applyFont="1" applyFill="1" applyBorder="1" applyAlignment="1">
      <alignment horizontal="center"/>
    </xf>
    <xf numFmtId="0" fontId="13" fillId="0" borderId="0" xfId="12" applyFont="1" applyAlignment="1">
      <alignment horizontal="left"/>
    </xf>
    <xf numFmtId="1" fontId="13" fillId="3" borderId="1" xfId="12" applyNumberFormat="1" applyFont="1" applyFill="1" applyBorder="1" applyAlignment="1">
      <alignment horizontal="center"/>
    </xf>
    <xf numFmtId="0" fontId="13" fillId="0" borderId="0" xfId="12" applyFont="1" applyBorder="1"/>
    <xf numFmtId="2" fontId="13" fillId="4" borderId="1" xfId="13" applyNumberFormat="1" applyFont="1" applyFill="1" applyBorder="1" applyAlignment="1">
      <alignment horizontal="center"/>
    </xf>
    <xf numFmtId="0" fontId="45" fillId="0" borderId="0" xfId="12" applyFont="1"/>
    <xf numFmtId="0" fontId="46" fillId="0" borderId="0" xfId="0" applyFont="1">
      <alignment vertical="center"/>
    </xf>
    <xf numFmtId="0" fontId="13" fillId="0" borderId="1" xfId="7" applyFont="1" applyBorder="1"/>
    <xf numFmtId="10" fontId="13" fillId="0" borderId="1" xfId="7" applyNumberFormat="1" applyFont="1" applyBorder="1"/>
    <xf numFmtId="0" fontId="4" fillId="3"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16" fillId="0" borderId="0" xfId="0" applyFont="1" applyFill="1" applyAlignment="1">
      <alignment horizontal="center" vertical="center"/>
    </xf>
    <xf numFmtId="0" fontId="43" fillId="0" borderId="0" xfId="0" applyFont="1" applyAlignment="1">
      <alignment horizontal="center" vertical="center"/>
    </xf>
    <xf numFmtId="0" fontId="47" fillId="0" borderId="0" xfId="0" applyFont="1" applyFill="1">
      <alignment vertical="center"/>
    </xf>
    <xf numFmtId="10" fontId="35" fillId="4" borderId="1" xfId="0" applyNumberFormat="1" applyFont="1" applyFill="1" applyBorder="1" applyAlignment="1">
      <alignment horizontal="center"/>
    </xf>
    <xf numFmtId="0" fontId="47" fillId="0" borderId="0" xfId="0" applyFont="1">
      <alignment vertical="center"/>
    </xf>
    <xf numFmtId="0" fontId="33" fillId="0" borderId="0" xfId="0" applyFont="1" applyAlignment="1">
      <alignment horizontal="center" vertical="center"/>
    </xf>
    <xf numFmtId="10" fontId="35" fillId="3" borderId="1" xfId="0" applyNumberFormat="1" applyFont="1" applyFill="1" applyBorder="1" applyAlignment="1">
      <alignment horizontal="center"/>
    </xf>
    <xf numFmtId="10" fontId="48" fillId="0" borderId="0" xfId="0" applyNumberFormat="1" applyFont="1" applyAlignment="1">
      <alignment horizontal="center" vertical="center"/>
    </xf>
    <xf numFmtId="0" fontId="48" fillId="0" borderId="0" xfId="0" applyFont="1" applyAlignment="1">
      <alignment horizontal="center" vertical="center"/>
    </xf>
    <xf numFmtId="0" fontId="41" fillId="3" borderId="1" xfId="0" applyFont="1" applyFill="1" applyBorder="1" applyAlignment="1">
      <alignment horizontal="center" vertical="center"/>
    </xf>
    <xf numFmtId="173" fontId="0" fillId="4" borderId="1" xfId="0" applyNumberFormat="1" applyFont="1" applyFill="1" applyBorder="1" applyAlignment="1">
      <alignment horizontal="center" vertical="center"/>
    </xf>
    <xf numFmtId="0" fontId="16" fillId="0" borderId="0" xfId="0" quotePrefix="1" applyFont="1" applyAlignment="1">
      <alignment horizontal="center" vertical="center"/>
    </xf>
    <xf numFmtId="4" fontId="16" fillId="0" borderId="0" xfId="0" quotePrefix="1" applyNumberFormat="1" applyFont="1" applyFill="1" applyBorder="1" applyAlignment="1">
      <alignment horizontal="center" vertical="center"/>
    </xf>
    <xf numFmtId="0" fontId="16" fillId="0" borderId="0" xfId="0" applyFont="1" applyFill="1" applyBorder="1" applyAlignment="1">
      <alignment horizontal="center" vertical="center"/>
    </xf>
    <xf numFmtId="0" fontId="45" fillId="7" borderId="0" xfId="12" applyFont="1" applyFill="1"/>
    <xf numFmtId="0" fontId="45" fillId="0" borderId="0" xfId="12" applyFont="1" applyFill="1"/>
    <xf numFmtId="0" fontId="37" fillId="0" borderId="0" xfId="12" applyFont="1" applyFill="1"/>
    <xf numFmtId="0" fontId="45" fillId="6" borderId="0" xfId="12" applyFont="1" applyFill="1"/>
    <xf numFmtId="0" fontId="11" fillId="0" borderId="0" xfId="0" applyFont="1" applyFill="1" applyAlignment="1"/>
    <xf numFmtId="0" fontId="28" fillId="9" borderId="0" xfId="0" applyFont="1" applyFill="1" applyAlignment="1"/>
    <xf numFmtId="0" fontId="11" fillId="9" borderId="0" xfId="0" applyFont="1" applyFill="1" applyAlignment="1"/>
    <xf numFmtId="0" fontId="28" fillId="9" borderId="0" xfId="12" applyFont="1" applyFill="1"/>
    <xf numFmtId="0" fontId="13" fillId="9" borderId="0" xfId="12" applyFont="1" applyFill="1"/>
    <xf numFmtId="0" fontId="15" fillId="12" borderId="0" xfId="0" applyFont="1" applyFill="1" applyAlignment="1">
      <alignment horizontal="left"/>
    </xf>
    <xf numFmtId="0" fontId="4" fillId="12" borderId="0" xfId="0" applyFont="1" applyFill="1" applyAlignment="1"/>
    <xf numFmtId="0" fontId="49" fillId="7" borderId="0" xfId="0" applyFont="1" applyFill="1">
      <alignment vertical="center"/>
    </xf>
    <xf numFmtId="10" fontId="13" fillId="0" borderId="0" xfId="0" applyNumberFormat="1" applyFont="1" applyFill="1" applyBorder="1" applyAlignment="1">
      <alignment horizontal="center" vertical="center"/>
    </xf>
    <xf numFmtId="0" fontId="50" fillId="0" borderId="0" xfId="0" applyFont="1">
      <alignment vertical="center"/>
    </xf>
    <xf numFmtId="10" fontId="13"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0" fontId="4" fillId="0" borderId="0" xfId="0" applyNumberFormat="1" applyFont="1" applyAlignment="1">
      <alignment horizontal="left" vertical="center"/>
    </xf>
    <xf numFmtId="0" fontId="16" fillId="0" borderId="0" xfId="0" applyFont="1" applyBorder="1" applyAlignment="1">
      <alignment horizontal="center" vertical="center"/>
    </xf>
    <xf numFmtId="0" fontId="0" fillId="0" borderId="0" xfId="0" applyFont="1" applyFill="1" applyBorder="1" applyAlignment="1">
      <alignment horizontal="right" vertical="center"/>
    </xf>
    <xf numFmtId="0" fontId="16" fillId="0" borderId="0" xfId="0" applyFont="1" applyFill="1" applyBorder="1" applyAlignment="1">
      <alignment horizontal="right" vertical="center"/>
    </xf>
    <xf numFmtId="4" fontId="16" fillId="7" borderId="8" xfId="0" applyNumberFormat="1" applyFont="1" applyFill="1" applyBorder="1" applyAlignment="1">
      <alignment horizontal="center" vertical="center"/>
    </xf>
    <xf numFmtId="0" fontId="0" fillId="0" borderId="0" xfId="0" applyFont="1" applyAlignment="1">
      <alignment horizontal="right" vertical="center"/>
    </xf>
    <xf numFmtId="10" fontId="16" fillId="4" borderId="8" xfId="0" applyNumberFormat="1" applyFont="1" applyFill="1" applyBorder="1" applyAlignment="1">
      <alignment horizontal="center" vertical="center"/>
    </xf>
    <xf numFmtId="0" fontId="47" fillId="7" borderId="0" xfId="0" applyFont="1" applyFill="1">
      <alignment vertical="center"/>
    </xf>
    <xf numFmtId="10" fontId="35" fillId="3" borderId="1" xfId="13" applyNumberFormat="1" applyFont="1" applyFill="1" applyBorder="1" applyAlignment="1">
      <alignment horizontal="center"/>
    </xf>
    <xf numFmtId="170" fontId="43" fillId="7" borderId="9" xfId="0" applyNumberFormat="1" applyFont="1" applyFill="1" applyBorder="1" applyAlignment="1">
      <alignment horizontal="center" vertical="center"/>
    </xf>
    <xf numFmtId="4" fontId="35" fillId="3" borderId="1" xfId="12" applyNumberFormat="1" applyFont="1" applyFill="1" applyBorder="1" applyAlignment="1">
      <alignment horizontal="center"/>
    </xf>
    <xf numFmtId="2" fontId="35" fillId="0" borderId="0" xfId="12" applyNumberFormat="1" applyFont="1" applyBorder="1" applyAlignment="1">
      <alignment horizontal="center"/>
    </xf>
    <xf numFmtId="2" fontId="35" fillId="0" borderId="2" xfId="12" applyNumberFormat="1" applyFont="1" applyBorder="1" applyAlignment="1">
      <alignment horizontal="center"/>
    </xf>
    <xf numFmtId="1" fontId="35" fillId="4" borderId="1" xfId="12" applyNumberFormat="1" applyFont="1" applyFill="1" applyBorder="1" applyAlignment="1">
      <alignment horizontal="center"/>
    </xf>
    <xf numFmtId="174" fontId="13" fillId="3" borderId="1" xfId="12" applyNumberFormat="1" applyFont="1" applyFill="1" applyBorder="1" applyAlignment="1">
      <alignment horizontal="center"/>
    </xf>
    <xf numFmtId="3" fontId="16" fillId="4" borderId="8" xfId="0" applyNumberFormat="1" applyFont="1" applyFill="1" applyBorder="1" applyAlignment="1">
      <alignment horizontal="center" vertical="center"/>
    </xf>
    <xf numFmtId="3" fontId="0" fillId="4" borderId="9" xfId="0" applyNumberFormat="1" applyFont="1" applyFill="1" applyBorder="1" applyAlignment="1">
      <alignment horizontal="center" vertical="center"/>
    </xf>
    <xf numFmtId="3" fontId="16" fillId="4" borderId="9"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31" fillId="0" borderId="0" xfId="0" applyFont="1">
      <alignment vertical="center"/>
    </xf>
    <xf numFmtId="0" fontId="41" fillId="0" borderId="0" xfId="0" applyFont="1" applyAlignment="1">
      <alignment horizontal="center" vertical="center"/>
    </xf>
    <xf numFmtId="0" fontId="22" fillId="0" borderId="1" xfId="0" applyFont="1" applyBorder="1" applyAlignment="1">
      <alignment horizontal="left" vertical="center"/>
    </xf>
    <xf numFmtId="3" fontId="16" fillId="4" borderId="1" xfId="0" applyNumberFormat="1" applyFont="1" applyFill="1" applyBorder="1" applyAlignment="1">
      <alignment horizontal="center" vertical="center"/>
    </xf>
    <xf numFmtId="0" fontId="0" fillId="0" borderId="0" xfId="0" applyFont="1" applyFill="1" applyAlignment="1">
      <alignment horizontal="center" vertical="center"/>
    </xf>
    <xf numFmtId="0" fontId="16" fillId="0" borderId="0" xfId="0" applyFont="1" applyFill="1" applyBorder="1">
      <alignment vertical="center"/>
    </xf>
    <xf numFmtId="0" fontId="41" fillId="0" borderId="0" xfId="0" applyFont="1" applyFill="1" applyBorder="1">
      <alignment vertical="center"/>
    </xf>
    <xf numFmtId="0" fontId="0" fillId="0" borderId="8" xfId="0" applyFont="1" applyBorder="1" applyAlignment="1">
      <alignment horizontal="right" vertical="center"/>
    </xf>
    <xf numFmtId="0" fontId="35" fillId="0" borderId="0" xfId="12" applyFont="1" applyFill="1" applyBorder="1" applyAlignment="1">
      <alignment horizontal="center"/>
    </xf>
    <xf numFmtId="2" fontId="35" fillId="0" borderId="1" xfId="12" applyNumberFormat="1" applyFont="1" applyBorder="1"/>
    <xf numFmtId="0" fontId="22" fillId="0" borderId="0" xfId="0" applyFont="1" applyAlignment="1">
      <alignment horizontal="right" vertical="center"/>
    </xf>
    <xf numFmtId="0" fontId="38" fillId="0" borderId="0" xfId="12" applyFont="1" applyAlignment="1">
      <alignment horizontal="right"/>
    </xf>
    <xf numFmtId="4" fontId="35" fillId="4" borderId="8" xfId="12" applyNumberFormat="1" applyFont="1" applyFill="1" applyBorder="1" applyAlignment="1">
      <alignment horizontal="center"/>
    </xf>
    <xf numFmtId="0" fontId="35" fillId="0" borderId="0" xfId="12" applyFont="1" applyFill="1"/>
    <xf numFmtId="4" fontId="35" fillId="4" borderId="1" xfId="12" applyNumberFormat="1" applyFont="1" applyFill="1" applyBorder="1" applyAlignment="1">
      <alignment horizontal="right"/>
    </xf>
    <xf numFmtId="4" fontId="0" fillId="4" borderId="1" xfId="0" applyNumberFormat="1" applyFont="1" applyFill="1" applyBorder="1">
      <alignment vertical="center"/>
    </xf>
    <xf numFmtId="4" fontId="35" fillId="4" borderId="1" xfId="13" applyNumberFormat="1" applyFont="1" applyFill="1" applyBorder="1" applyAlignment="1">
      <alignment horizontal="right"/>
    </xf>
    <xf numFmtId="4" fontId="0" fillId="4" borderId="1" xfId="0" applyNumberFormat="1" applyFont="1" applyFill="1" applyBorder="1" applyAlignment="1">
      <alignment horizontal="right" vertical="center"/>
    </xf>
    <xf numFmtId="4" fontId="35" fillId="4" borderId="9" xfId="12" applyNumberFormat="1" applyFont="1" applyFill="1" applyBorder="1"/>
    <xf numFmtId="0" fontId="41" fillId="7" borderId="14" xfId="0" applyFont="1" applyFill="1" applyBorder="1">
      <alignment vertical="center"/>
    </xf>
    <xf numFmtId="0" fontId="0" fillId="0" borderId="15" xfId="0" applyFont="1" applyBorder="1">
      <alignment vertical="center"/>
    </xf>
    <xf numFmtId="0" fontId="0" fillId="0" borderId="16" xfId="0" applyFont="1" applyBorder="1">
      <alignment vertical="center"/>
    </xf>
    <xf numFmtId="0" fontId="0" fillId="0" borderId="17" xfId="0" applyFont="1" applyBorder="1" applyAlignment="1"/>
    <xf numFmtId="0" fontId="0" fillId="3" borderId="18" xfId="0" applyFont="1" applyFill="1" applyBorder="1" applyAlignment="1">
      <alignment horizontal="center"/>
    </xf>
    <xf numFmtId="0" fontId="0" fillId="0" borderId="17" xfId="0" applyFont="1" applyBorder="1">
      <alignment vertical="center"/>
    </xf>
    <xf numFmtId="0" fontId="0" fillId="3" borderId="18" xfId="0" applyFont="1" applyFill="1" applyBorder="1" applyAlignment="1">
      <alignment horizontal="center" vertical="center"/>
    </xf>
    <xf numFmtId="0" fontId="0" fillId="0" borderId="19" xfId="0" applyFont="1" applyBorder="1">
      <alignment vertical="center"/>
    </xf>
    <xf numFmtId="10" fontId="0" fillId="3" borderId="18" xfId="0" applyNumberFormat="1" applyFont="1" applyFill="1" applyBorder="1" applyAlignment="1">
      <alignment horizontal="center" vertical="center"/>
    </xf>
    <xf numFmtId="4" fontId="0" fillId="3" borderId="18" xfId="0" applyNumberFormat="1" applyFont="1" applyFill="1" applyBorder="1" applyAlignment="1">
      <alignment horizontal="center" vertical="center"/>
    </xf>
    <xf numFmtId="0" fontId="0" fillId="0" borderId="20" xfId="0" applyFont="1" applyBorder="1">
      <alignment vertical="center"/>
    </xf>
    <xf numFmtId="0" fontId="0" fillId="0" borderId="21" xfId="0" applyFont="1" applyBorder="1">
      <alignment vertical="center"/>
    </xf>
    <xf numFmtId="10" fontId="0" fillId="3" borderId="22" xfId="0" applyNumberFormat="1" applyFont="1" applyFill="1" applyBorder="1" applyAlignment="1">
      <alignment horizontal="center" vertical="center"/>
    </xf>
    <xf numFmtId="0" fontId="16" fillId="0" borderId="0" xfId="0" applyFont="1" applyAlignment="1">
      <alignment horizontal="left" vertical="center"/>
    </xf>
    <xf numFmtId="0" fontId="4" fillId="0" borderId="0" xfId="0" applyFont="1" applyBorder="1">
      <alignment vertical="center"/>
    </xf>
    <xf numFmtId="0" fontId="15" fillId="0" borderId="14" xfId="0" applyFont="1" applyBorder="1">
      <alignment vertical="center"/>
    </xf>
    <xf numFmtId="4" fontId="0" fillId="0" borderId="0"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right" vertical="center"/>
    </xf>
    <xf numFmtId="0" fontId="4" fillId="0" borderId="20" xfId="0" applyFont="1" applyBorder="1" applyAlignment="1">
      <alignment horizontal="right" vertical="center"/>
    </xf>
    <xf numFmtId="0" fontId="4" fillId="0" borderId="0" xfId="0" applyFont="1" applyBorder="1" applyAlignment="1">
      <alignment horizontal="right" vertical="center"/>
    </xf>
    <xf numFmtId="175" fontId="4" fillId="3" borderId="1" xfId="0" applyNumberFormat="1" applyFont="1" applyFill="1" applyBorder="1" applyAlignment="1">
      <alignment horizontal="center" vertical="center"/>
    </xf>
    <xf numFmtId="10" fontId="0" fillId="0" borderId="0" xfId="0" applyNumberFormat="1" applyFont="1">
      <alignment vertical="center"/>
    </xf>
    <xf numFmtId="176" fontId="4" fillId="3" borderId="1"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3" borderId="23" xfId="0" applyFont="1" applyFill="1" applyBorder="1">
      <alignment vertical="center"/>
    </xf>
    <xf numFmtId="0" fontId="4" fillId="4" borderId="18" xfId="0" applyFont="1" applyFill="1" applyBorder="1" applyAlignment="1">
      <alignment horizontal="center" vertical="center"/>
    </xf>
    <xf numFmtId="0" fontId="4" fillId="0" borderId="0" xfId="0" applyFont="1" applyAlignment="1">
      <alignment horizontal="right" vertical="center"/>
    </xf>
    <xf numFmtId="40" fontId="0" fillId="4" borderId="1" xfId="0" applyNumberFormat="1" applyFont="1" applyFill="1" applyBorder="1" applyAlignment="1">
      <alignment horizontal="center" vertical="center"/>
    </xf>
    <xf numFmtId="0" fontId="22" fillId="0" borderId="0" xfId="0" applyFont="1" applyFill="1" applyBorder="1">
      <alignment vertical="center"/>
    </xf>
    <xf numFmtId="4" fontId="35" fillId="3" borderId="1" xfId="0" applyNumberFormat="1" applyFont="1" applyFill="1" applyBorder="1" applyAlignment="1">
      <alignment horizontal="center"/>
    </xf>
    <xf numFmtId="0" fontId="0" fillId="3" borderId="1" xfId="0" applyFont="1" applyFill="1" applyBorder="1">
      <alignment vertical="center"/>
    </xf>
    <xf numFmtId="0" fontId="4" fillId="3" borderId="1" xfId="0" applyFont="1" applyFill="1" applyBorder="1" applyAlignment="1">
      <alignment horizontal="center" vertical="center"/>
    </xf>
    <xf numFmtId="0" fontId="0" fillId="3" borderId="0" xfId="0" applyFont="1" applyFill="1" applyBorder="1" applyAlignment="1">
      <alignment horizontal="left" vertical="center"/>
    </xf>
    <xf numFmtId="40" fontId="0" fillId="4" borderId="1" xfId="0" applyNumberFormat="1" applyFont="1" applyFill="1" applyBorder="1" applyAlignment="1">
      <alignment horizontal="center" vertical="center"/>
    </xf>
    <xf numFmtId="40" fontId="0" fillId="4" borderId="8" xfId="0" applyNumberFormat="1" applyFont="1" applyFill="1" applyBorder="1" applyAlignment="1">
      <alignment horizontal="center" vertical="center"/>
    </xf>
    <xf numFmtId="40" fontId="0" fillId="4" borderId="9" xfId="0" applyNumberFormat="1" applyFont="1" applyFill="1" applyBorder="1" applyAlignment="1">
      <alignment horizontal="center" vertical="center"/>
    </xf>
    <xf numFmtId="0" fontId="22" fillId="0" borderId="13" xfId="0" applyFont="1" applyBorder="1" applyAlignment="1">
      <alignment horizontal="center" vertical="center"/>
    </xf>
    <xf numFmtId="170" fontId="0" fillId="4" borderId="9" xfId="0" applyNumberFormat="1" applyFont="1" applyFill="1" applyBorder="1" applyAlignment="1">
      <alignment horizontal="center" vertical="center"/>
    </xf>
    <xf numFmtId="0" fontId="36" fillId="0" borderId="0" xfId="0" applyFont="1" applyAlignment="1">
      <alignment horizontal="center" vertical="center"/>
    </xf>
    <xf numFmtId="4" fontId="35" fillId="4" borderId="1" xfId="0" applyNumberFormat="1" applyFont="1" applyFill="1" applyBorder="1" applyAlignment="1">
      <alignment horizontal="center" vertical="center"/>
    </xf>
    <xf numFmtId="0" fontId="4" fillId="0" borderId="4" xfId="0" applyFont="1" applyFill="1" applyBorder="1">
      <alignment vertical="center"/>
    </xf>
    <xf numFmtId="0" fontId="4" fillId="0" borderId="9" xfId="0" applyFont="1" applyFill="1" applyBorder="1">
      <alignment vertical="center"/>
    </xf>
    <xf numFmtId="0" fontId="4" fillId="0" borderId="10" xfId="0" applyFont="1" applyFill="1" applyBorder="1">
      <alignment vertical="center"/>
    </xf>
    <xf numFmtId="0" fontId="4" fillId="0" borderId="1" xfId="0" applyFont="1" applyFill="1" applyBorder="1">
      <alignment vertical="center"/>
    </xf>
    <xf numFmtId="40" fontId="4" fillId="3" borderId="2" xfId="0" applyNumberFormat="1" applyFont="1" applyFill="1" applyBorder="1" applyAlignment="1">
      <alignment horizontal="center" vertical="center"/>
    </xf>
    <xf numFmtId="40" fontId="4" fillId="3" borderId="11" xfId="0" applyNumberFormat="1" applyFont="1" applyFill="1" applyBorder="1" applyAlignment="1">
      <alignment horizontal="center" vertical="center"/>
    </xf>
    <xf numFmtId="10" fontId="4" fillId="4" borderId="2" xfId="0" applyNumberFormat="1" applyFont="1" applyFill="1" applyBorder="1" applyAlignment="1">
      <alignment horizontal="center" vertical="center"/>
    </xf>
    <xf numFmtId="10" fontId="4" fillId="0" borderId="0" xfId="0" applyNumberFormat="1" applyFont="1" applyFill="1" applyBorder="1" applyAlignment="1">
      <alignment horizontal="center" vertical="center"/>
    </xf>
    <xf numFmtId="10" fontId="4" fillId="4" borderId="3" xfId="0" applyNumberFormat="1" applyFont="1" applyFill="1" applyBorder="1" applyAlignment="1">
      <alignment horizontal="center" vertical="center"/>
    </xf>
    <xf numFmtId="10" fontId="4" fillId="0" borderId="12" xfId="0" applyNumberFormat="1" applyFont="1" applyFill="1" applyBorder="1" applyAlignment="1">
      <alignment horizontal="center" vertical="center"/>
    </xf>
    <xf numFmtId="10" fontId="4" fillId="0" borderId="25" xfId="0" applyNumberFormat="1" applyFont="1" applyFill="1" applyBorder="1" applyAlignment="1">
      <alignment horizontal="center" vertical="center"/>
    </xf>
    <xf numFmtId="10" fontId="4" fillId="0" borderId="24" xfId="0" applyNumberFormat="1" applyFont="1" applyFill="1" applyBorder="1" applyAlignment="1">
      <alignment horizontal="center" vertical="center"/>
    </xf>
    <xf numFmtId="10" fontId="4" fillId="0" borderId="7" xfId="0" applyNumberFormat="1" applyFont="1" applyFill="1" applyBorder="1" applyAlignment="1">
      <alignment horizontal="center" vertical="center"/>
    </xf>
    <xf numFmtId="10" fontId="4" fillId="0" borderId="10" xfId="0" applyNumberFormat="1" applyFont="1" applyFill="1" applyBorder="1" applyAlignment="1">
      <alignment horizontal="center" vertical="center"/>
    </xf>
    <xf numFmtId="10" fontId="4" fillId="0" borderId="9" xfId="0" applyNumberFormat="1" applyFont="1" applyFill="1" applyBorder="1" applyAlignment="1">
      <alignment horizontal="center" vertical="center"/>
    </xf>
    <xf numFmtId="165" fontId="4" fillId="3" borderId="4" xfId="0" applyNumberFormat="1" applyFont="1" applyFill="1" applyBorder="1" applyAlignment="1">
      <alignment horizontal="center" vertical="center"/>
    </xf>
    <xf numFmtId="0" fontId="4" fillId="4" borderId="3" xfId="0" applyFont="1" applyFill="1" applyBorder="1" applyAlignment="1">
      <alignment horizontal="center" vertical="center"/>
    </xf>
    <xf numFmtId="3" fontId="4" fillId="4" borderId="1" xfId="0" applyNumberFormat="1" applyFont="1" applyFill="1" applyBorder="1" applyAlignment="1">
      <alignment horizontal="center" vertical="center"/>
    </xf>
    <xf numFmtId="4" fontId="4" fillId="4" borderId="23" xfId="0" applyNumberFormat="1" applyFont="1" applyFill="1" applyBorder="1" applyAlignment="1">
      <alignment horizontal="center" vertical="center"/>
    </xf>
    <xf numFmtId="4" fontId="4" fillId="0" borderId="0" xfId="0" applyNumberFormat="1" applyFont="1" applyFill="1" applyBorder="1" applyAlignment="1">
      <alignment horizontal="center" vertical="center"/>
    </xf>
  </cellXfs>
  <cellStyles count="15">
    <cellStyle name="Currency 2" xfId="13" xr:uid="{00000000-0005-0000-0000-000000000000}"/>
    <cellStyle name="Normal" xfId="0" builtinId="0"/>
    <cellStyle name="Normal 2" xfId="3" xr:uid="{00000000-0005-0000-0000-000002000000}"/>
    <cellStyle name="Normal 3" xfId="12" xr:uid="{00000000-0005-0000-0000-000003000000}"/>
    <cellStyle name="Percent" xfId="1" builtinId="5"/>
    <cellStyle name="Percent 2" xfId="14" xr:uid="{00000000-0005-0000-0000-000005000000}"/>
    <cellStyle name="一般 2" xfId="2" xr:uid="{00000000-0005-0000-0000-000006000000}"/>
    <cellStyle name="一般 3" xfId="5" xr:uid="{00000000-0005-0000-0000-000007000000}"/>
    <cellStyle name="一般 3 2" xfId="6" xr:uid="{00000000-0005-0000-0000-000008000000}"/>
    <cellStyle name="一般 4" xfId="7" xr:uid="{00000000-0005-0000-0000-000009000000}"/>
    <cellStyle name="千分位 2" xfId="8" xr:uid="{00000000-0005-0000-0000-00000A000000}"/>
    <cellStyle name="百分比 2" xfId="9" xr:uid="{00000000-0005-0000-0000-00000B000000}"/>
    <cellStyle name="百分比 3" xfId="10" xr:uid="{00000000-0005-0000-0000-00000C000000}"/>
    <cellStyle name="貨幣 2" xfId="4" xr:uid="{00000000-0005-0000-0000-00000D000000}"/>
    <cellStyle name="貨幣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57150</xdr:colOff>
      <xdr:row>1</xdr:row>
      <xdr:rowOff>95250</xdr:rowOff>
    </xdr:from>
    <xdr:ext cx="2215478" cy="609013"/>
    <xdr:sp macro="" textlink="">
      <xdr:nvSpPr>
        <xdr:cNvPr id="2" name="TextBox 2">
          <a:extLst>
            <a:ext uri="{FF2B5EF4-FFF2-40B4-BE49-F238E27FC236}">
              <a16:creationId xmlns:a16="http://schemas.microsoft.com/office/drawing/2014/main" id="{1BDA3002-486D-42E9-B040-2487B22C78DC}"/>
            </a:ext>
          </a:extLst>
        </xdr:cNvPr>
        <xdr:cNvSpPr txBox="1"/>
      </xdr:nvSpPr>
      <xdr:spPr>
        <a:xfrm>
          <a:off x="10563225" y="29527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a:t>
          </a:r>
          <a:r>
            <a:rPr lang="en-US" sz="1100" baseline="0">
              <a:solidFill>
                <a:srgbClr val="FF0000"/>
              </a:solidFill>
            </a:rPr>
            <a:t> EBIT Growth rate </a:t>
          </a:r>
          <a:r>
            <a:rPr lang="en-US" sz="1100">
              <a:solidFill>
                <a:srgbClr val="FF0000"/>
              </a:solidFill>
            </a:rPr>
            <a:t>against</a:t>
          </a:r>
        </a:p>
        <a:p>
          <a:r>
            <a:rPr lang="en-US" sz="1100">
              <a:solidFill>
                <a:srgbClr val="FF0000"/>
              </a:solidFill>
            </a:rPr>
            <a:t>a.</a:t>
          </a:r>
          <a:r>
            <a:rPr lang="en-US" sz="1100" baseline="0">
              <a:solidFill>
                <a:srgbClr val="FF0000"/>
              </a:solidFill>
            </a:rPr>
            <a:t> Historical EBIT growth rate</a:t>
          </a:r>
        </a:p>
        <a:p>
          <a:r>
            <a:rPr lang="en-US" sz="1100" baseline="0">
              <a:solidFill>
                <a:srgbClr val="FF0000"/>
              </a:solidFill>
            </a:rPr>
            <a:t>b. Overall market EBIT growth rate</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763375" y="580072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343900" y="146304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AB107"/>
  <sheetViews>
    <sheetView showGridLines="0" topLeftCell="A8" zoomScaleNormal="100" workbookViewId="0">
      <pane xSplit="1" topLeftCell="Q1" activePane="topRight" state="frozen"/>
      <selection activeCell="A4" sqref="A4"/>
      <selection pane="topRight" activeCell="Y14" sqref="Y14"/>
    </sheetView>
  </sheetViews>
  <sheetFormatPr defaultColWidth="8.875" defaultRowHeight="15.75" outlineLevelRow="1"/>
  <cols>
    <col min="1" max="1" width="14.875" style="1" customWidth="1"/>
    <col min="2" max="28" width="19.125" style="1" customWidth="1"/>
    <col min="29" max="16384" width="8.875" style="1"/>
  </cols>
  <sheetData>
    <row r="1" spans="1:28">
      <c r="A1" s="186" t="s">
        <v>232</v>
      </c>
      <c r="B1" s="187"/>
      <c r="C1" s="187"/>
      <c r="D1" s="187"/>
      <c r="E1" s="187"/>
    </row>
    <row r="2" spans="1:28" ht="16.5" thickBot="1">
      <c r="A2" s="1" t="s">
        <v>408</v>
      </c>
      <c r="B2" s="316" t="s">
        <v>585</v>
      </c>
      <c r="C2" s="316"/>
      <c r="E2" s="1" t="s">
        <v>409</v>
      </c>
      <c r="F2" s="188">
        <v>44293</v>
      </c>
    </row>
    <row r="3" spans="1:28">
      <c r="A3" s="1" t="s">
        <v>410</v>
      </c>
      <c r="B3" s="2" t="s">
        <v>411</v>
      </c>
      <c r="I3" s="296" t="s">
        <v>578</v>
      </c>
      <c r="J3" s="298" t="s">
        <v>564</v>
      </c>
      <c r="K3" s="298" t="s">
        <v>491</v>
      </c>
      <c r="L3" s="300" t="s">
        <v>587</v>
      </c>
      <c r="M3" s="295"/>
      <c r="N3" s="299" t="s">
        <v>564</v>
      </c>
    </row>
    <row r="4" spans="1:28">
      <c r="A4" s="1" t="s">
        <v>414</v>
      </c>
      <c r="B4" s="306">
        <v>333</v>
      </c>
      <c r="C4" s="209" t="s">
        <v>500</v>
      </c>
      <c r="E4" s="1" t="s">
        <v>515</v>
      </c>
      <c r="F4" s="2" t="s">
        <v>501</v>
      </c>
      <c r="I4" s="301" t="s">
        <v>494</v>
      </c>
      <c r="J4" s="136">
        <f>B4/N4</f>
        <v>9.6876062821342543</v>
      </c>
      <c r="K4" s="308"/>
      <c r="L4" s="310" t="e">
        <f ca="1">Scenarios!$E$14/N4</f>
        <v>#REF!</v>
      </c>
      <c r="M4" s="303" t="s">
        <v>579</v>
      </c>
      <c r="N4" s="136">
        <f>((B14*C10)/B5)*F6</f>
        <v>34.373816431218295</v>
      </c>
    </row>
    <row r="5" spans="1:28">
      <c r="A5" s="1" t="s">
        <v>415</v>
      </c>
      <c r="B5" s="340">
        <v>632711112</v>
      </c>
      <c r="E5" s="1" t="s">
        <v>416</v>
      </c>
      <c r="F5" s="241" t="str">
        <f>IF(C4=F4,"NA",CONCATENATE(F4,"/",C4))</f>
        <v>RMB/HKD</v>
      </c>
      <c r="I5" s="301" t="s">
        <v>493</v>
      </c>
      <c r="J5" s="136">
        <f>B4/N5</f>
        <v>1.7480555725055822</v>
      </c>
      <c r="K5" s="308"/>
      <c r="L5" s="310" t="e">
        <f ca="1">Scenarios!$E$14/N5</f>
        <v>#REF!</v>
      </c>
      <c r="M5" s="303" t="s">
        <v>580</v>
      </c>
      <c r="N5" s="136">
        <f>((M14*C10)/B5)*F6</f>
        <v>190.4973761919326</v>
      </c>
    </row>
    <row r="6" spans="1:28">
      <c r="A6" s="1" t="s">
        <v>598</v>
      </c>
      <c r="B6" s="342">
        <f>Current_Price*Num_of_Shares/1000000</f>
        <v>210692.800296</v>
      </c>
      <c r="C6" s="341" t="str">
        <f>"Million "&amp;Price_Currency</f>
        <v>Million HKD</v>
      </c>
      <c r="E6" s="1" t="s">
        <v>576</v>
      </c>
      <c r="F6" s="304">
        <v>1.1867024399999999</v>
      </c>
      <c r="I6" s="301" t="s">
        <v>492</v>
      </c>
      <c r="J6" s="136">
        <f>B4/N6</f>
        <v>-124.76792714875226</v>
      </c>
      <c r="K6" s="308"/>
      <c r="L6" s="310" t="e">
        <f ca="1">Scenarios!$E$14/N6</f>
        <v>#REF!</v>
      </c>
      <c r="M6" s="303" t="s">
        <v>581</v>
      </c>
      <c r="N6" s="136">
        <f>((D14*C10)/B5)*F6</f>
        <v>-2.6689551362265309</v>
      </c>
    </row>
    <row r="7" spans="1:28" ht="16.5" thickBot="1">
      <c r="I7" s="302" t="s">
        <v>583</v>
      </c>
      <c r="J7" s="343">
        <f>Current_Price/N7</f>
        <v>-64.451759038237995</v>
      </c>
      <c r="K7" s="309"/>
      <c r="L7" s="310" t="e">
        <f ca="1">Scenarios!$E$14/N7</f>
        <v>#REF!</v>
      </c>
      <c r="M7" s="311" t="s">
        <v>584</v>
      </c>
      <c r="N7" s="135">
        <f>I14*C10/Num_of_Shares</f>
        <v>-5.1666549519996421</v>
      </c>
    </row>
    <row r="8" spans="1:28">
      <c r="A8" s="186" t="s">
        <v>417</v>
      </c>
      <c r="B8" s="187"/>
      <c r="C8" s="187"/>
      <c r="D8" s="187"/>
      <c r="E8" s="187"/>
    </row>
    <row r="9" spans="1:28">
      <c r="A9" s="13" t="s">
        <v>12</v>
      </c>
      <c r="B9" s="1" t="s">
        <v>316</v>
      </c>
      <c r="C9" s="2">
        <v>2019</v>
      </c>
      <c r="E9" s="1" t="s">
        <v>538</v>
      </c>
      <c r="F9" s="28">
        <v>12</v>
      </c>
    </row>
    <row r="10" spans="1:28">
      <c r="B10" s="1" t="s">
        <v>522</v>
      </c>
      <c r="C10" s="35">
        <v>1000000</v>
      </c>
      <c r="F10" s="344"/>
    </row>
    <row r="11" spans="1:28" s="31" customFormat="1" ht="42.95" customHeight="1">
      <c r="B11" s="32" t="s">
        <v>536</v>
      </c>
      <c r="C11" s="32" t="s">
        <v>537</v>
      </c>
      <c r="D11" s="32" t="s">
        <v>535</v>
      </c>
      <c r="E11" s="32" t="s">
        <v>196</v>
      </c>
      <c r="F11" s="32" t="s">
        <v>202</v>
      </c>
      <c r="G11" s="32" t="s">
        <v>192</v>
      </c>
      <c r="H11" s="32" t="s">
        <v>193</v>
      </c>
      <c r="I11" s="32" t="s">
        <v>599</v>
      </c>
      <c r="J11" s="32" t="s">
        <v>368</v>
      </c>
      <c r="K11" s="32" t="s">
        <v>369</v>
      </c>
      <c r="L11" s="32" t="s">
        <v>577</v>
      </c>
      <c r="M11" s="32" t="s">
        <v>208</v>
      </c>
      <c r="N11" s="32" t="s">
        <v>582</v>
      </c>
      <c r="O11" s="32" t="s">
        <v>194</v>
      </c>
      <c r="P11" s="32" t="s">
        <v>379</v>
      </c>
      <c r="Q11" s="133" t="s">
        <v>593</v>
      </c>
      <c r="R11" s="133" t="s">
        <v>594</v>
      </c>
      <c r="S11" s="32" t="s">
        <v>380</v>
      </c>
      <c r="T11" s="32" t="s">
        <v>543</v>
      </c>
      <c r="U11" s="32" t="s">
        <v>315</v>
      </c>
      <c r="V11" s="32" t="s">
        <v>195</v>
      </c>
      <c r="W11" s="32" t="s">
        <v>534</v>
      </c>
      <c r="X11" s="32" t="s">
        <v>312</v>
      </c>
      <c r="Y11" s="32" t="s">
        <v>545</v>
      </c>
      <c r="Z11" s="32" t="s">
        <v>588</v>
      </c>
      <c r="AA11" s="133" t="s">
        <v>503</v>
      </c>
      <c r="AB11" s="32" t="s">
        <v>378</v>
      </c>
    </row>
    <row r="12" spans="1:28" ht="29.1" customHeight="1" outlineLevel="1">
      <c r="A12" s="98" t="str">
        <f>CONCATENATE("First X months of ",$C$9+1)</f>
        <v>First X months of 2020</v>
      </c>
      <c r="B12" s="36"/>
      <c r="C12" s="97" t="str">
        <f>IF(OR(In_Sales="",B15=""),"",(In_Sales-B15)/B15)</f>
        <v/>
      </c>
      <c r="D12" s="36"/>
      <c r="E12" s="107" t="str">
        <f>IF(In_Sales="","",In_EBIT/In_Sales)</f>
        <v/>
      </c>
      <c r="F12" s="97" t="str">
        <f t="shared" ref="F12:F41" si="0">IF(OR(In_EBIT="",$D15=""),"",IF(D15&gt;0,In_EBIT/D15-1,IF(D15&lt;0,-(In_EBIT/D15-1),1)))</f>
        <v/>
      </c>
      <c r="G12" s="19"/>
      <c r="H12" s="18"/>
      <c r="I12" s="135"/>
      <c r="J12" s="135"/>
      <c r="K12" s="135"/>
      <c r="L12" s="36"/>
      <c r="M12" s="36"/>
      <c r="N12" s="36"/>
      <c r="O12" s="36"/>
      <c r="P12" s="36"/>
      <c r="Q12" s="325"/>
      <c r="R12" s="14"/>
      <c r="S12" s="81" t="str">
        <f>IF(In_Sales="","",Current_Asset-In_Cash+In_Debt-Current_Liabilities)</f>
        <v/>
      </c>
      <c r="T12" s="106"/>
      <c r="U12" s="36"/>
      <c r="V12" s="36"/>
      <c r="W12" s="39" t="str">
        <f>IF(In_Sales="","",In_Capex-In_Dep)</f>
        <v/>
      </c>
      <c r="X12" s="97" t="str">
        <f>IF(In_Sales="","",In_NetCapex/In_Sales)</f>
        <v/>
      </c>
      <c r="Y12" s="38" t="str">
        <f>IF(S15="","",NonCash_WC-S15)</f>
        <v/>
      </c>
      <c r="Z12" s="335"/>
      <c r="AA12" s="334"/>
      <c r="AB12" s="338"/>
    </row>
    <row r="13" spans="1:28" ht="29.1" customHeight="1" outlineLevel="1">
      <c r="A13" s="99" t="str">
        <f>CONCATENATE("Last 10k of ",$C$9)</f>
        <v>Last 10k of 2019</v>
      </c>
      <c r="B13" s="19">
        <v>18327</v>
      </c>
      <c r="C13" s="97">
        <f>IF(OR(In_Sales="",B16=""),"",(In_Sales-B16)/B16)</f>
        <v>-0.48686863030574534</v>
      </c>
      <c r="D13" s="37">
        <v>-1423</v>
      </c>
      <c r="E13" s="97">
        <f>IF(In_Sales="","",In_EBIT/In_Sales)</f>
        <v>-7.7645004637965837E-2</v>
      </c>
      <c r="F13" s="97">
        <f t="shared" si="0"/>
        <v>-1.2823412698412699</v>
      </c>
      <c r="G13" s="19">
        <v>2187</v>
      </c>
      <c r="H13" s="18">
        <v>0</v>
      </c>
      <c r="I13" s="135">
        <v>-3269</v>
      </c>
      <c r="J13" s="135">
        <v>58011</v>
      </c>
      <c r="K13" s="135">
        <v>58369</v>
      </c>
      <c r="L13" s="37">
        <f>33665+22718+618</f>
        <v>57001</v>
      </c>
      <c r="M13" s="37">
        <v>101567</v>
      </c>
      <c r="N13" s="37">
        <v>1213</v>
      </c>
      <c r="O13" s="37">
        <v>18096</v>
      </c>
      <c r="P13" s="37">
        <v>0</v>
      </c>
      <c r="Q13" s="326"/>
      <c r="R13" s="14"/>
      <c r="S13" s="81">
        <f>Current_Asset-In_Cash+In_Debt-Current_Liabilities</f>
        <v>38547</v>
      </c>
      <c r="T13" s="97">
        <f>NonCash_WC/In_Sales</f>
        <v>2.1032902275331478</v>
      </c>
      <c r="U13" s="37">
        <f>532+958</f>
        <v>1490</v>
      </c>
      <c r="V13" s="37">
        <f>790+427+349</f>
        <v>1566</v>
      </c>
      <c r="W13" s="39">
        <f>In_Capex-In_Dep</f>
        <v>-76</v>
      </c>
      <c r="X13" s="97">
        <f>In_NetCapex/In_Sales</f>
        <v>-4.146887106454957E-3</v>
      </c>
      <c r="Y13" s="39">
        <f>NonCash_WC-S16</f>
        <v>8895</v>
      </c>
      <c r="Z13" s="335"/>
      <c r="AA13" s="334"/>
      <c r="AB13" s="338"/>
    </row>
    <row r="14" spans="1:28" ht="29.1" customHeight="1">
      <c r="A14" s="100" t="str">
        <f>CONCATENATE("LTM of ",$C$9)</f>
        <v>LTM of 2019</v>
      </c>
      <c r="B14" s="20">
        <f>IF(M_beyond10K=12,B13,B13-B15+B12)</f>
        <v>18327</v>
      </c>
      <c r="C14" s="27">
        <f>IF(OR(In_Sales="",B17=""),"",In_Sales/B17-1)</f>
        <v>-0.48686863030574534</v>
      </c>
      <c r="D14" s="20">
        <f>IF(M_beyond10K=12,D13,D13-D15+D12)</f>
        <v>-1423</v>
      </c>
      <c r="E14" s="27">
        <f>In_EBIT/In_Sales</f>
        <v>-7.7645004637965837E-2</v>
      </c>
      <c r="F14" s="27">
        <f t="shared" si="0"/>
        <v>-1.2823412698412699</v>
      </c>
      <c r="G14" s="20">
        <f>IF(F9=12,G13,G13-G15+G12)</f>
        <v>2187</v>
      </c>
      <c r="H14" s="27">
        <f>IF(F9=12,H13,H13*((12-$F$9)/12)+H12*($F$9/12))</f>
        <v>0</v>
      </c>
      <c r="I14" s="136">
        <f>IF(M_beyond10K=12,I13,I13-I15+I12)</f>
        <v>-3269</v>
      </c>
      <c r="J14" s="20">
        <f t="shared" ref="J14:P14" si="1">IF(M_beyond10K=12,J13,J12)</f>
        <v>58011</v>
      </c>
      <c r="K14" s="20">
        <f t="shared" si="1"/>
        <v>58369</v>
      </c>
      <c r="L14" s="20">
        <f t="shared" si="1"/>
        <v>57001</v>
      </c>
      <c r="M14" s="20">
        <f t="shared" si="1"/>
        <v>101567</v>
      </c>
      <c r="N14" s="20">
        <f t="shared" si="1"/>
        <v>1213</v>
      </c>
      <c r="O14" s="20">
        <f t="shared" si="1"/>
        <v>18096</v>
      </c>
      <c r="P14" s="20">
        <f t="shared" si="1"/>
        <v>0</v>
      </c>
      <c r="Q14" s="134">
        <f>In_Debt+In_Equity-Cash-NonOperating_Assets</f>
        <v>140472</v>
      </c>
      <c r="R14" s="329">
        <v>187249</v>
      </c>
      <c r="S14" s="20">
        <f>Current_Asset+In_Debt-Current_Liabilities-In_Cash</f>
        <v>38547</v>
      </c>
      <c r="T14" s="27">
        <f>NonCash_WC/In_Sales</f>
        <v>2.1032902275331478</v>
      </c>
      <c r="U14" s="20">
        <f>IF(M_beyond10K=12,U13,U13-U15+U12)</f>
        <v>1490</v>
      </c>
      <c r="V14" s="20">
        <f>IF(M_beyond10K=12,V13,V13-V15+V12)</f>
        <v>1566</v>
      </c>
      <c r="W14" s="20">
        <f>In_Capex-In_Dep</f>
        <v>-76</v>
      </c>
      <c r="X14" s="27">
        <f>In_NetCapex/In_Sales</f>
        <v>-4.146887106454957E-3</v>
      </c>
      <c r="Y14" s="20">
        <f>NonCash_WC-S17</f>
        <v>8895</v>
      </c>
      <c r="Z14" s="27">
        <f>In_EBIT/R14</f>
        <v>-7.5995065394207709E-3</v>
      </c>
      <c r="AA14" s="331">
        <f>(In_EBIT*(1-Adj_Effective_T))/Q17</f>
        <v>-1.0418649602436632E-2</v>
      </c>
      <c r="AB14" s="27">
        <f>(In_NetCapex+In_WCInv)/(In_EBIT*(1-Adj_Effective_T))</f>
        <v>-6.1974701335207305</v>
      </c>
    </row>
    <row r="15" spans="1:28" ht="29.1" customHeight="1" outlineLevel="1">
      <c r="A15" s="98" t="str">
        <f>CONCATENATE("First X months of ",$C$9)</f>
        <v>First X months of 2019</v>
      </c>
      <c r="B15" s="36"/>
      <c r="C15" s="97" t="str">
        <f>IF(OR(In_Sales="",B18=""),"",(In_Sales-B18)/B18)</f>
        <v/>
      </c>
      <c r="D15" s="36"/>
      <c r="E15" s="107" t="str">
        <f t="shared" ref="E15:E42" si="2">IF(In_Sales="","",In_EBIT/In_Sales)</f>
        <v/>
      </c>
      <c r="F15" s="97" t="str">
        <f t="shared" si="0"/>
        <v/>
      </c>
      <c r="G15" s="19"/>
      <c r="H15" s="18"/>
      <c r="I15" s="135"/>
      <c r="J15" s="135"/>
      <c r="K15" s="135"/>
      <c r="L15" s="36"/>
      <c r="M15" s="36"/>
      <c r="N15" s="36"/>
      <c r="O15" s="36"/>
      <c r="P15" s="36"/>
      <c r="Q15" s="325"/>
      <c r="R15" s="14"/>
      <c r="S15" s="81" t="str">
        <f t="shared" ref="S15:S42" si="3">IF(In_Sales="","",Current_Asset-In_Cash+In_Debt-Current_Liabilities)</f>
        <v/>
      </c>
      <c r="T15" s="106"/>
      <c r="U15" s="36"/>
      <c r="V15" s="36"/>
      <c r="W15" s="39" t="str">
        <f t="shared" ref="W15:W42" si="4">IF(In_Sales="","",In_Capex-In_Dep)</f>
        <v/>
      </c>
      <c r="X15" s="97" t="str">
        <f t="shared" ref="X15:X42" si="5">IF(In_Sales="","",In_NetCapex/In_Sales)</f>
        <v/>
      </c>
      <c r="Y15" s="38" t="str">
        <f t="shared" ref="Y15:Y42" si="6">IF(S18="","",NonCash_WC-S18)</f>
        <v/>
      </c>
      <c r="Z15" s="335"/>
      <c r="AA15" s="334"/>
      <c r="AB15" s="338"/>
    </row>
    <row r="16" spans="1:28" ht="29.1" customHeight="1" outlineLevel="1">
      <c r="A16" s="99" t="str">
        <f>CONCATENATE("Last 10k of ",$C$9-1)</f>
        <v>Last 10k of 2018</v>
      </c>
      <c r="B16" s="19">
        <v>35716</v>
      </c>
      <c r="C16" s="97">
        <f>IF(OR(In_Sales="",B19=""),"",(In_Sales-B19)/B19)</f>
        <v>0.14827674897119342</v>
      </c>
      <c r="D16" s="37">
        <v>5040</v>
      </c>
      <c r="E16" s="97">
        <f t="shared" si="2"/>
        <v>0.14111322656512487</v>
      </c>
      <c r="F16" s="97">
        <f t="shared" si="0"/>
        <v>0.93474088291746638</v>
      </c>
      <c r="G16" s="19">
        <v>2094</v>
      </c>
      <c r="H16" s="18">
        <f>1742/9087</f>
        <v>0.19170243204577969</v>
      </c>
      <c r="I16" s="332"/>
      <c r="J16" s="135">
        <v>67955</v>
      </c>
      <c r="K16" s="135">
        <v>69182</v>
      </c>
      <c r="L16" s="37">
        <f>30516+19537+749</f>
        <v>50802</v>
      </c>
      <c r="M16" s="37">
        <v>105703</v>
      </c>
      <c r="N16" s="37">
        <v>2261</v>
      </c>
      <c r="O16" s="37">
        <v>19923</v>
      </c>
      <c r="P16" s="37">
        <v>0</v>
      </c>
      <c r="Q16" s="326"/>
      <c r="R16" s="14"/>
      <c r="S16" s="81">
        <f t="shared" si="3"/>
        <v>29652</v>
      </c>
      <c r="T16" s="97">
        <f>IF(In_Sales="","",NonCash_WC/In_Sales)</f>
        <v>0.83021614962481805</v>
      </c>
      <c r="U16" s="37">
        <f>823+11+212</f>
        <v>1046</v>
      </c>
      <c r="V16" s="37">
        <f>656+440+354</f>
        <v>1450</v>
      </c>
      <c r="W16" s="39">
        <f t="shared" si="4"/>
        <v>-404</v>
      </c>
      <c r="X16" s="97">
        <f t="shared" si="5"/>
        <v>-1.1311457050061598E-2</v>
      </c>
      <c r="Y16" s="38">
        <f t="shared" si="6"/>
        <v>-19585</v>
      </c>
      <c r="Z16" s="335"/>
      <c r="AA16" s="334"/>
      <c r="AB16" s="338"/>
    </row>
    <row r="17" spans="1:28" ht="29.1" customHeight="1">
      <c r="A17" s="100" t="str">
        <f>CONCATENATE("LTM of ",$C$9-1)</f>
        <v>LTM of 2018</v>
      </c>
      <c r="B17" s="20">
        <f>IF(B16="","",IF(M_beyond10K=12,B16,B16-B18+B15))</f>
        <v>35716</v>
      </c>
      <c r="C17" s="27">
        <f>IF(OR(In_Sales="",B20=""),"",In_Sales/B20-1)</f>
        <v>0.14827674897119336</v>
      </c>
      <c r="D17" s="20">
        <f>IF(D16="","",IF(M_beyond10K=12,D16,D16-D18+D15))</f>
        <v>5040</v>
      </c>
      <c r="E17" s="27">
        <f t="shared" si="2"/>
        <v>0.14111322656512487</v>
      </c>
      <c r="F17" s="27">
        <f t="shared" si="0"/>
        <v>0.93474088291746638</v>
      </c>
      <c r="G17" s="20">
        <f>IF(In_Sales="","",IF(F$9=12,G16,G16-G18+G15))</f>
        <v>2094</v>
      </c>
      <c r="H17" s="27">
        <f>IF(B17="","",IF(F$9=12,H16,H16*((12-$F$9)/12)+H15*($F$9/12)))</f>
        <v>0.19170243204577969</v>
      </c>
      <c r="I17" s="332"/>
      <c r="J17" s="20">
        <f t="shared" ref="J17:P17" si="7">IF(In_Sales="","",IF(M_beyond10K=12,J16,J15))</f>
        <v>67955</v>
      </c>
      <c r="K17" s="20">
        <f t="shared" si="7"/>
        <v>69182</v>
      </c>
      <c r="L17" s="20">
        <f t="shared" si="7"/>
        <v>50802</v>
      </c>
      <c r="M17" s="20">
        <f t="shared" si="7"/>
        <v>105703</v>
      </c>
      <c r="N17" s="20">
        <f t="shared" si="7"/>
        <v>2261</v>
      </c>
      <c r="O17" s="20">
        <f t="shared" si="7"/>
        <v>19923</v>
      </c>
      <c r="P17" s="20">
        <f t="shared" si="7"/>
        <v>0</v>
      </c>
      <c r="Q17" s="134">
        <f>IF(In_Sales="","",In_Debt+In_Equity-O17-P17)</f>
        <v>136582</v>
      </c>
      <c r="R17" s="329">
        <v>200169</v>
      </c>
      <c r="S17" s="20">
        <f t="shared" si="3"/>
        <v>29652</v>
      </c>
      <c r="T17" s="27">
        <f>IF(In_Sales="","",NonCash_WC/In_Sales)</f>
        <v>0.83021614962481805</v>
      </c>
      <c r="U17" s="20">
        <f>IF(In_Sales="","",IF(M_beyond10K=12,U16,U16-U18+U15))</f>
        <v>1046</v>
      </c>
      <c r="V17" s="20">
        <f>IF(In_Sales="","",IF(M_beyond10K=12,V16,V16-V18+V15))</f>
        <v>1450</v>
      </c>
      <c r="W17" s="20">
        <f t="shared" si="4"/>
        <v>-404</v>
      </c>
      <c r="X17" s="27">
        <f t="shared" si="5"/>
        <v>-1.1311457050061598E-2</v>
      </c>
      <c r="Y17" s="20">
        <f t="shared" si="6"/>
        <v>-19585</v>
      </c>
      <c r="Z17" s="27">
        <f>IF(Q20="","",In_EBIT/R17)</f>
        <v>2.517872397823839E-2</v>
      </c>
      <c r="AA17" s="331">
        <f>IF(Q20="","",(In_EBIT*(1-Adj_Effective_T))/Q20)</f>
        <v>3.9572864321608038E-2</v>
      </c>
      <c r="AB17" s="27">
        <f t="shared" ref="AB15:AB42" si="8">IF(In_WCInv="","",(In_NetCapex+In_WCInv)/(In_EBIT*(1-Adj_Effective_T)))</f>
        <v>-3.9660714285714285</v>
      </c>
    </row>
    <row r="18" spans="1:28" ht="29.1" customHeight="1" outlineLevel="1">
      <c r="A18" s="98" t="str">
        <f>CONCATENATE("First X months of ",$C$9-1)</f>
        <v>First X months of 2018</v>
      </c>
      <c r="B18" s="36"/>
      <c r="C18" s="97" t="str">
        <f>IF(OR(In_Sales="",B21=""),"",(In_Sales-B21)/B21)</f>
        <v/>
      </c>
      <c r="D18" s="36"/>
      <c r="E18" s="107" t="str">
        <f t="shared" si="2"/>
        <v/>
      </c>
      <c r="F18" s="97" t="str">
        <f t="shared" si="0"/>
        <v/>
      </c>
      <c r="G18" s="19"/>
      <c r="H18" s="18"/>
      <c r="I18" s="332"/>
      <c r="J18" s="135"/>
      <c r="K18" s="135"/>
      <c r="L18" s="36"/>
      <c r="M18" s="36"/>
      <c r="N18" s="36"/>
      <c r="O18" s="36"/>
      <c r="P18" s="36"/>
      <c r="Q18" s="325"/>
      <c r="R18" s="14"/>
      <c r="S18" s="81" t="str">
        <f t="shared" si="3"/>
        <v/>
      </c>
      <c r="T18" s="106"/>
      <c r="U18" s="36"/>
      <c r="V18" s="36"/>
      <c r="W18" s="39" t="str">
        <f t="shared" si="4"/>
        <v/>
      </c>
      <c r="X18" s="97" t="str">
        <f t="shared" si="5"/>
        <v/>
      </c>
      <c r="Y18" s="38" t="str">
        <f t="shared" si="6"/>
        <v/>
      </c>
      <c r="Z18" s="335" t="str">
        <f>IF(M21="","",In_EBIT/(M21+L21-O21-P21))</f>
        <v/>
      </c>
      <c r="AA18" s="334" t="str">
        <f>IF(M21="","",(In_EBIT*(1-Adj_Effective_T))/(M21+L21-O21-P21))</f>
        <v/>
      </c>
      <c r="AB18" s="338"/>
    </row>
    <row r="19" spans="1:28" ht="29.1" customHeight="1" outlineLevel="1">
      <c r="A19" s="99" t="str">
        <f>CONCATENATE("Last 10k of ",$C$9-2)</f>
        <v>Last 10k of 2017</v>
      </c>
      <c r="B19" s="19">
        <v>31104</v>
      </c>
      <c r="C19" s="97" t="str">
        <f>IF(OR(In_Sales="",B22=""),"",(In_Sales-B22)/B22)</f>
        <v/>
      </c>
      <c r="D19" s="37">
        <v>2605</v>
      </c>
      <c r="E19" s="97">
        <f t="shared" si="2"/>
        <v>8.3751286008230452E-2</v>
      </c>
      <c r="F19" s="97" t="str">
        <f t="shared" si="0"/>
        <v/>
      </c>
      <c r="G19" s="19">
        <v>1899</v>
      </c>
      <c r="H19" s="18">
        <f>793/1921</f>
        <v>0.41280583029672047</v>
      </c>
      <c r="I19" s="332"/>
      <c r="J19" s="135">
        <v>79394</v>
      </c>
      <c r="K19" s="135">
        <v>68784</v>
      </c>
      <c r="L19" s="37">
        <f>36011+24146</f>
        <v>60157</v>
      </c>
      <c r="M19" s="37">
        <v>88733</v>
      </c>
      <c r="N19" s="37">
        <v>2018</v>
      </c>
      <c r="O19" s="37">
        <v>21530</v>
      </c>
      <c r="P19" s="37">
        <v>0</v>
      </c>
      <c r="Q19" s="326"/>
      <c r="R19" s="14"/>
      <c r="S19" s="81">
        <f t="shared" si="3"/>
        <v>49237</v>
      </c>
      <c r="T19" s="97">
        <f>IF(In_Sales="","",NonCash_WC/In_Sales)</f>
        <v>1.5829796810699588</v>
      </c>
      <c r="U19" s="37">
        <f>673+35-1</f>
        <v>707</v>
      </c>
      <c r="V19" s="37">
        <f>546+436</f>
        <v>982</v>
      </c>
      <c r="W19" s="39">
        <f t="shared" si="4"/>
        <v>-275</v>
      </c>
      <c r="X19" s="97">
        <f t="shared" si="5"/>
        <v>-8.8413065843621404E-3</v>
      </c>
      <c r="Y19" s="38" t="str">
        <f t="shared" si="6"/>
        <v/>
      </c>
      <c r="Z19" s="335" t="str">
        <f>IF(M22="","",In_EBIT/(M22+L22-O22-P22))</f>
        <v/>
      </c>
      <c r="AA19" s="334" t="str">
        <f>IF(M22="","",(In_EBIT*(1-Adj_Effective_T))/(M22+L22-O22-P22))</f>
        <v/>
      </c>
      <c r="AB19" s="338"/>
    </row>
    <row r="20" spans="1:28" ht="29.1" customHeight="1">
      <c r="A20" s="100" t="str">
        <f>CONCATENATE("LTM of ",$C$9-2)</f>
        <v>LTM of 2017</v>
      </c>
      <c r="B20" s="20">
        <f>IF(B19="","",IF(M_beyond10K=12,B19,B19-B21+B18))</f>
        <v>31104</v>
      </c>
      <c r="C20" s="27" t="str">
        <f>IF(OR(In_Sales="",B23=""),"",In_Sales/B23-1)</f>
        <v/>
      </c>
      <c r="D20" s="20">
        <f>IF(D19="","",IF(M_beyond10K=12,D19,D19-D21+D18))</f>
        <v>2605</v>
      </c>
      <c r="E20" s="27">
        <f t="shared" si="2"/>
        <v>8.3751286008230452E-2</v>
      </c>
      <c r="F20" s="27" t="str">
        <f t="shared" si="0"/>
        <v/>
      </c>
      <c r="G20" s="20">
        <f>IF(In_Sales="","",IF(F$9=12,G19,G19-G21+G18))</f>
        <v>1899</v>
      </c>
      <c r="H20" s="27">
        <f>IF(B20="","",IF(F$9=12,H19,H19*((12-$F$9)/12)+H18*($F$9/12)))</f>
        <v>0.41280583029672047</v>
      </c>
      <c r="I20" s="332"/>
      <c r="J20" s="20">
        <f t="shared" ref="J20:P20" si="9">IF(In_Sales="","",IF(M_beyond10K=12,J19,J18))</f>
        <v>79394</v>
      </c>
      <c r="K20" s="20">
        <f t="shared" si="9"/>
        <v>68784</v>
      </c>
      <c r="L20" s="20">
        <f t="shared" si="9"/>
        <v>60157</v>
      </c>
      <c r="M20" s="20">
        <f t="shared" si="9"/>
        <v>88733</v>
      </c>
      <c r="N20" s="20">
        <f t="shared" si="9"/>
        <v>2018</v>
      </c>
      <c r="O20" s="20">
        <f t="shared" si="9"/>
        <v>21530</v>
      </c>
      <c r="P20" s="20">
        <f t="shared" si="9"/>
        <v>0</v>
      </c>
      <c r="Q20" s="134">
        <f>IF(In_Sales="","",In_Debt+In_Equity-O20-P20)</f>
        <v>127360</v>
      </c>
      <c r="R20" s="329">
        <v>185830</v>
      </c>
      <c r="S20" s="20">
        <f t="shared" si="3"/>
        <v>49237</v>
      </c>
      <c r="T20" s="27">
        <f>IF(In_Sales="","",NonCash_WC/In_Sales)</f>
        <v>1.5829796810699588</v>
      </c>
      <c r="U20" s="20">
        <f>IF(In_Sales="","",IF(M_beyond10K=12,U19,U19-U21+U18))</f>
        <v>707</v>
      </c>
      <c r="V20" s="20">
        <f>IF(In_Sales="","",IF(M_beyond10K=12,V19,V19-V21+V18))</f>
        <v>982</v>
      </c>
      <c r="W20" s="20">
        <f t="shared" si="4"/>
        <v>-275</v>
      </c>
      <c r="X20" s="27">
        <f t="shared" si="5"/>
        <v>-8.8413065843621404E-3</v>
      </c>
      <c r="Y20" s="20" t="str">
        <f t="shared" si="6"/>
        <v/>
      </c>
      <c r="Z20" s="333" t="str">
        <f>IF(Q23="","",In_EBIT/R20)</f>
        <v/>
      </c>
      <c r="AA20" s="331" t="str">
        <f>IF(Q23="","",(In_EBIT*(1-Adj_Effective_T))/Q23)</f>
        <v/>
      </c>
      <c r="AB20" s="27" t="str">
        <f t="shared" si="8"/>
        <v/>
      </c>
    </row>
    <row r="21" spans="1:28" ht="29.1" customHeight="1" outlineLevel="1">
      <c r="A21" s="98" t="str">
        <f>CONCATENATE("First X months of ",$C$9-2)</f>
        <v>First X months of 2017</v>
      </c>
      <c r="B21" s="36"/>
      <c r="C21" s="97" t="str">
        <f>IF(OR(In_Sales="",B24=""),"",(In_Sales-B24)/B24)</f>
        <v/>
      </c>
      <c r="D21" s="36"/>
      <c r="E21" s="107" t="str">
        <f t="shared" si="2"/>
        <v/>
      </c>
      <c r="F21" s="97" t="str">
        <f t="shared" si="0"/>
        <v/>
      </c>
      <c r="G21" s="19"/>
      <c r="H21" s="18"/>
      <c r="I21" s="332"/>
      <c r="J21" s="135"/>
      <c r="K21" s="135"/>
      <c r="L21" s="93"/>
      <c r="M21" s="36"/>
      <c r="N21" s="36"/>
      <c r="O21" s="36"/>
      <c r="P21" s="36"/>
      <c r="Q21" s="325"/>
      <c r="R21" s="14"/>
      <c r="S21" s="81" t="str">
        <f t="shared" si="3"/>
        <v/>
      </c>
      <c r="T21" s="106"/>
      <c r="U21" s="36"/>
      <c r="V21" s="36"/>
      <c r="W21" s="39" t="str">
        <f t="shared" si="4"/>
        <v/>
      </c>
      <c r="X21" s="97" t="str">
        <f t="shared" si="5"/>
        <v/>
      </c>
      <c r="Y21" s="38" t="str">
        <f t="shared" si="6"/>
        <v/>
      </c>
      <c r="Z21" s="335" t="str">
        <f>IF(M24="","",In_EBIT/(M24+L24-O24-P24))</f>
        <v/>
      </c>
      <c r="AA21" s="334" t="str">
        <f>IF(M24="","",(In_EBIT*(1-Adj_Effective_T))/(M24+L24-O24-P24))</f>
        <v/>
      </c>
      <c r="AB21" s="338" t="str">
        <f t="shared" si="8"/>
        <v/>
      </c>
    </row>
    <row r="22" spans="1:28" ht="29.1" customHeight="1" outlineLevel="1">
      <c r="A22" s="99" t="str">
        <f>CONCATENATE("Last 10k of ",$C$9-3)</f>
        <v>Last 10k of 2016</v>
      </c>
      <c r="B22" s="19"/>
      <c r="C22" s="97" t="str">
        <f>IF(OR(In_Sales="",B25=""),"",(In_Sales-B25)/B25)</f>
        <v/>
      </c>
      <c r="D22" s="37"/>
      <c r="E22" s="97" t="str">
        <f t="shared" si="2"/>
        <v/>
      </c>
      <c r="F22" s="97" t="str">
        <f t="shared" si="0"/>
        <v/>
      </c>
      <c r="G22" s="19"/>
      <c r="H22" s="18"/>
      <c r="I22" s="332"/>
      <c r="J22" s="135"/>
      <c r="K22" s="135"/>
      <c r="L22" s="94"/>
      <c r="M22" s="37"/>
      <c r="N22" s="37"/>
      <c r="O22" s="37"/>
      <c r="P22" s="37"/>
      <c r="Q22" s="326"/>
      <c r="R22" s="14"/>
      <c r="S22" s="81" t="str">
        <f t="shared" si="3"/>
        <v/>
      </c>
      <c r="T22" s="97" t="str">
        <f>IF(In_Sales="","",NonCash_WC/In_Sales)</f>
        <v/>
      </c>
      <c r="U22" s="37"/>
      <c r="V22" s="37"/>
      <c r="W22" s="39" t="str">
        <f t="shared" si="4"/>
        <v/>
      </c>
      <c r="X22" s="97" t="str">
        <f t="shared" si="5"/>
        <v/>
      </c>
      <c r="Y22" s="38" t="str">
        <f t="shared" si="6"/>
        <v/>
      </c>
      <c r="Z22" s="335" t="str">
        <f>IF(M25="","",In_EBIT/(M25+L25-O25-P25))</f>
        <v/>
      </c>
      <c r="AA22" s="334" t="str">
        <f>IF(M25="","",(In_EBIT*(1-Adj_Effective_T))/(M25+L25-O25-P25))</f>
        <v/>
      </c>
      <c r="AB22" s="338" t="str">
        <f t="shared" si="8"/>
        <v/>
      </c>
    </row>
    <row r="23" spans="1:28" ht="29.1" customHeight="1">
      <c r="A23" s="100" t="str">
        <f>CONCATENATE("LTM of ",$C$9-3)</f>
        <v>LTM of 2016</v>
      </c>
      <c r="B23" s="20" t="str">
        <f>IF(B22="","",IF(M_beyond10K=12,B22,B22-B24+B21))</f>
        <v/>
      </c>
      <c r="C23" s="27" t="str">
        <f>IF(OR(In_Sales="",B26=""),"",In_Sales/B26-1)</f>
        <v/>
      </c>
      <c r="D23" s="20" t="str">
        <f>IF(D22="","",IF(M_beyond10K=12,D22,D22-D24+D21))</f>
        <v/>
      </c>
      <c r="E23" s="27" t="str">
        <f t="shared" si="2"/>
        <v/>
      </c>
      <c r="F23" s="27" t="str">
        <f t="shared" si="0"/>
        <v/>
      </c>
      <c r="G23" s="20" t="str">
        <f>IF(In_Sales="","",IF(F$9=12,G22,G22-G24+G21))</f>
        <v/>
      </c>
      <c r="H23" s="27" t="str">
        <f>IF(B23="","",IF(F$9=12,H22,H22*((12-$F$9)/12)+H21*($F$9/12)))</f>
        <v/>
      </c>
      <c r="I23" s="332"/>
      <c r="J23" s="20" t="str">
        <f t="shared" ref="J23:P23" si="10">IF(In_Sales="","",IF(M_beyond10K=12,J22,J21))</f>
        <v/>
      </c>
      <c r="K23" s="20" t="str">
        <f t="shared" si="10"/>
        <v/>
      </c>
      <c r="L23" s="20" t="str">
        <f t="shared" si="10"/>
        <v/>
      </c>
      <c r="M23" s="20" t="str">
        <f t="shared" si="10"/>
        <v/>
      </c>
      <c r="N23" s="20" t="str">
        <f t="shared" si="10"/>
        <v/>
      </c>
      <c r="O23" s="20" t="str">
        <f t="shared" si="10"/>
        <v/>
      </c>
      <c r="P23" s="20" t="str">
        <f t="shared" si="10"/>
        <v/>
      </c>
      <c r="Q23" s="134" t="str">
        <f>IF(In_Sales="","",In_Debt+In_Equity-O23-P23)</f>
        <v/>
      </c>
      <c r="R23" s="329"/>
      <c r="S23" s="20" t="str">
        <f t="shared" si="3"/>
        <v/>
      </c>
      <c r="T23" s="27" t="str">
        <f>IF(In_Sales="","",NonCash_WC/In_Sales)</f>
        <v/>
      </c>
      <c r="U23" s="20" t="str">
        <f>IF(In_Sales="","",IF(M_beyond10K=12,U22,U22-U24+U21))</f>
        <v/>
      </c>
      <c r="V23" s="20" t="str">
        <f>IF(In_Sales="","",IF(M_beyond10K=12,V22,V22-V24+V21))</f>
        <v/>
      </c>
      <c r="W23" s="20" t="str">
        <f t="shared" si="4"/>
        <v/>
      </c>
      <c r="X23" s="27" t="str">
        <f t="shared" si="5"/>
        <v/>
      </c>
      <c r="Y23" s="20" t="str">
        <f t="shared" si="6"/>
        <v/>
      </c>
      <c r="Z23" s="333" t="str">
        <f>IF(Q26="","",In_EBIT/R23)</f>
        <v/>
      </c>
      <c r="AA23" s="331" t="str">
        <f>IF(Q26="","",(In_EBIT*(1-Adj_Effective_T))/Q26)</f>
        <v/>
      </c>
      <c r="AB23" s="27" t="str">
        <f t="shared" si="8"/>
        <v/>
      </c>
    </row>
    <row r="24" spans="1:28" ht="29.1" customHeight="1" outlineLevel="1">
      <c r="A24" s="98" t="str">
        <f>CONCATENATE("First X months of ",$C$9-3)</f>
        <v>First X months of 2016</v>
      </c>
      <c r="B24" s="36"/>
      <c r="C24" s="97" t="str">
        <f>IF(OR(In_Sales="",B27=""),"",(In_Sales-B27)/B27)</f>
        <v/>
      </c>
      <c r="D24" s="36"/>
      <c r="E24" s="107" t="str">
        <f t="shared" si="2"/>
        <v/>
      </c>
      <c r="F24" s="97" t="str">
        <f t="shared" si="0"/>
        <v/>
      </c>
      <c r="G24" s="19"/>
      <c r="H24" s="18"/>
      <c r="I24" s="332"/>
      <c r="J24" s="135"/>
      <c r="K24" s="135"/>
      <c r="L24" s="93"/>
      <c r="M24" s="36"/>
      <c r="N24" s="36"/>
      <c r="O24" s="36"/>
      <c r="P24" s="36"/>
      <c r="Q24" s="325"/>
      <c r="R24" s="14"/>
      <c r="S24" s="81" t="str">
        <f t="shared" si="3"/>
        <v/>
      </c>
      <c r="T24" s="106"/>
      <c r="U24" s="36"/>
      <c r="V24" s="36"/>
      <c r="W24" s="39" t="str">
        <f t="shared" si="4"/>
        <v/>
      </c>
      <c r="X24" s="97" t="str">
        <f t="shared" si="5"/>
        <v/>
      </c>
      <c r="Y24" s="38" t="str">
        <f t="shared" si="6"/>
        <v/>
      </c>
      <c r="Z24" s="335" t="str">
        <f>IF(M27="","",In_EBIT/(M27+L27-O27-P27))</f>
        <v/>
      </c>
      <c r="AA24" s="334" t="str">
        <f>IF(M27="","",(In_EBIT*(1-Adj_Effective_T))/(M27+L27-O27-P27))</f>
        <v/>
      </c>
      <c r="AB24" s="338" t="str">
        <f t="shared" si="8"/>
        <v/>
      </c>
    </row>
    <row r="25" spans="1:28" ht="29.1" customHeight="1" outlineLevel="1">
      <c r="A25" s="99" t="str">
        <f>CONCATENATE("Last 10k of ",$C$9-4)</f>
        <v>Last 10k of 2015</v>
      </c>
      <c r="B25" s="19"/>
      <c r="C25" s="97" t="str">
        <f>IF(OR(In_Sales="",B28=""),"",(In_Sales-B28)/B28)</f>
        <v/>
      </c>
      <c r="D25" s="37"/>
      <c r="E25" s="97" t="str">
        <f t="shared" si="2"/>
        <v/>
      </c>
      <c r="F25" s="97" t="str">
        <f t="shared" si="0"/>
        <v/>
      </c>
      <c r="G25" s="19"/>
      <c r="H25" s="18"/>
      <c r="I25" s="332"/>
      <c r="J25" s="135"/>
      <c r="K25" s="135"/>
      <c r="L25" s="94"/>
      <c r="M25" s="37"/>
      <c r="N25" s="37"/>
      <c r="O25" s="37"/>
      <c r="P25" s="37"/>
      <c r="Q25" s="326"/>
      <c r="R25" s="14"/>
      <c r="S25" s="81" t="str">
        <f t="shared" si="3"/>
        <v/>
      </c>
      <c r="T25" s="97" t="str">
        <f>IF(In_Sales="","",NonCash_WC/In_Sales)</f>
        <v/>
      </c>
      <c r="U25" s="37"/>
      <c r="V25" s="37"/>
      <c r="W25" s="39" t="str">
        <f t="shared" si="4"/>
        <v/>
      </c>
      <c r="X25" s="97" t="str">
        <f t="shared" si="5"/>
        <v/>
      </c>
      <c r="Y25" s="38" t="str">
        <f t="shared" si="6"/>
        <v/>
      </c>
      <c r="Z25" s="335" t="str">
        <f>IF(M28="","",In_EBIT/(M28+L28-O28-P28))</f>
        <v/>
      </c>
      <c r="AA25" s="334" t="str">
        <f>IF(M28="","",(In_EBIT*(1-Adj_Effective_T))/(M28+L28-O28-P28))</f>
        <v/>
      </c>
      <c r="AB25" s="338" t="str">
        <f t="shared" si="8"/>
        <v/>
      </c>
    </row>
    <row r="26" spans="1:28" ht="29.1" customHeight="1">
      <c r="A26" s="100" t="str">
        <f>CONCATENATE("LTM of ",$C$9-4)</f>
        <v>LTM of 2015</v>
      </c>
      <c r="B26" s="20" t="str">
        <f>IF(B25="","",IF(M_beyond10K=12,B25,B25-B27+B24))</f>
        <v/>
      </c>
      <c r="C26" s="27" t="str">
        <f>IF(OR(In_Sales="",B29=""),"",In_Sales/B29-1)</f>
        <v/>
      </c>
      <c r="D26" s="20" t="str">
        <f>IF(D25="","",IF(M_beyond10K=12,D25,D25-D27+D24))</f>
        <v/>
      </c>
      <c r="E26" s="27" t="str">
        <f t="shared" si="2"/>
        <v/>
      </c>
      <c r="F26" s="27" t="str">
        <f t="shared" si="0"/>
        <v/>
      </c>
      <c r="G26" s="20" t="str">
        <f>IF(In_Sales="","",IF(F$9=12,G25,G25-G27+G24))</f>
        <v/>
      </c>
      <c r="H26" s="27" t="str">
        <f>IF(B26="","",IF(F$9=12,H25,H25*((12-$F$9)/12)+H24*($F$9/12)))</f>
        <v/>
      </c>
      <c r="I26" s="332"/>
      <c r="J26" s="20" t="str">
        <f t="shared" ref="J26:P26" si="11">IF(In_Sales="","",IF(M_beyond10K=12,J25,J24))</f>
        <v/>
      </c>
      <c r="K26" s="20" t="str">
        <f t="shared" si="11"/>
        <v/>
      </c>
      <c r="L26" s="20" t="str">
        <f t="shared" si="11"/>
        <v/>
      </c>
      <c r="M26" s="20" t="str">
        <f t="shared" si="11"/>
        <v/>
      </c>
      <c r="N26" s="20" t="str">
        <f t="shared" si="11"/>
        <v/>
      </c>
      <c r="O26" s="20" t="str">
        <f t="shared" si="11"/>
        <v/>
      </c>
      <c r="P26" s="20" t="str">
        <f t="shared" si="11"/>
        <v/>
      </c>
      <c r="Q26" s="134" t="str">
        <f>IF(In_Sales="","",In_Debt+In_Equity-O26-P26)</f>
        <v/>
      </c>
      <c r="R26" s="329"/>
      <c r="S26" s="20" t="str">
        <f t="shared" si="3"/>
        <v/>
      </c>
      <c r="T26" s="27" t="str">
        <f>IF(In_Sales="","",NonCash_WC/In_Sales)</f>
        <v/>
      </c>
      <c r="U26" s="20" t="str">
        <f>IF(In_Sales="","",IF(M_beyond10K=12,U25,U25-U27+U24))</f>
        <v/>
      </c>
      <c r="V26" s="20" t="str">
        <f>IF(In_Sales="","",IF(M_beyond10K=12,V25,V25-V27+V24))</f>
        <v/>
      </c>
      <c r="W26" s="20" t="str">
        <f t="shared" si="4"/>
        <v/>
      </c>
      <c r="X26" s="27" t="str">
        <f t="shared" si="5"/>
        <v/>
      </c>
      <c r="Y26" s="20" t="str">
        <f t="shared" si="6"/>
        <v/>
      </c>
      <c r="Z26" s="333" t="str">
        <f>IF(Q29="","",In_EBIT/R26)</f>
        <v/>
      </c>
      <c r="AA26" s="331" t="str">
        <f>IF(Q29="","",(In_EBIT*(1-Adj_Effective_T))/Q29)</f>
        <v/>
      </c>
      <c r="AB26" s="27" t="str">
        <f t="shared" si="8"/>
        <v/>
      </c>
    </row>
    <row r="27" spans="1:28" ht="29.1" customHeight="1" outlineLevel="1">
      <c r="A27" s="98" t="str">
        <f>CONCATENATE("First X months of ",$C$9-4)</f>
        <v>First X months of 2015</v>
      </c>
      <c r="B27" s="36"/>
      <c r="C27" s="97" t="str">
        <f>IF(OR(In_Sales="",B30=""),"",(In_Sales-B30)/B30)</f>
        <v/>
      </c>
      <c r="D27" s="36"/>
      <c r="E27" s="107" t="str">
        <f t="shared" si="2"/>
        <v/>
      </c>
      <c r="F27" s="97" t="str">
        <f t="shared" si="0"/>
        <v/>
      </c>
      <c r="G27" s="19"/>
      <c r="H27" s="18"/>
      <c r="I27" s="332"/>
      <c r="J27" s="135"/>
      <c r="K27" s="135"/>
      <c r="L27" s="93"/>
      <c r="M27" s="36"/>
      <c r="N27" s="36"/>
      <c r="O27" s="36"/>
      <c r="P27" s="36"/>
      <c r="Q27" s="325"/>
      <c r="R27" s="14"/>
      <c r="S27" s="81" t="str">
        <f t="shared" si="3"/>
        <v/>
      </c>
      <c r="T27" s="106"/>
      <c r="U27" s="36"/>
      <c r="V27" s="36"/>
      <c r="W27" s="39" t="str">
        <f t="shared" si="4"/>
        <v/>
      </c>
      <c r="X27" s="97" t="str">
        <f t="shared" si="5"/>
        <v/>
      </c>
      <c r="Y27" s="38" t="str">
        <f t="shared" si="6"/>
        <v/>
      </c>
      <c r="Z27" s="335" t="str">
        <f>IF(M30="","",In_EBIT/(M30+L30-O30-P30))</f>
        <v/>
      </c>
      <c r="AA27" s="334" t="str">
        <f>IF(M30="","",(In_EBIT*(1-Adj_Effective_T))/(M30+L30-O30-P30))</f>
        <v/>
      </c>
      <c r="AB27" s="338" t="str">
        <f t="shared" si="8"/>
        <v/>
      </c>
    </row>
    <row r="28" spans="1:28" ht="29.1" customHeight="1" outlineLevel="1">
      <c r="A28" s="99" t="str">
        <f>CONCATENATE("Last 10k of ",$C$9-5)</f>
        <v>Last 10k of 2014</v>
      </c>
      <c r="B28" s="19"/>
      <c r="C28" s="97" t="str">
        <f>IF(OR(In_Sales="",B31=""),"",(In_Sales-B31)/B31)</f>
        <v/>
      </c>
      <c r="D28" s="37"/>
      <c r="E28" s="97" t="str">
        <f t="shared" si="2"/>
        <v/>
      </c>
      <c r="F28" s="97" t="str">
        <f t="shared" si="0"/>
        <v/>
      </c>
      <c r="G28" s="19"/>
      <c r="H28" s="18"/>
      <c r="I28" s="332"/>
      <c r="J28" s="135"/>
      <c r="K28" s="135"/>
      <c r="L28" s="94"/>
      <c r="M28" s="37"/>
      <c r="N28" s="37"/>
      <c r="O28" s="37"/>
      <c r="P28" s="37"/>
      <c r="Q28" s="326"/>
      <c r="R28" s="14"/>
      <c r="S28" s="81" t="str">
        <f t="shared" si="3"/>
        <v/>
      </c>
      <c r="T28" s="97" t="str">
        <f>IF(In_Sales="","",NonCash_WC/In_Sales)</f>
        <v/>
      </c>
      <c r="U28" s="37"/>
      <c r="V28" s="37"/>
      <c r="W28" s="39" t="str">
        <f t="shared" si="4"/>
        <v/>
      </c>
      <c r="X28" s="97" t="str">
        <f t="shared" si="5"/>
        <v/>
      </c>
      <c r="Y28" s="38" t="str">
        <f t="shared" si="6"/>
        <v/>
      </c>
      <c r="Z28" s="335" t="str">
        <f>IF(M31="","",In_EBIT/(M31+L31-O31-P31))</f>
        <v/>
      </c>
      <c r="AA28" s="334" t="str">
        <f>IF(M31="","",(In_EBIT*(1-Adj_Effective_T))/(M31+L31-O31-P31))</f>
        <v/>
      </c>
      <c r="AB28" s="338" t="str">
        <f t="shared" si="8"/>
        <v/>
      </c>
    </row>
    <row r="29" spans="1:28" ht="29.1" customHeight="1">
      <c r="A29" s="100" t="str">
        <f>CONCATENATE("LTM of ",$C$9-5)</f>
        <v>LTM of 2014</v>
      </c>
      <c r="B29" s="20" t="str">
        <f>IF(B28="","",IF(M_beyond10K=12,B28,B28-B30+B27))</f>
        <v/>
      </c>
      <c r="C29" s="27" t="str">
        <f>IF(OR(In_Sales="",B32=""),"",In_Sales/B32-1)</f>
        <v/>
      </c>
      <c r="D29" s="20" t="str">
        <f>IF(D28="","",IF(M_beyond10K=12,D28,D28-D30+D27))</f>
        <v/>
      </c>
      <c r="E29" s="27" t="str">
        <f t="shared" si="2"/>
        <v/>
      </c>
      <c r="F29" s="27" t="str">
        <f t="shared" si="0"/>
        <v/>
      </c>
      <c r="G29" s="20" t="str">
        <f>IF(In_Sales="","",IF(F$9=12,G28,G28-G30+G27))</f>
        <v/>
      </c>
      <c r="H29" s="27" t="str">
        <f>IF(B29="","",IF(F$9=12,H28,H28*((12-$F$9)/12)+H27*($F$9/12)))</f>
        <v/>
      </c>
      <c r="I29" s="332"/>
      <c r="J29" s="20" t="str">
        <f t="shared" ref="J29:P29" si="12">IF(In_Sales="","",IF(M_beyond10K=12,J28,J27))</f>
        <v/>
      </c>
      <c r="K29" s="20" t="str">
        <f t="shared" si="12"/>
        <v/>
      </c>
      <c r="L29" s="20" t="str">
        <f t="shared" si="12"/>
        <v/>
      </c>
      <c r="M29" s="20" t="str">
        <f t="shared" si="12"/>
        <v/>
      </c>
      <c r="N29" s="20" t="str">
        <f t="shared" si="12"/>
        <v/>
      </c>
      <c r="O29" s="20" t="str">
        <f t="shared" si="12"/>
        <v/>
      </c>
      <c r="P29" s="20" t="str">
        <f t="shared" si="12"/>
        <v/>
      </c>
      <c r="Q29" s="134" t="str">
        <f>IF(In_Sales="","",In_Debt+In_Equity-O29-P29)</f>
        <v/>
      </c>
      <c r="R29" s="330"/>
      <c r="S29" s="20" t="str">
        <f t="shared" si="3"/>
        <v/>
      </c>
      <c r="T29" s="27" t="str">
        <f>IF(In_Sales="","",NonCash_WC/In_Sales)</f>
        <v/>
      </c>
      <c r="U29" s="20" t="str">
        <f>IF(In_Sales="","",IF(M_beyond10K=12,U28,U28-U30+U27))</f>
        <v/>
      </c>
      <c r="V29" s="20" t="str">
        <f>IF(In_Sales="","",IF(M_beyond10K=12,V28,V28-V30+V27))</f>
        <v/>
      </c>
      <c r="W29" s="20" t="str">
        <f t="shared" si="4"/>
        <v/>
      </c>
      <c r="X29" s="27" t="str">
        <f t="shared" si="5"/>
        <v/>
      </c>
      <c r="Y29" s="20" t="str">
        <f t="shared" si="6"/>
        <v/>
      </c>
      <c r="Z29" s="333" t="str">
        <f>IF(Q32="","",In_EBIT/R29)</f>
        <v/>
      </c>
      <c r="AA29" s="331" t="str">
        <f>IF(Q32="","",(In_EBIT*(1-Adj_Effective_T))/Q32)</f>
        <v/>
      </c>
      <c r="AB29" s="27" t="str">
        <f t="shared" si="8"/>
        <v/>
      </c>
    </row>
    <row r="30" spans="1:28" ht="29.1" customHeight="1" outlineLevel="1">
      <c r="A30" s="98" t="str">
        <f>CONCATENATE("First X months of ",$C$9-5)</f>
        <v>First X months of 2014</v>
      </c>
      <c r="B30" s="36"/>
      <c r="C30" s="97" t="str">
        <f>IF(OR(In_Sales="",B33=""),"",(In_Sales-B33)/B33)</f>
        <v/>
      </c>
      <c r="D30" s="36"/>
      <c r="E30" s="107" t="str">
        <f t="shared" si="2"/>
        <v/>
      </c>
      <c r="F30" s="97" t="str">
        <f t="shared" si="0"/>
        <v/>
      </c>
      <c r="G30" s="19"/>
      <c r="H30" s="18"/>
      <c r="I30" s="332"/>
      <c r="J30" s="135"/>
      <c r="K30" s="135"/>
      <c r="L30" s="95"/>
      <c r="M30" s="36"/>
      <c r="N30" s="36"/>
      <c r="O30" s="36"/>
      <c r="P30" s="36"/>
      <c r="Q30" s="327"/>
      <c r="R30" s="14"/>
      <c r="S30" s="81" t="str">
        <f t="shared" si="3"/>
        <v/>
      </c>
      <c r="T30" s="106"/>
      <c r="U30" s="36"/>
      <c r="V30" s="36"/>
      <c r="W30" s="39" t="str">
        <f t="shared" si="4"/>
        <v/>
      </c>
      <c r="X30" s="97" t="str">
        <f t="shared" si="5"/>
        <v/>
      </c>
      <c r="Y30" s="38" t="str">
        <f t="shared" si="6"/>
        <v/>
      </c>
      <c r="Z30" s="335" t="str">
        <f>IF(M33="","",In_EBIT/(M33+L33-O33-P33))</f>
        <v/>
      </c>
      <c r="AA30" s="334" t="str">
        <f>IF(M33="","",(In_EBIT*(1-Adj_Effective_T))/(M33+L33-O33-P33))</f>
        <v/>
      </c>
      <c r="AB30" s="338" t="str">
        <f t="shared" si="8"/>
        <v/>
      </c>
    </row>
    <row r="31" spans="1:28" ht="29.1" customHeight="1" outlineLevel="1">
      <c r="A31" s="99" t="str">
        <f>CONCATENATE("Last 10k of ",$C$9-6)</f>
        <v>Last 10k of 2013</v>
      </c>
      <c r="B31" s="19"/>
      <c r="C31" s="97" t="str">
        <f>IF(OR(In_Sales="",B34=""),"",(In_Sales-B34)/B34)</f>
        <v/>
      </c>
      <c r="D31" s="37"/>
      <c r="E31" s="97" t="str">
        <f t="shared" si="2"/>
        <v/>
      </c>
      <c r="F31" s="97" t="str">
        <f t="shared" si="0"/>
        <v/>
      </c>
      <c r="G31" s="19"/>
      <c r="H31" s="18"/>
      <c r="I31" s="332"/>
      <c r="J31" s="135"/>
      <c r="K31" s="135"/>
      <c r="L31" s="94"/>
      <c r="M31" s="37"/>
      <c r="N31" s="37"/>
      <c r="O31" s="37"/>
      <c r="P31" s="37"/>
      <c r="Q31" s="327"/>
      <c r="R31" s="14"/>
      <c r="S31" s="81" t="str">
        <f t="shared" si="3"/>
        <v/>
      </c>
      <c r="T31" s="97" t="str">
        <f>IF(In_Sales="","",NonCash_WC/In_Sales)</f>
        <v/>
      </c>
      <c r="U31" s="37"/>
      <c r="V31" s="37"/>
      <c r="W31" s="39" t="str">
        <f t="shared" si="4"/>
        <v/>
      </c>
      <c r="X31" s="97" t="str">
        <f t="shared" si="5"/>
        <v/>
      </c>
      <c r="Y31" s="38" t="str">
        <f t="shared" si="6"/>
        <v/>
      </c>
      <c r="Z31" s="335" t="str">
        <f>IF(M34="","",In_EBIT/(M34+L34-O34-P34))</f>
        <v/>
      </c>
      <c r="AA31" s="334" t="str">
        <f>IF(M34="","",(In_EBIT*(1-Adj_Effective_T))/(M34+L34-O34-P34))</f>
        <v/>
      </c>
      <c r="AB31" s="338" t="str">
        <f t="shared" si="8"/>
        <v/>
      </c>
    </row>
    <row r="32" spans="1:28" ht="29.1" customHeight="1">
      <c r="A32" s="100" t="str">
        <f>CONCATENATE("LTM of ",$C$9-6)</f>
        <v>LTM of 2013</v>
      </c>
      <c r="B32" s="20" t="str">
        <f>IF(B31="","",IF(M_beyond10K=12,B31,B31-B33+B30))</f>
        <v/>
      </c>
      <c r="C32" s="27" t="str">
        <f>IF(OR(In_Sales="",B35=""),"",In_Sales/B35-1)</f>
        <v/>
      </c>
      <c r="D32" s="20" t="str">
        <f>IF(D31="","",IF(M_beyond10K=12,D31,D31-D33+D30))</f>
        <v/>
      </c>
      <c r="E32" s="27" t="str">
        <f t="shared" si="2"/>
        <v/>
      </c>
      <c r="F32" s="27" t="str">
        <f t="shared" si="0"/>
        <v/>
      </c>
      <c r="G32" s="20" t="str">
        <f>IF(In_Sales="","",IF(F$9=12,G31,G31-G33+G30))</f>
        <v/>
      </c>
      <c r="H32" s="27" t="str">
        <f>IF(B32="","",IF(F$9=12,H31,H31*((12-$F$9)/12)+H30*($F$9/12)))</f>
        <v/>
      </c>
      <c r="I32" s="332"/>
      <c r="J32" s="20" t="str">
        <f t="shared" ref="J32:P32" si="13">IF(In_Sales="","",IF(M_beyond10K=12,J31,J30))</f>
        <v/>
      </c>
      <c r="K32" s="20" t="str">
        <f t="shared" si="13"/>
        <v/>
      </c>
      <c r="L32" s="20" t="str">
        <f t="shared" si="13"/>
        <v/>
      </c>
      <c r="M32" s="20" t="str">
        <f t="shared" si="13"/>
        <v/>
      </c>
      <c r="N32" s="20" t="str">
        <f t="shared" si="13"/>
        <v/>
      </c>
      <c r="O32" s="20" t="str">
        <f t="shared" si="13"/>
        <v/>
      </c>
      <c r="P32" s="20" t="str">
        <f t="shared" si="13"/>
        <v/>
      </c>
      <c r="Q32" s="134" t="str">
        <f>IF(In_Sales="","",In_Debt+In_Equity-O32-P32)</f>
        <v/>
      </c>
      <c r="R32" s="330"/>
      <c r="S32" s="20" t="str">
        <f t="shared" si="3"/>
        <v/>
      </c>
      <c r="T32" s="27" t="str">
        <f>IF(In_Sales="","",NonCash_WC/In_Sales)</f>
        <v/>
      </c>
      <c r="U32" s="20" t="str">
        <f>IF(In_Sales="","",IF(M_beyond10K=12,U31,U31-U33+U30))</f>
        <v/>
      </c>
      <c r="V32" s="20" t="str">
        <f>IF(In_Sales="","",IF(M_beyond10K=12,V31,V31-V33+V30))</f>
        <v/>
      </c>
      <c r="W32" s="20" t="str">
        <f t="shared" si="4"/>
        <v/>
      </c>
      <c r="X32" s="27" t="str">
        <f t="shared" si="5"/>
        <v/>
      </c>
      <c r="Y32" s="20" t="str">
        <f t="shared" si="6"/>
        <v/>
      </c>
      <c r="Z32" s="333" t="str">
        <f>IF(Q35="","",In_EBIT/R32)</f>
        <v/>
      </c>
      <c r="AA32" s="331" t="str">
        <f>IF(Q35="","",(In_EBIT*(1-Adj_Effective_T))/Q35)</f>
        <v/>
      </c>
      <c r="AB32" s="27" t="str">
        <f t="shared" si="8"/>
        <v/>
      </c>
    </row>
    <row r="33" spans="1:28" ht="29.1" customHeight="1" outlineLevel="1">
      <c r="A33" s="98" t="str">
        <f>CONCATENATE("First X months of ",$C$9-6)</f>
        <v>First X months of 2013</v>
      </c>
      <c r="B33" s="36"/>
      <c r="C33" s="97" t="str">
        <f>IF(OR(In_Sales="",B36=""),"",(In_Sales-B36)/B36)</f>
        <v/>
      </c>
      <c r="D33" s="36"/>
      <c r="E33" s="107" t="str">
        <f t="shared" si="2"/>
        <v/>
      </c>
      <c r="F33" s="97" t="str">
        <f t="shared" si="0"/>
        <v/>
      </c>
      <c r="G33" s="19"/>
      <c r="H33" s="18"/>
      <c r="I33" s="332"/>
      <c r="J33" s="135"/>
      <c r="K33" s="135"/>
      <c r="L33" s="95"/>
      <c r="M33" s="36"/>
      <c r="N33" s="36"/>
      <c r="O33" s="36"/>
      <c r="P33" s="36"/>
      <c r="Q33" s="327"/>
      <c r="R33" s="14"/>
      <c r="S33" s="81" t="str">
        <f t="shared" si="3"/>
        <v/>
      </c>
      <c r="T33" s="106"/>
      <c r="U33" s="36"/>
      <c r="V33" s="36"/>
      <c r="W33" s="39" t="str">
        <f t="shared" si="4"/>
        <v/>
      </c>
      <c r="X33" s="97" t="str">
        <f t="shared" si="5"/>
        <v/>
      </c>
      <c r="Y33" s="38" t="str">
        <f t="shared" si="6"/>
        <v/>
      </c>
      <c r="Z33" s="335" t="str">
        <f>IF(M36="","",In_EBIT/(M36+L36-O36-P36))</f>
        <v/>
      </c>
      <c r="AA33" s="334" t="str">
        <f>IF(M36="","",(In_EBIT*(1-Adj_Effective_T))/(M36+L36-O36-P36))</f>
        <v/>
      </c>
      <c r="AB33" s="338" t="str">
        <f t="shared" si="8"/>
        <v/>
      </c>
    </row>
    <row r="34" spans="1:28" ht="29.1" customHeight="1" outlineLevel="1">
      <c r="A34" s="99" t="str">
        <f>CONCATENATE("Last 10k of ",$C$9-7)</f>
        <v>Last 10k of 2012</v>
      </c>
      <c r="B34" s="19"/>
      <c r="C34" s="97" t="str">
        <f>IF(OR(In_Sales="",B37=""),"",(In_Sales-B37)/B37)</f>
        <v/>
      </c>
      <c r="D34" s="37"/>
      <c r="E34" s="97" t="str">
        <f t="shared" si="2"/>
        <v/>
      </c>
      <c r="F34" s="97" t="str">
        <f t="shared" si="0"/>
        <v/>
      </c>
      <c r="G34" s="19"/>
      <c r="H34" s="18"/>
      <c r="I34" s="332"/>
      <c r="J34" s="135"/>
      <c r="K34" s="135"/>
      <c r="L34" s="94"/>
      <c r="M34" s="37"/>
      <c r="N34" s="37"/>
      <c r="O34" s="37"/>
      <c r="P34" s="37"/>
      <c r="Q34" s="327"/>
      <c r="R34" s="14"/>
      <c r="S34" s="81" t="str">
        <f t="shared" si="3"/>
        <v/>
      </c>
      <c r="T34" s="97" t="str">
        <f>IF(In_Sales="","",NonCash_WC/In_Sales)</f>
        <v/>
      </c>
      <c r="U34" s="37"/>
      <c r="V34" s="37"/>
      <c r="W34" s="39" t="str">
        <f t="shared" si="4"/>
        <v/>
      </c>
      <c r="X34" s="97" t="str">
        <f t="shared" si="5"/>
        <v/>
      </c>
      <c r="Y34" s="38" t="str">
        <f t="shared" si="6"/>
        <v/>
      </c>
      <c r="Z34" s="335" t="str">
        <f>IF(M37="","",In_EBIT/(M37+L37-O37-P37))</f>
        <v/>
      </c>
      <c r="AA34" s="334" t="str">
        <f>IF(M37="","",(In_EBIT*(1-Adj_Effective_T))/(M37+L37-O37-P37))</f>
        <v/>
      </c>
      <c r="AB34" s="338" t="str">
        <f t="shared" si="8"/>
        <v/>
      </c>
    </row>
    <row r="35" spans="1:28" ht="29.1" customHeight="1">
      <c r="A35" s="100" t="str">
        <f>CONCATENATE("LTM of ",$C$9-7)</f>
        <v>LTM of 2012</v>
      </c>
      <c r="B35" s="20" t="str">
        <f>IF(B34="","",IF(M_beyond10K=12,B34,B34-B36+B33))</f>
        <v/>
      </c>
      <c r="C35" s="27" t="str">
        <f>IF(OR(In_Sales="",B38=""),"",In_Sales/B38-1)</f>
        <v/>
      </c>
      <c r="D35" s="20" t="str">
        <f>IF(D34="","",IF(M_beyond10K=12,D34,D34-D36+D33))</f>
        <v/>
      </c>
      <c r="E35" s="27" t="str">
        <f t="shared" si="2"/>
        <v/>
      </c>
      <c r="F35" s="27" t="str">
        <f t="shared" si="0"/>
        <v/>
      </c>
      <c r="G35" s="20" t="str">
        <f>IF(In_Sales="","",IF(F$9=12,G34,G34-G36+G33))</f>
        <v/>
      </c>
      <c r="H35" s="27" t="str">
        <f>IF(B35="","",IF(F$9=12,H34,H34*((12-$F$9)/12)+H33*($F$9/12)))</f>
        <v/>
      </c>
      <c r="I35" s="332"/>
      <c r="J35" s="20" t="str">
        <f t="shared" ref="J35:P35" si="14">IF(In_Sales="","",IF(M_beyond10K=12,J34,J33))</f>
        <v/>
      </c>
      <c r="K35" s="20" t="str">
        <f t="shared" si="14"/>
        <v/>
      </c>
      <c r="L35" s="20" t="str">
        <f t="shared" si="14"/>
        <v/>
      </c>
      <c r="M35" s="20" t="str">
        <f t="shared" si="14"/>
        <v/>
      </c>
      <c r="N35" s="20" t="str">
        <f t="shared" si="14"/>
        <v/>
      </c>
      <c r="O35" s="20" t="str">
        <f t="shared" si="14"/>
        <v/>
      </c>
      <c r="P35" s="20" t="str">
        <f t="shared" si="14"/>
        <v/>
      </c>
      <c r="Q35" s="134" t="str">
        <f>IF(In_Sales="","",In_Debt+In_Equity-O35-P35)</f>
        <v/>
      </c>
      <c r="R35" s="330"/>
      <c r="S35" s="20" t="str">
        <f t="shared" si="3"/>
        <v/>
      </c>
      <c r="T35" s="27" t="str">
        <f>IF(In_Sales="","",NonCash_WC/In_Sales)</f>
        <v/>
      </c>
      <c r="U35" s="20" t="str">
        <f>IF(In_Sales="","",IF(M_beyond10K=12,U34,U34-U36+U33))</f>
        <v/>
      </c>
      <c r="V35" s="20" t="str">
        <f>IF(In_Sales="","",IF(M_beyond10K=12,V34,V34-V36+V33))</f>
        <v/>
      </c>
      <c r="W35" s="20" t="str">
        <f t="shared" si="4"/>
        <v/>
      </c>
      <c r="X35" s="27" t="str">
        <f t="shared" si="5"/>
        <v/>
      </c>
      <c r="Y35" s="20" t="str">
        <f t="shared" si="6"/>
        <v/>
      </c>
      <c r="Z35" s="333" t="str">
        <f>IF(Q38="","",In_EBIT/R35)</f>
        <v/>
      </c>
      <c r="AA35" s="331" t="str">
        <f>IF(Q38="","",(In_EBIT*(1-Adj_Effective_T))/Q38)</f>
        <v/>
      </c>
      <c r="AB35" s="27" t="str">
        <f t="shared" si="8"/>
        <v/>
      </c>
    </row>
    <row r="36" spans="1:28" ht="29.1" customHeight="1" outlineLevel="1">
      <c r="A36" s="98" t="str">
        <f>CONCATENATE("First X months of ",$C$9-7)</f>
        <v>First X months of 2012</v>
      </c>
      <c r="B36" s="36"/>
      <c r="C36" s="97" t="str">
        <f>IF(OR(In_Sales="",B39=""),"",(In_Sales-B39)/B39)</f>
        <v/>
      </c>
      <c r="D36" s="36"/>
      <c r="E36" s="107" t="str">
        <f t="shared" si="2"/>
        <v/>
      </c>
      <c r="F36" s="97" t="str">
        <f t="shared" si="0"/>
        <v/>
      </c>
      <c r="G36" s="19"/>
      <c r="H36" s="18"/>
      <c r="I36" s="332"/>
      <c r="J36" s="135"/>
      <c r="K36" s="135"/>
      <c r="L36" s="95"/>
      <c r="M36" s="36"/>
      <c r="N36" s="36"/>
      <c r="O36" s="36"/>
      <c r="P36" s="36"/>
      <c r="Q36" s="327"/>
      <c r="R36" s="14"/>
      <c r="S36" s="81" t="str">
        <f t="shared" si="3"/>
        <v/>
      </c>
      <c r="T36" s="106"/>
      <c r="U36" s="36"/>
      <c r="V36" s="36"/>
      <c r="W36" s="39" t="str">
        <f t="shared" si="4"/>
        <v/>
      </c>
      <c r="X36" s="97" t="str">
        <f t="shared" si="5"/>
        <v/>
      </c>
      <c r="Y36" s="38" t="str">
        <f t="shared" si="6"/>
        <v/>
      </c>
      <c r="Z36" s="335" t="str">
        <f>IF(M39="","",In_EBIT/(M39+L39-O39-P39))</f>
        <v/>
      </c>
      <c r="AA36" s="334" t="str">
        <f>IF(M39="","",(In_EBIT*(1-Adj_Effective_T))/(M39+L39-O39-P39))</f>
        <v/>
      </c>
      <c r="AB36" s="338" t="str">
        <f t="shared" si="8"/>
        <v/>
      </c>
    </row>
    <row r="37" spans="1:28" ht="29.1" customHeight="1" outlineLevel="1">
      <c r="A37" s="99" t="str">
        <f>CONCATENATE("Last 10k of ",$C$9-8)</f>
        <v>Last 10k of 2011</v>
      </c>
      <c r="B37" s="19"/>
      <c r="C37" s="97" t="str">
        <f>IF(OR(In_Sales="",B40=""),"",(In_Sales-B40)/B40)</f>
        <v/>
      </c>
      <c r="D37" s="37"/>
      <c r="E37" s="97" t="str">
        <f t="shared" si="2"/>
        <v/>
      </c>
      <c r="F37" s="97" t="str">
        <f t="shared" si="0"/>
        <v/>
      </c>
      <c r="G37" s="19"/>
      <c r="H37" s="18"/>
      <c r="I37" s="332"/>
      <c r="J37" s="135"/>
      <c r="K37" s="135"/>
      <c r="L37" s="94"/>
      <c r="M37" s="37"/>
      <c r="N37" s="37"/>
      <c r="O37" s="37"/>
      <c r="P37" s="37"/>
      <c r="Q37" s="327"/>
      <c r="R37" s="14"/>
      <c r="S37" s="81" t="str">
        <f t="shared" si="3"/>
        <v/>
      </c>
      <c r="T37" s="97" t="str">
        <f>IF(In_Sales="","",NonCash_WC/In_Sales)</f>
        <v/>
      </c>
      <c r="U37" s="37"/>
      <c r="V37" s="37"/>
      <c r="W37" s="39" t="str">
        <f t="shared" si="4"/>
        <v/>
      </c>
      <c r="X37" s="97" t="str">
        <f t="shared" si="5"/>
        <v/>
      </c>
      <c r="Y37" s="38" t="str">
        <f t="shared" si="6"/>
        <v/>
      </c>
      <c r="Z37" s="335" t="str">
        <f>IF(M40="","",In_EBIT/(M40+L40-O40-P40))</f>
        <v/>
      </c>
      <c r="AA37" s="334" t="str">
        <f>IF(M40="","",(In_EBIT*(1-Adj_Effective_T))/(M40+L40-O40-P40))</f>
        <v/>
      </c>
      <c r="AB37" s="338" t="str">
        <f t="shared" si="8"/>
        <v/>
      </c>
    </row>
    <row r="38" spans="1:28" ht="29.1" customHeight="1">
      <c r="A38" s="100" t="str">
        <f>CONCATENATE("LTM of ",$C$9-8)</f>
        <v>LTM of 2011</v>
      </c>
      <c r="B38" s="20" t="str">
        <f>IF(B37="","",IF(M_beyond10K=12,B37,B37-B39+B36))</f>
        <v/>
      </c>
      <c r="C38" s="27" t="str">
        <f>IF(OR(In_Sales="",B41=""),"",In_Sales/B41-1)</f>
        <v/>
      </c>
      <c r="D38" s="20" t="str">
        <f>IF(D37="","",IF(M_beyond10K=12,D37,D37-D39+D36))</f>
        <v/>
      </c>
      <c r="E38" s="27" t="str">
        <f t="shared" si="2"/>
        <v/>
      </c>
      <c r="F38" s="27" t="str">
        <f t="shared" si="0"/>
        <v/>
      </c>
      <c r="G38" s="20" t="str">
        <f>IF(In_Sales="","",IF(F$9=12,G37,G37-G39+G36))</f>
        <v/>
      </c>
      <c r="H38" s="27" t="str">
        <f>IF(B38="","",IF(F$9=12,H37,H37*((12-$F$9)/12)+H36*($F$9/12)))</f>
        <v/>
      </c>
      <c r="I38" s="332"/>
      <c r="J38" s="20" t="str">
        <f t="shared" ref="J38:P38" si="15">IF(In_Sales="","",IF(M_beyond10K=12,J37,J36))</f>
        <v/>
      </c>
      <c r="K38" s="20" t="str">
        <f t="shared" si="15"/>
        <v/>
      </c>
      <c r="L38" s="20" t="str">
        <f t="shared" si="15"/>
        <v/>
      </c>
      <c r="M38" s="20" t="str">
        <f t="shared" si="15"/>
        <v/>
      </c>
      <c r="N38" s="20" t="str">
        <f t="shared" si="15"/>
        <v/>
      </c>
      <c r="O38" s="20" t="str">
        <f t="shared" si="15"/>
        <v/>
      </c>
      <c r="P38" s="20" t="str">
        <f t="shared" si="15"/>
        <v/>
      </c>
      <c r="Q38" s="134" t="str">
        <f>IF(In_Sales="","",In_Debt+In_Equity-O38-P38)</f>
        <v/>
      </c>
      <c r="R38" s="330"/>
      <c r="S38" s="20" t="str">
        <f t="shared" si="3"/>
        <v/>
      </c>
      <c r="T38" s="27" t="str">
        <f>IF(In_Sales="","",NonCash_WC/In_Sales)</f>
        <v/>
      </c>
      <c r="U38" s="20" t="str">
        <f>IF(In_Sales="","",IF(M_beyond10K=12,U37,U37-U39+U36))</f>
        <v/>
      </c>
      <c r="V38" s="20" t="str">
        <f>IF(In_Sales="","",IF(M_beyond10K=12,V37,V37-V39+V36))</f>
        <v/>
      </c>
      <c r="W38" s="20" t="str">
        <f t="shared" si="4"/>
        <v/>
      </c>
      <c r="X38" s="27" t="str">
        <f t="shared" si="5"/>
        <v/>
      </c>
      <c r="Y38" s="20" t="str">
        <f t="shared" si="6"/>
        <v/>
      </c>
      <c r="Z38" s="333" t="str">
        <f>IF(Q41="","",In_EBIT/R38)</f>
        <v/>
      </c>
      <c r="AA38" s="331" t="str">
        <f>IF(Q41="","",(In_EBIT*(1-Adj_Effective_T))/Q41)</f>
        <v/>
      </c>
      <c r="AB38" s="27" t="str">
        <f t="shared" si="8"/>
        <v/>
      </c>
    </row>
    <row r="39" spans="1:28" ht="29.1" customHeight="1" outlineLevel="1">
      <c r="A39" s="98" t="str">
        <f>CONCATENATE("First X months of ",$C$9-8)</f>
        <v>First X months of 2011</v>
      </c>
      <c r="B39" s="36"/>
      <c r="C39" s="97" t="str">
        <f>IF(OR(In_Sales="",B42=""),"",(In_Sales-B42)/B42)</f>
        <v/>
      </c>
      <c r="D39" s="36"/>
      <c r="E39" s="107" t="str">
        <f t="shared" si="2"/>
        <v/>
      </c>
      <c r="F39" s="97" t="str">
        <f t="shared" si="0"/>
        <v/>
      </c>
      <c r="G39" s="19"/>
      <c r="H39" s="18"/>
      <c r="I39" s="332"/>
      <c r="J39" s="135"/>
      <c r="K39" s="135"/>
      <c r="L39" s="95"/>
      <c r="M39" s="36"/>
      <c r="N39" s="36"/>
      <c r="O39" s="36"/>
      <c r="P39" s="36"/>
      <c r="Q39" s="327"/>
      <c r="R39" s="14"/>
      <c r="S39" s="81" t="str">
        <f t="shared" si="3"/>
        <v/>
      </c>
      <c r="T39" s="106"/>
      <c r="U39" s="36"/>
      <c r="V39" s="36"/>
      <c r="W39" s="39" t="str">
        <f t="shared" si="4"/>
        <v/>
      </c>
      <c r="X39" s="97" t="str">
        <f t="shared" si="5"/>
        <v/>
      </c>
      <c r="Y39" s="38" t="str">
        <f t="shared" si="6"/>
        <v/>
      </c>
      <c r="Z39" s="335" t="str">
        <f>IF(M42="","",In_EBIT/(M42+L42-O42-P42))</f>
        <v/>
      </c>
      <c r="AA39" s="334" t="str">
        <f>IF(M42="","",(In_EBIT*(1-Adj_Effective_T))/(M42+L42-O42-P42))</f>
        <v/>
      </c>
      <c r="AB39" s="338" t="str">
        <f t="shared" si="8"/>
        <v/>
      </c>
    </row>
    <row r="40" spans="1:28" ht="29.1" customHeight="1" outlineLevel="1">
      <c r="A40" s="99" t="str">
        <f>CONCATENATE("Last 10k of ",$C$9-9)</f>
        <v>Last 10k of 2010</v>
      </c>
      <c r="B40" s="19"/>
      <c r="C40" s="97" t="str">
        <f>IF(OR(In_Sales="",B43=""),"",(In_Sales-B43)/B43)</f>
        <v/>
      </c>
      <c r="D40" s="37"/>
      <c r="E40" s="97" t="str">
        <f t="shared" si="2"/>
        <v/>
      </c>
      <c r="F40" s="97" t="str">
        <f t="shared" si="0"/>
        <v/>
      </c>
      <c r="G40" s="19"/>
      <c r="H40" s="18"/>
      <c r="I40" s="332"/>
      <c r="J40" s="135"/>
      <c r="K40" s="135"/>
      <c r="L40" s="94"/>
      <c r="M40" s="37"/>
      <c r="N40" s="37"/>
      <c r="O40" s="37"/>
      <c r="P40" s="37"/>
      <c r="Q40" s="327"/>
      <c r="R40" s="14"/>
      <c r="S40" s="81" t="str">
        <f t="shared" si="3"/>
        <v/>
      </c>
      <c r="T40" s="97" t="str">
        <f>IF(In_Sales="","",NonCash_WC/In_Sales)</f>
        <v/>
      </c>
      <c r="U40" s="37"/>
      <c r="V40" s="37"/>
      <c r="W40" s="39" t="str">
        <f t="shared" si="4"/>
        <v/>
      </c>
      <c r="X40" s="97" t="str">
        <f t="shared" si="5"/>
        <v/>
      </c>
      <c r="Y40" s="38" t="str">
        <f t="shared" si="6"/>
        <v/>
      </c>
      <c r="Z40" s="335" t="str">
        <f>IF(M43="","",In_EBIT/(M43+L43-O43-P43))</f>
        <v/>
      </c>
      <c r="AA40" s="334" t="str">
        <f>IF(M43="","",(In_EBIT*(1-Adj_Effective_T))/(M43+L43-O43-P43))</f>
        <v/>
      </c>
      <c r="AB40" s="338" t="str">
        <f t="shared" si="8"/>
        <v/>
      </c>
    </row>
    <row r="41" spans="1:28" ht="29.1" customHeight="1">
      <c r="A41" s="100" t="str">
        <f>CONCATENATE("LTM of ",$C$9-9)</f>
        <v>LTM of 2010</v>
      </c>
      <c r="B41" s="20" t="str">
        <f>IF(B40="","",IF(M_beyond10K=12,B40,B40-B42+B39))</f>
        <v/>
      </c>
      <c r="C41" s="27" t="str">
        <f>IF(OR(In_Sales="",B44=""),"",In_Sales/B44-1)</f>
        <v/>
      </c>
      <c r="D41" s="20" t="str">
        <f>IF(D40="","",IF(M_beyond10K=12,D40,D40-D42+D39))</f>
        <v/>
      </c>
      <c r="E41" s="27" t="str">
        <f t="shared" si="2"/>
        <v/>
      </c>
      <c r="F41" s="27" t="str">
        <f t="shared" si="0"/>
        <v/>
      </c>
      <c r="G41" s="20" t="str">
        <f>IF(In_Sales="","",IF(F$9=12,G40,G40-G42+G39))</f>
        <v/>
      </c>
      <c r="H41" s="27" t="str">
        <f>IF(B41="","",IF(F$9=12,H40,H40*((12-$F$9)/12)+H39*($F$9/12)))</f>
        <v/>
      </c>
      <c r="I41" s="332"/>
      <c r="J41" s="20" t="str">
        <f t="shared" ref="J41:P41" si="16">IF(In_Sales="","",IF(M_beyond10K=12,J40,J39))</f>
        <v/>
      </c>
      <c r="K41" s="20" t="str">
        <f t="shared" si="16"/>
        <v/>
      </c>
      <c r="L41" s="20" t="str">
        <f t="shared" si="16"/>
        <v/>
      </c>
      <c r="M41" s="20" t="str">
        <f t="shared" si="16"/>
        <v/>
      </c>
      <c r="N41" s="20" t="str">
        <f t="shared" si="16"/>
        <v/>
      </c>
      <c r="O41" s="20" t="str">
        <f t="shared" si="16"/>
        <v/>
      </c>
      <c r="P41" s="20" t="str">
        <f t="shared" si="16"/>
        <v/>
      </c>
      <c r="Q41" s="134" t="str">
        <f>IF(In_Sales="","",In_Debt+In_Equity-O41-P41)</f>
        <v/>
      </c>
      <c r="R41" s="330"/>
      <c r="S41" s="20" t="str">
        <f t="shared" si="3"/>
        <v/>
      </c>
      <c r="T41" s="27" t="str">
        <f>IF(In_Sales="","",NonCash_WC/In_Sales)</f>
        <v/>
      </c>
      <c r="U41" s="20" t="str">
        <f>IF(In_Sales="","",IF(M_beyond10K=12,U40,U40-U42+U39))</f>
        <v/>
      </c>
      <c r="V41" s="20" t="str">
        <f>IF(In_Sales="","",IF(M_beyond10K=12,V40,V40-V42+V39))</f>
        <v/>
      </c>
      <c r="W41" s="20" t="str">
        <f t="shared" si="4"/>
        <v/>
      </c>
      <c r="X41" s="27" t="str">
        <f t="shared" si="5"/>
        <v/>
      </c>
      <c r="Y41" s="20" t="str">
        <f t="shared" si="6"/>
        <v/>
      </c>
      <c r="Z41" s="333" t="str">
        <f>IF(Q44="","",In_EBIT/R41)</f>
        <v/>
      </c>
      <c r="AA41" s="331" t="str">
        <f>IF(Q44="","",(In_EBIT*(1-Adj_Effective_T))/Q44)</f>
        <v/>
      </c>
      <c r="AB41" s="27" t="str">
        <f t="shared" si="8"/>
        <v/>
      </c>
    </row>
    <row r="42" spans="1:28" ht="29.1" customHeight="1">
      <c r="A42" s="101" t="str">
        <f>CONCATENATE("First X months of ",$C$9-9)</f>
        <v>First X months of 2010</v>
      </c>
      <c r="B42" s="19"/>
      <c r="C42" s="106"/>
      <c r="D42" s="19"/>
      <c r="E42" s="97" t="str">
        <f t="shared" si="2"/>
        <v/>
      </c>
      <c r="F42" s="79"/>
      <c r="G42" s="19"/>
      <c r="H42" s="18"/>
      <c r="I42" s="339"/>
      <c r="J42" s="135"/>
      <c r="K42" s="135"/>
      <c r="L42" s="96"/>
      <c r="M42" s="19"/>
      <c r="N42" s="19"/>
      <c r="O42" s="19"/>
      <c r="P42" s="19"/>
      <c r="Q42" s="328"/>
      <c r="R42" s="80"/>
      <c r="S42" s="81" t="str">
        <f t="shared" si="3"/>
        <v/>
      </c>
      <c r="T42" s="106"/>
      <c r="U42" s="19"/>
      <c r="V42" s="19"/>
      <c r="W42" s="81" t="str">
        <f t="shared" si="4"/>
        <v/>
      </c>
      <c r="X42" s="97" t="str">
        <f t="shared" si="5"/>
        <v/>
      </c>
      <c r="Y42" s="38" t="str">
        <f t="shared" si="6"/>
        <v/>
      </c>
      <c r="Z42" s="337" t="str">
        <f>IF(M45="","",In_EBIT/(M45+L45-O45-P45))</f>
        <v/>
      </c>
      <c r="AA42" s="336" t="str">
        <f>IF(M45="","",(In_EBIT*(1-Adj_Effective_T))/(M45+L45-O45-P45))</f>
        <v/>
      </c>
      <c r="AB42" s="339" t="str">
        <f t="shared" si="8"/>
        <v/>
      </c>
    </row>
    <row r="43" spans="1:28" ht="29.1" customHeight="1">
      <c r="A43" s="31"/>
      <c r="H43" s="14"/>
      <c r="I43" s="14"/>
      <c r="AA43"/>
    </row>
    <row r="44" spans="1:28" ht="29.1" customHeight="1">
      <c r="A44" s="31"/>
      <c r="C44" s="110"/>
      <c r="D44" s="17"/>
      <c r="E44" s="103"/>
      <c r="F44" s="103"/>
      <c r="H44" s="14"/>
      <c r="I44" s="14"/>
      <c r="T44" s="102"/>
      <c r="AA44"/>
    </row>
    <row r="45" spans="1:28" ht="29.1" customHeight="1">
      <c r="AA45"/>
    </row>
    <row r="46" spans="1:28" ht="29.1" customHeight="1"/>
    <row r="47" spans="1:28" ht="29.1" customHeight="1"/>
    <row r="48" spans="1:28" ht="29.1" customHeight="1"/>
    <row r="49" spans="1:27" ht="29.1" customHeight="1"/>
    <row r="50" spans="1:27" ht="29.1" customHeight="1"/>
    <row r="51" spans="1:27" ht="29.1" customHeight="1"/>
    <row r="52" spans="1:27" ht="29.1" customHeight="1"/>
    <row r="53" spans="1:27" ht="29.1" customHeight="1">
      <c r="AA53"/>
    </row>
    <row r="54" spans="1:27" ht="29.1" customHeight="1">
      <c r="AA54"/>
    </row>
    <row r="55" spans="1:27" ht="29.1" customHeight="1">
      <c r="AA55"/>
    </row>
    <row r="56" spans="1:27" ht="29.1" customHeight="1">
      <c r="AA56"/>
    </row>
    <row r="57" spans="1:27" ht="29.1" customHeight="1">
      <c r="A57" s="84"/>
      <c r="B57" s="85"/>
      <c r="C57" s="85"/>
      <c r="D57" s="85"/>
      <c r="E57" s="85"/>
      <c r="F57" s="85"/>
      <c r="G57" s="85"/>
      <c r="H57" s="14"/>
      <c r="I57" s="14"/>
      <c r="AA57"/>
    </row>
    <row r="58" spans="1:27" ht="29.1" customHeight="1">
      <c r="A58" s="84"/>
      <c r="B58" s="85"/>
      <c r="C58" s="85"/>
      <c r="D58" s="85"/>
      <c r="E58" s="85"/>
      <c r="F58" s="85"/>
      <c r="G58" s="83"/>
      <c r="H58" s="14"/>
      <c r="I58" s="14"/>
      <c r="AA58"/>
    </row>
    <row r="59" spans="1:27" ht="29.1" customHeight="1">
      <c r="A59" s="84"/>
      <c r="B59" s="86"/>
      <c r="C59" s="86"/>
      <c r="D59" s="86"/>
      <c r="E59" s="86"/>
      <c r="F59" s="86"/>
      <c r="G59" s="86"/>
      <c r="H59" s="14"/>
      <c r="I59" s="14"/>
      <c r="AA59"/>
    </row>
    <row r="60" spans="1:27" ht="29.1" customHeight="1">
      <c r="AA60"/>
    </row>
    <row r="61" spans="1:27" ht="29.1" customHeight="1">
      <c r="AA61"/>
    </row>
    <row r="62" spans="1:27" ht="29.1" customHeight="1">
      <c r="AA62"/>
    </row>
    <row r="63" spans="1:27" ht="29.1" customHeight="1">
      <c r="AA63"/>
    </row>
    <row r="64" spans="1:27" ht="29.1" customHeight="1">
      <c r="AA64"/>
    </row>
    <row r="65" spans="1:27" ht="29.1" customHeight="1">
      <c r="AA65"/>
    </row>
    <row r="66" spans="1:27" ht="29.1" customHeight="1">
      <c r="A66" s="31"/>
      <c r="AA66"/>
    </row>
    <row r="67" spans="1:27" ht="29.1" customHeight="1">
      <c r="A67" s="31"/>
      <c r="AA67"/>
    </row>
    <row r="68" spans="1:27" ht="29.1" customHeight="1">
      <c r="A68" s="31"/>
      <c r="AA68"/>
    </row>
    <row r="69" spans="1:27" ht="29.1" customHeight="1">
      <c r="A69" s="31"/>
      <c r="AA69"/>
    </row>
    <row r="70" spans="1:27" ht="29.1" customHeight="1">
      <c r="A70" s="31"/>
      <c r="AA70"/>
    </row>
    <row r="71" spans="1:27" ht="29.1" customHeight="1">
      <c r="A71" s="31"/>
      <c r="AA71"/>
    </row>
    <row r="72" spans="1:27" ht="29.1" customHeight="1">
      <c r="A72" s="31"/>
      <c r="AA72"/>
    </row>
    <row r="73" spans="1:27" ht="29.1" customHeight="1">
      <c r="A73" s="31"/>
      <c r="AA73"/>
    </row>
    <row r="74" spans="1:27" ht="29.1" customHeight="1">
      <c r="A74" s="31"/>
      <c r="AA74"/>
    </row>
    <row r="75" spans="1:27" ht="29.1" customHeight="1">
      <c r="A75" s="31"/>
      <c r="AA75"/>
    </row>
    <row r="76" spans="1:27" ht="29.1" customHeight="1">
      <c r="A76" s="31"/>
      <c r="AA76"/>
    </row>
    <row r="77" spans="1:27" ht="29.1" customHeight="1">
      <c r="A77" s="31"/>
      <c r="AA77"/>
    </row>
    <row r="78" spans="1:27" ht="29.1" customHeight="1">
      <c r="A78" s="31"/>
      <c r="AA78"/>
    </row>
    <row r="79" spans="1:27" ht="29.1" customHeight="1">
      <c r="A79" s="31"/>
      <c r="AA79"/>
    </row>
    <row r="80" spans="1:27" ht="29.1" customHeight="1">
      <c r="A80" s="31"/>
      <c r="AA80"/>
    </row>
    <row r="81" spans="1:27" ht="29.1" customHeight="1">
      <c r="A81" s="31"/>
      <c r="AA81"/>
    </row>
    <row r="82" spans="1:27" ht="29.1" customHeight="1">
      <c r="A82" s="31"/>
      <c r="AA82"/>
    </row>
    <row r="83" spans="1:27" ht="29.1" customHeight="1">
      <c r="A83" s="31"/>
      <c r="AA83"/>
    </row>
    <row r="84" spans="1:27" ht="29.1" customHeight="1">
      <c r="A84" s="31"/>
      <c r="AA84"/>
    </row>
    <row r="85" spans="1:27" ht="29.1" customHeight="1">
      <c r="A85" s="31"/>
      <c r="AA85"/>
    </row>
    <row r="86" spans="1:27" ht="29.1" customHeight="1">
      <c r="A86" s="31"/>
      <c r="AA86"/>
    </row>
    <row r="87" spans="1:27" ht="29.1" customHeight="1">
      <c r="A87" s="31"/>
      <c r="AA87"/>
    </row>
    <row r="88" spans="1:27" ht="29.1" customHeight="1">
      <c r="A88" s="31"/>
      <c r="AA88"/>
    </row>
    <row r="89" spans="1:27" ht="29.1" customHeight="1">
      <c r="A89" s="31"/>
      <c r="AA89"/>
    </row>
    <row r="90" spans="1:27" ht="29.1" customHeight="1">
      <c r="A90" s="31"/>
      <c r="AA90"/>
    </row>
    <row r="91" spans="1:27" ht="29.1" customHeight="1">
      <c r="A91" s="31"/>
      <c r="AA91"/>
    </row>
    <row r="92" spans="1:27" ht="29.1" customHeight="1">
      <c r="A92" s="31"/>
      <c r="AA92"/>
    </row>
    <row r="93" spans="1:27" ht="29.1" customHeight="1">
      <c r="A93" s="31"/>
      <c r="AA93"/>
    </row>
    <row r="94" spans="1:27" ht="29.1" customHeight="1">
      <c r="A94" s="31"/>
      <c r="AA94"/>
    </row>
    <row r="95" spans="1:27" ht="29.1" customHeight="1">
      <c r="A95" s="31"/>
      <c r="AA95"/>
    </row>
    <row r="96" spans="1:27" ht="29.1" customHeight="1">
      <c r="A96" s="31"/>
      <c r="AA96"/>
    </row>
    <row r="97" spans="1:27" ht="29.1" customHeight="1">
      <c r="A97" s="31"/>
      <c r="AA97"/>
    </row>
    <row r="98" spans="1:27" ht="29.1" customHeight="1">
      <c r="A98" s="31"/>
    </row>
    <row r="99" spans="1:27" ht="29.1" customHeight="1">
      <c r="A99" s="31"/>
    </row>
    <row r="100" spans="1:27" ht="29.1" customHeight="1">
      <c r="A100" s="31"/>
    </row>
    <row r="101" spans="1:27" ht="29.1" customHeight="1">
      <c r="A101" s="31"/>
    </row>
    <row r="102" spans="1:27" ht="29.1" customHeight="1">
      <c r="A102" s="31"/>
    </row>
    <row r="103" spans="1:27" ht="29.1" customHeight="1">
      <c r="A103" s="31"/>
    </row>
    <row r="104" spans="1:27" ht="29.1" customHeight="1">
      <c r="A104" s="31"/>
    </row>
    <row r="105" spans="1:27" ht="29.1" customHeight="1">
      <c r="A105" s="31"/>
    </row>
    <row r="106" spans="1:27" ht="29.1" customHeight="1">
      <c r="A106" s="31"/>
    </row>
    <row r="107" spans="1:27" ht="29.1" customHeight="1">
      <c r="A107" s="31"/>
    </row>
  </sheetData>
  <mergeCells count="1">
    <mergeCell ref="B2:C2"/>
  </mergeCells>
  <phoneticPr fontId="2" type="noConversion"/>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80C72BA-F9D0-448E-BD2D-72A907BA4CE9}">
          <x14:formula1>
            <xm:f>Readme!$A$54:$A$55</xm:f>
          </x14:formula1>
          <xm:sqref>F9</xm:sqref>
        </x14:dataValidation>
        <x14:dataValidation type="list" allowBlank="1" showInputMessage="1" showErrorMessage="1" xr:uid="{EB6E7809-8847-436B-9C48-50AE36ADD75E}">
          <x14:formula1>
            <xm:f>Readme!$A$62:$A$63</xm:f>
          </x14:formula1>
          <xm:sqref>B3</xm:sqref>
        </x14:dataValidation>
        <x14:dataValidation type="list" allowBlank="1" showInputMessage="1" showErrorMessage="1" xr:uid="{C3096F13-9AED-442F-B64E-6EAC63C9EE7E}">
          <x14:formula1>
            <xm:f>Readme!$A$66:$A$68</xm:f>
          </x14:formula1>
          <xm:sqref>C4 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7" tint="0.59999389629810485"/>
  </sheetPr>
  <dimension ref="A1:K196"/>
  <sheetViews>
    <sheetView tabSelected="1" topLeftCell="A34" zoomScaleNormal="100" workbookViewId="0">
      <selection activeCell="D57" sqref="D57"/>
    </sheetView>
  </sheetViews>
  <sheetFormatPr defaultColWidth="11" defaultRowHeight="15.75"/>
  <cols>
    <col min="1" max="1" width="23.875" style="114" customWidth="1"/>
    <col min="2" max="11" width="16.875" style="114" customWidth="1"/>
    <col min="12" max="16384" width="11" style="114"/>
  </cols>
  <sheetData>
    <row r="1" spans="1:11">
      <c r="A1" s="158" t="s">
        <v>376</v>
      </c>
      <c r="B1" s="144"/>
    </row>
    <row r="3" spans="1:11">
      <c r="A3" s="21" t="s">
        <v>606</v>
      </c>
    </row>
    <row r="4" spans="1:11">
      <c r="A4" s="125"/>
      <c r="B4" s="130" t="str">
        <f>'Master Inputs'!A14</f>
        <v>LTM of 2019</v>
      </c>
      <c r="C4" s="130" t="str">
        <f>IF('Master Inputs'!B17="","",'Master Inputs'!A17)</f>
        <v>LTM of 2018</v>
      </c>
      <c r="D4" s="130" t="str">
        <f>IF('Master Inputs'!B20="","",'Master Inputs'!A20)</f>
        <v>LTM of 2017</v>
      </c>
      <c r="E4" s="130" t="str">
        <f>IF('Master Inputs'!B23="","",'Master Inputs'!A23)</f>
        <v/>
      </c>
      <c r="F4" s="130" t="str">
        <f>IF('Master Inputs'!B26="","",'Master Inputs'!A26)</f>
        <v/>
      </c>
      <c r="G4" s="130" t="str">
        <f>IF('Master Inputs'!B29="","",'Master Inputs'!A29)</f>
        <v/>
      </c>
      <c r="H4" s="130" t="str">
        <f>IF('Master Inputs'!B32="","",'Master Inputs'!A32)</f>
        <v/>
      </c>
      <c r="I4" s="130" t="str">
        <f>IF('Master Inputs'!B35="","",'Master Inputs'!A35)</f>
        <v/>
      </c>
      <c r="J4" s="130" t="str">
        <f>IF('Master Inputs'!B38="","",'Master Inputs'!A38)</f>
        <v/>
      </c>
      <c r="K4" s="130" t="str">
        <f>IF('Master Inputs'!B41="","",'Master Inputs'!A41)</f>
        <v/>
      </c>
    </row>
    <row r="5" spans="1:11">
      <c r="A5" s="114" t="s">
        <v>536</v>
      </c>
      <c r="B5" s="324">
        <f>IF(B$4="","",'Master Inputs'!$B$14)</f>
        <v>18327</v>
      </c>
      <c r="C5" s="124">
        <f>IF(C$4="","",'Master Inputs'!$B$17)</f>
        <v>35716</v>
      </c>
      <c r="D5" s="124">
        <f>IF(D$4="","",'Master Inputs'!$B$20)</f>
        <v>31104</v>
      </c>
      <c r="E5" s="124" t="str">
        <f>IF(E$4="","",'Master Inputs'!$B$23)</f>
        <v/>
      </c>
      <c r="F5" s="124" t="str">
        <f>IF(F$4="","",'Master Inputs'!$B$26)</f>
        <v/>
      </c>
      <c r="G5" s="124" t="str">
        <f>IF(G$4="","",'Master Inputs'!$B$29)</f>
        <v/>
      </c>
      <c r="H5" s="124" t="str">
        <f>IF(H$4="","",'Master Inputs'!$B$32)</f>
        <v/>
      </c>
      <c r="I5" s="124" t="str">
        <f>IF(I$4="","",'Master Inputs'!$B$35)</f>
        <v/>
      </c>
      <c r="J5" s="124" t="str">
        <f>IF(J$4="","",'Master Inputs'!$B$38)</f>
        <v/>
      </c>
      <c r="K5" s="124" t="str">
        <f>IF(K$4="","",'Master Inputs'!$B$41)</f>
        <v/>
      </c>
    </row>
    <row r="6" spans="1:11">
      <c r="A6" s="125" t="s">
        <v>356</v>
      </c>
      <c r="B6" s="124">
        <f>IF(B$4="","",'Master Inputs'!$D$14)</f>
        <v>-1423</v>
      </c>
      <c r="C6" s="124">
        <f>IF(C$4="","",'Master Inputs'!$D$17)</f>
        <v>5040</v>
      </c>
      <c r="D6" s="124">
        <f>IF(D$4="","",'Master Inputs'!$D$20)</f>
        <v>2605</v>
      </c>
      <c r="E6" s="124" t="str">
        <f>IF(E$4="","",'Master Inputs'!$D$23)</f>
        <v/>
      </c>
      <c r="F6" s="124" t="str">
        <f>IF(F$4="","",'Master Inputs'!$D$26)</f>
        <v/>
      </c>
      <c r="G6" s="124" t="str">
        <f>IF(G$4="","",'Master Inputs'!$D$29)</f>
        <v/>
      </c>
      <c r="H6" s="124" t="str">
        <f>IF(H$4="","",'Master Inputs'!$D$32)</f>
        <v/>
      </c>
      <c r="I6" s="124" t="str">
        <f>IF(I$4="","",'Master Inputs'!$D$35)</f>
        <v/>
      </c>
      <c r="J6" s="124" t="str">
        <f>IF(J$4="","",'Master Inputs'!$D$38)</f>
        <v/>
      </c>
      <c r="K6" s="124" t="str">
        <f>IF(K$4="","",'Master Inputs'!$D$41)</f>
        <v/>
      </c>
    </row>
    <row r="7" spans="1:11">
      <c r="A7" s="125" t="s">
        <v>377</v>
      </c>
      <c r="B7" s="29">
        <f>IF(B$4="","",'Master Inputs'!$Z14)</f>
        <v>-7.5995065394207709E-3</v>
      </c>
      <c r="C7" s="29">
        <f>IF(C$4="","",'Master Inputs'!Z17)</f>
        <v>2.517872397823839E-2</v>
      </c>
      <c r="D7" s="29" t="str">
        <f>IF(D$4="","",'Master Inputs'!$Z20)</f>
        <v/>
      </c>
      <c r="E7" s="29" t="str">
        <f>IF(E$4="","",'Master Inputs'!$Z23)</f>
        <v/>
      </c>
      <c r="F7" s="29" t="str">
        <f>IF(F$4="","",'Master Inputs'!$Z26)</f>
        <v/>
      </c>
      <c r="G7" s="29" t="str">
        <f>IF(G$4="","",'Master Inputs'!$Z29)</f>
        <v/>
      </c>
      <c r="H7" s="29" t="str">
        <f>IF(H$4="","",'Master Inputs'!$Z32)</f>
        <v/>
      </c>
      <c r="I7" s="29" t="str">
        <f>IF(I$4="","",'Master Inputs'!$Z35)</f>
        <v/>
      </c>
      <c r="J7" s="29" t="str">
        <f>IF(J$4="","",'Master Inputs'!$Z38)</f>
        <v/>
      </c>
      <c r="K7" s="29" t="str">
        <f>IF(K$4="","",'Master Inputs'!$Z41)</f>
        <v/>
      </c>
    </row>
    <row r="9" spans="1:11">
      <c r="A9" s="313" t="s">
        <v>589</v>
      </c>
      <c r="C9" s="154">
        <v>1</v>
      </c>
      <c r="D9" s="156"/>
    </row>
    <row r="10" spans="1:11">
      <c r="A10" s="114" t="s">
        <v>595</v>
      </c>
      <c r="C10" s="185">
        <f>C7*'Master Inputs'!R14</f>
        <v>4714.6908862011605</v>
      </c>
      <c r="D10" s="157"/>
      <c r="E10" s="152" t="s">
        <v>591</v>
      </c>
      <c r="G10" s="314"/>
    </row>
    <row r="11" spans="1:11">
      <c r="A11" s="152" t="s">
        <v>590</v>
      </c>
      <c r="C11" s="314"/>
      <c r="D11" s="156"/>
      <c r="E11" s="114" t="s">
        <v>592</v>
      </c>
      <c r="G11" s="315"/>
    </row>
    <row r="13" spans="1:11">
      <c r="A13" s="15" t="s">
        <v>560</v>
      </c>
    </row>
    <row r="14" spans="1:11">
      <c r="A14" s="114" t="s">
        <v>597</v>
      </c>
      <c r="C14" s="124">
        <f>C10</f>
        <v>4714.6908862011605</v>
      </c>
    </row>
    <row r="15" spans="1:11">
      <c r="A15" s="16" t="s">
        <v>373</v>
      </c>
      <c r="C15" s="154" t="s">
        <v>596</v>
      </c>
      <c r="D15" s="160" t="str">
        <f>IF(C15="Yes",CONCATENATE("Go to R&amp;D expense Worksheet at ",ADDRESS(ROW(A68),1)),"")</f>
        <v>Go to R&amp;D expense Worksheet at $A$68</v>
      </c>
    </row>
    <row r="16" spans="1:11" ht="16.5" thickBot="1">
      <c r="A16" s="15" t="s">
        <v>541</v>
      </c>
      <c r="C16" s="153">
        <f>C14+F92</f>
        <v>8323.6908862011605</v>
      </c>
    </row>
    <row r="17" spans="1:7">
      <c r="A17" s="114" t="s">
        <v>567</v>
      </c>
      <c r="C17" s="260">
        <f>F91</f>
        <v>3609</v>
      </c>
      <c r="D17" s="160"/>
      <c r="E17" s="281" t="s">
        <v>404</v>
      </c>
      <c r="F17" s="282"/>
      <c r="G17" s="283"/>
    </row>
    <row r="18" spans="1:7">
      <c r="A18" s="114" t="s">
        <v>603</v>
      </c>
      <c r="C18" s="307">
        <f>'Master Inputs'!U14-'Master Inputs'!V14+NetCapex_Adj</f>
        <v>3533</v>
      </c>
      <c r="D18" s="160"/>
      <c r="E18" s="284" t="s">
        <v>407</v>
      </c>
      <c r="F18" s="119"/>
      <c r="G18" s="285" t="s">
        <v>304</v>
      </c>
    </row>
    <row r="19" spans="1:7">
      <c r="E19" s="286" t="s">
        <v>393</v>
      </c>
      <c r="F19" s="119"/>
      <c r="G19" s="287" t="s">
        <v>258</v>
      </c>
    </row>
    <row r="20" spans="1:7">
      <c r="A20" s="21" t="s">
        <v>562</v>
      </c>
      <c r="E20" s="286"/>
      <c r="F20" s="119"/>
      <c r="G20" s="288"/>
    </row>
    <row r="21" spans="1:7">
      <c r="A21" s="114" t="s">
        <v>602</v>
      </c>
      <c r="C21" s="124">
        <f>F93</f>
        <v>18366</v>
      </c>
      <c r="E21" s="286" t="s">
        <v>302</v>
      </c>
      <c r="F21" s="119"/>
      <c r="G21" s="289">
        <v>0.13100000000000001</v>
      </c>
    </row>
    <row r="22" spans="1:7">
      <c r="A22" s="114" t="s">
        <v>548</v>
      </c>
      <c r="C22" s="154" t="s">
        <v>144</v>
      </c>
      <c r="E22" s="286" t="s">
        <v>381</v>
      </c>
      <c r="F22" s="119"/>
      <c r="G22" s="289">
        <v>6.9900000000000004E-2</v>
      </c>
    </row>
    <row r="23" spans="1:7">
      <c r="A23" s="114" t="s">
        <v>568</v>
      </c>
      <c r="C23" s="260">
        <f>IF(C22="Average",('Master Inputs'!L14+'Master Inputs'!L17)/2,'Master Inputs'!L17)</f>
        <v>50802</v>
      </c>
      <c r="D23" s="109"/>
      <c r="E23" s="286" t="s">
        <v>392</v>
      </c>
      <c r="F23" s="119"/>
      <c r="G23" s="289">
        <v>0.57720000000000005</v>
      </c>
    </row>
    <row r="24" spans="1:7">
      <c r="A24" s="114" t="s">
        <v>569</v>
      </c>
      <c r="C24" s="260">
        <f>IF(C22="Average",('Master Inputs'!M14+'Master Inputs'!M17)/2,'Master Inputs'!M17)+C21</f>
        <v>124069</v>
      </c>
      <c r="D24" s="109"/>
      <c r="E24" s="286" t="s">
        <v>391</v>
      </c>
      <c r="F24" s="119"/>
      <c r="G24" s="289">
        <v>6.5100000000000005E-2</v>
      </c>
    </row>
    <row r="25" spans="1:7">
      <c r="A25" s="114" t="s">
        <v>374</v>
      </c>
      <c r="C25" s="260">
        <f>IF(C22="Average",('Master Inputs'!O14+'Master Inputs'!O17)/2,'Master Inputs'!O17)</f>
        <v>19923</v>
      </c>
      <c r="D25" s="109"/>
      <c r="E25" s="286" t="s">
        <v>342</v>
      </c>
      <c r="F25" s="119"/>
      <c r="G25" s="290">
        <v>1.07</v>
      </c>
    </row>
    <row r="26" spans="1:7">
      <c r="A26" s="114" t="s">
        <v>375</v>
      </c>
      <c r="C26" s="260">
        <f>IF(C22="Average",('Master Inputs'!P14+'Master Inputs'!P17)/2,'Master Inputs'!P17)</f>
        <v>0</v>
      </c>
      <c r="D26" s="109"/>
      <c r="E26" s="286" t="s">
        <v>405</v>
      </c>
      <c r="F26" s="119"/>
      <c r="G26" s="289">
        <v>0.20749999999999999</v>
      </c>
    </row>
    <row r="27" spans="1:7" ht="16.5" thickBot="1">
      <c r="A27" s="114" t="s">
        <v>604</v>
      </c>
      <c r="C27" s="260">
        <f>C23+C24-C25-C26</f>
        <v>154948</v>
      </c>
      <c r="D27" s="109"/>
      <c r="E27" s="291" t="s">
        <v>406</v>
      </c>
      <c r="F27" s="292"/>
      <c r="G27" s="293">
        <v>3.3300000000000003E-2</v>
      </c>
    </row>
    <row r="28" spans="1:7">
      <c r="D28" s="109"/>
    </row>
    <row r="29" spans="1:7">
      <c r="A29" s="21" t="s">
        <v>561</v>
      </c>
      <c r="D29" s="109"/>
    </row>
    <row r="30" spans="1:7">
      <c r="A30" s="114" t="s">
        <v>382</v>
      </c>
      <c r="C30" s="151">
        <v>1</v>
      </c>
    </row>
    <row r="32" spans="1:7">
      <c r="A32" s="152" t="s">
        <v>520</v>
      </c>
      <c r="C32" s="215">
        <f>Cur_Effective_T</f>
        <v>0</v>
      </c>
    </row>
    <row r="33" spans="1:11">
      <c r="A33" s="114" t="s">
        <v>521</v>
      </c>
      <c r="C33" s="138">
        <v>0.25</v>
      </c>
    </row>
    <row r="34" spans="1:11">
      <c r="A34" s="152" t="s">
        <v>360</v>
      </c>
      <c r="C34" s="218">
        <v>0</v>
      </c>
    </row>
    <row r="35" spans="1:11">
      <c r="A35" s="152"/>
    </row>
    <row r="36" spans="1:11">
      <c r="A36" s="13" t="s">
        <v>544</v>
      </c>
      <c r="C36" s="159">
        <f>IF(C30=1,C32,IF(C30=2,Marginal_TaxRate,C34))</f>
        <v>0</v>
      </c>
    </row>
    <row r="38" spans="1:11">
      <c r="A38" s="21" t="s">
        <v>601</v>
      </c>
    </row>
    <row r="39" spans="1:11">
      <c r="A39" s="125"/>
      <c r="B39" s="126" t="str">
        <f>'Master Inputs'!A14</f>
        <v>LTM of 2019</v>
      </c>
      <c r="C39" s="126" t="str">
        <f>IF('Master Inputs'!B17="","",'Master Inputs'!A17)</f>
        <v>LTM of 2018</v>
      </c>
      <c r="D39" s="126" t="str">
        <f>IF('Master Inputs'!B20="","",'Master Inputs'!A20)</f>
        <v>LTM of 2017</v>
      </c>
      <c r="E39" s="126" t="str">
        <f>IF('Master Inputs'!B23="","",'Master Inputs'!A23)</f>
        <v/>
      </c>
      <c r="F39" s="126" t="str">
        <f>IF('Master Inputs'!B26="","",'Master Inputs'!A26)</f>
        <v/>
      </c>
      <c r="G39" s="126" t="str">
        <f>IF('Master Inputs'!B29="","",'Master Inputs'!A29)</f>
        <v/>
      </c>
      <c r="H39" s="126" t="str">
        <f>IF('Master Inputs'!B32="","",'Master Inputs'!A32)</f>
        <v/>
      </c>
      <c r="I39" s="126" t="str">
        <f>IF('Master Inputs'!B35="","",'Master Inputs'!A35)</f>
        <v/>
      </c>
      <c r="J39" s="126" t="str">
        <f>IF('Master Inputs'!B38="","",'Master Inputs'!A38)</f>
        <v/>
      </c>
      <c r="K39" s="126" t="str">
        <f>IF('Master Inputs'!B41="","",'Master Inputs'!A41)</f>
        <v/>
      </c>
    </row>
    <row r="40" spans="1:11">
      <c r="A40" s="125" t="s">
        <v>600</v>
      </c>
      <c r="B40" s="29">
        <f>IF(B39="","",'Master Inputs'!$AA$14)</f>
        <v>-1.0418649602436632E-2</v>
      </c>
      <c r="C40" s="29">
        <f>IF(C39="","",'Master Inputs'!$AA$17)</f>
        <v>3.9572864321608038E-2</v>
      </c>
      <c r="D40" s="29" t="str">
        <f>IF(D39="","",'Master Inputs'!$AA$20)</f>
        <v/>
      </c>
      <c r="E40" s="29" t="str">
        <f>IF(E39="","",'Master Inputs'!$AA$23)</f>
        <v/>
      </c>
      <c r="F40" s="29" t="str">
        <f>IF(F39="","",'Master Inputs'!$AA$26)</f>
        <v/>
      </c>
      <c r="G40" s="29" t="str">
        <f>IF(G39="","",'Master Inputs'!$AA$29)</f>
        <v/>
      </c>
      <c r="H40" s="29" t="str">
        <f>IF(H39="","",'Master Inputs'!$AA$32)</f>
        <v/>
      </c>
      <c r="I40" s="29" t="str">
        <f>IF(I39="","",'Master Inputs'!$AA$35)</f>
        <v/>
      </c>
      <c r="J40" s="29" t="str">
        <f>IF(J39="","",'Master Inputs'!$AA$38)</f>
        <v/>
      </c>
      <c r="K40" s="29" t="str">
        <f>IF(K39="","",'Master Inputs'!$AA$41)</f>
        <v/>
      </c>
    </row>
    <row r="42" spans="1:11">
      <c r="A42" s="114" t="s">
        <v>605</v>
      </c>
      <c r="C42" s="29">
        <f>Adj_Ebit*(1-Adj_Effective_T)/C27</f>
        <v>5.3719253466977056E-2</v>
      </c>
    </row>
    <row r="43" spans="1:11">
      <c r="A43" s="114" t="s">
        <v>387</v>
      </c>
      <c r="C43" s="29">
        <f>AVERAGE(B40:K40)</f>
        <v>1.4577107359585704E-2</v>
      </c>
    </row>
    <row r="44" spans="1:11">
      <c r="A44" s="114" t="s">
        <v>390</v>
      </c>
      <c r="C44" s="29">
        <f>G24</f>
        <v>6.5100000000000005E-2</v>
      </c>
    </row>
    <row r="45" spans="1:11">
      <c r="A45" s="114" t="s">
        <v>389</v>
      </c>
      <c r="C45" s="138">
        <v>0.3</v>
      </c>
    </row>
    <row r="46" spans="1:11">
      <c r="D46" s="92"/>
    </row>
    <row r="47" spans="1:11">
      <c r="B47" s="243" t="s">
        <v>401</v>
      </c>
      <c r="C47" s="243" t="s">
        <v>370</v>
      </c>
      <c r="D47" s="243" t="s">
        <v>402</v>
      </c>
    </row>
    <row r="48" spans="1:11">
      <c r="A48" s="15" t="s">
        <v>359</v>
      </c>
      <c r="B48" s="138">
        <f>C48*0.9</f>
        <v>4.8347328120279351E-2</v>
      </c>
      <c r="C48" s="250">
        <f>C42</f>
        <v>5.3719253466977056E-2</v>
      </c>
      <c r="D48" s="138">
        <f>C48*1.1</f>
        <v>5.9091178813674768E-2</v>
      </c>
    </row>
    <row r="50" spans="1:11">
      <c r="A50" s="21" t="s">
        <v>345</v>
      </c>
    </row>
    <row r="51" spans="1:11">
      <c r="A51" s="125"/>
      <c r="B51" s="126" t="str">
        <f>'Master Inputs'!A14</f>
        <v>LTM of 2019</v>
      </c>
      <c r="C51" s="126" t="str">
        <f>IF('Master Inputs'!B17="","",'Master Inputs'!A17)</f>
        <v>LTM of 2018</v>
      </c>
      <c r="D51" s="126" t="str">
        <f>IF('Master Inputs'!B20="","",'Master Inputs'!A20)</f>
        <v>LTM of 2017</v>
      </c>
      <c r="E51" s="126" t="str">
        <f>IF('Master Inputs'!B23="","",'Master Inputs'!A23)</f>
        <v/>
      </c>
      <c r="F51" s="126" t="str">
        <f>IF('Master Inputs'!B26="","",'Master Inputs'!A26)</f>
        <v/>
      </c>
      <c r="G51" s="126" t="str">
        <f>IF('Master Inputs'!B29="","",'Master Inputs'!A29)</f>
        <v/>
      </c>
      <c r="H51" s="125" t="str">
        <f>IF('Master Inputs'!B32="","",'Master Inputs'!A32)</f>
        <v/>
      </c>
      <c r="I51" s="125" t="str">
        <f>IF('Master Inputs'!B35="","",'Master Inputs'!A35)</f>
        <v/>
      </c>
      <c r="J51" s="125" t="str">
        <f>IF('Master Inputs'!B38="","",'Master Inputs'!A38)</f>
        <v/>
      </c>
      <c r="K51" s="125" t="str">
        <f>IF('Master Inputs'!B41="","",'Master Inputs'!A41)</f>
        <v/>
      </c>
    </row>
    <row r="52" spans="1:11">
      <c r="A52" s="125" t="s">
        <v>357</v>
      </c>
      <c r="B52" s="29">
        <f>IF(B51="","",'Master Inputs'!$T$14)</f>
        <v>2.1032902275331478</v>
      </c>
      <c r="C52" s="29">
        <f>IF(C51="","",'Master Inputs'!$T$17)</f>
        <v>0.83021614962481805</v>
      </c>
      <c r="D52" s="29">
        <f>IF(D51="","",'Master Inputs'!$T$20)</f>
        <v>1.5829796810699588</v>
      </c>
      <c r="E52" s="29" t="str">
        <f>IF(E51="","",'Master Inputs'!$T$23)</f>
        <v/>
      </c>
      <c r="F52" s="29" t="str">
        <f>IF(F51="","",'Master Inputs'!$T$26)</f>
        <v/>
      </c>
      <c r="G52" s="29" t="str">
        <f>IF(G51="","",'Master Inputs'!$T$29)</f>
        <v/>
      </c>
      <c r="H52" s="29" t="str">
        <f>IF(H51="","",'Master Inputs'!$T$32)</f>
        <v/>
      </c>
      <c r="I52" s="29" t="str">
        <f>IF(I51="","",'Master Inputs'!$T$35)</f>
        <v/>
      </c>
      <c r="J52" s="29" t="str">
        <f>IF(J51="","",'Master Inputs'!$T$38)</f>
        <v/>
      </c>
      <c r="K52" s="29" t="str">
        <f>IF(K51="","",'Master Inputs'!$T$41)</f>
        <v/>
      </c>
    </row>
    <row r="53" spans="1:11">
      <c r="E53" s="137"/>
    </row>
    <row r="54" spans="1:11">
      <c r="A54" s="115" t="s">
        <v>229</v>
      </c>
      <c r="C54" s="117"/>
      <c r="E54" s="137"/>
    </row>
    <row r="55" spans="1:11">
      <c r="A55" s="114" t="s">
        <v>358</v>
      </c>
      <c r="C55" s="154">
        <v>3</v>
      </c>
      <c r="E55" s="105"/>
    </row>
    <row r="56" spans="1:11">
      <c r="E56" s="105"/>
    </row>
    <row r="57" spans="1:11">
      <c r="A57" s="114" t="s">
        <v>383</v>
      </c>
      <c r="C57" s="29">
        <f>B52</f>
        <v>2.1032902275331478</v>
      </c>
      <c r="E57" s="105"/>
    </row>
    <row r="58" spans="1:11">
      <c r="A58" s="114" t="s">
        <v>387</v>
      </c>
      <c r="C58" s="29">
        <f>AVERAGE(B52:K52)</f>
        <v>1.5054953527426413</v>
      </c>
      <c r="E58" s="109"/>
    </row>
    <row r="59" spans="1:11">
      <c r="A59" s="114" t="s">
        <v>388</v>
      </c>
      <c r="C59" s="138">
        <v>0.15</v>
      </c>
    </row>
    <row r="61" spans="1:11">
      <c r="A61" s="114" t="s">
        <v>355</v>
      </c>
      <c r="C61" s="29">
        <f>IF(C55=1,C57,IF(C55=2,C58,C59))</f>
        <v>0.15</v>
      </c>
    </row>
    <row r="62" spans="1:11">
      <c r="A62" s="114" t="s">
        <v>607</v>
      </c>
      <c r="C62" s="312">
        <f>IF(Cur_WC_Change&lt;0,Cur_Sales_Diff*C61,Cur_WC_Change)</f>
        <v>8895</v>
      </c>
      <c r="D62" s="297" t="str">
        <f>IF(Cur_WC_Change&lt;0,Cur_Sales_Diff*C61,"")</f>
        <v/>
      </c>
    </row>
    <row r="63" spans="1:11">
      <c r="A63" s="114" t="s">
        <v>608</v>
      </c>
      <c r="C63" s="120"/>
      <c r="F63" s="155"/>
    </row>
    <row r="64" spans="1:11">
      <c r="E64" s="111"/>
    </row>
    <row r="65" spans="1:11">
      <c r="A65" s="115" t="s">
        <v>228</v>
      </c>
    </row>
    <row r="66" spans="1:11">
      <c r="A66" s="114" t="s">
        <v>344</v>
      </c>
      <c r="C66" s="138">
        <v>0.3</v>
      </c>
    </row>
    <row r="67" spans="1:11">
      <c r="H67" s="171"/>
      <c r="I67" s="171"/>
      <c r="J67" s="171"/>
      <c r="K67" s="172"/>
    </row>
    <row r="68" spans="1:11">
      <c r="A68" s="169" t="s">
        <v>20</v>
      </c>
      <c r="B68" s="170"/>
      <c r="C68" s="171"/>
      <c r="D68" s="171"/>
      <c r="E68" s="171"/>
      <c r="F68" s="171"/>
      <c r="G68" s="171"/>
      <c r="H68" s="173"/>
      <c r="I68" s="173"/>
      <c r="J68" s="173"/>
      <c r="K68" s="173"/>
    </row>
    <row r="69" spans="1:11">
      <c r="A69" s="173" t="s">
        <v>586</v>
      </c>
      <c r="B69" s="173"/>
      <c r="C69" s="173"/>
      <c r="D69" s="173"/>
      <c r="E69" s="173"/>
      <c r="F69" s="173"/>
      <c r="G69" s="173"/>
      <c r="H69" s="173"/>
      <c r="I69" s="173"/>
      <c r="J69" s="173"/>
      <c r="K69" s="173"/>
    </row>
    <row r="70" spans="1:11">
      <c r="A70" s="173"/>
      <c r="B70" s="173"/>
      <c r="C70" s="173"/>
      <c r="D70" s="173"/>
      <c r="E70" s="173"/>
      <c r="F70" s="173"/>
      <c r="G70" s="173"/>
      <c r="H70" s="173"/>
      <c r="I70" s="173"/>
      <c r="J70" s="173"/>
      <c r="K70" s="173"/>
    </row>
    <row r="71" spans="1:11">
      <c r="A71" s="172" t="s">
        <v>21</v>
      </c>
      <c r="B71" s="173"/>
      <c r="C71" s="173"/>
      <c r="D71" s="173"/>
      <c r="E71" s="173"/>
      <c r="F71" s="173"/>
      <c r="G71" s="173"/>
      <c r="H71" s="173"/>
      <c r="I71" s="173"/>
      <c r="J71" s="173"/>
      <c r="K71" s="173"/>
    </row>
    <row r="72" spans="1:11">
      <c r="A72" s="173" t="s">
        <v>22</v>
      </c>
      <c r="B72" s="173"/>
      <c r="C72" s="173"/>
      <c r="D72" s="174">
        <v>5</v>
      </c>
      <c r="E72" s="173" t="s">
        <v>23</v>
      </c>
      <c r="F72" s="173"/>
      <c r="I72" s="173"/>
      <c r="J72" s="173"/>
      <c r="K72" s="173"/>
    </row>
    <row r="73" spans="1:11">
      <c r="A73" s="173"/>
      <c r="B73" s="173"/>
      <c r="C73" s="173"/>
      <c r="D73" s="173"/>
      <c r="E73" s="173"/>
      <c r="F73" s="270"/>
      <c r="G73" s="173"/>
      <c r="H73" s="173"/>
      <c r="I73" s="173"/>
      <c r="J73" s="173"/>
      <c r="K73" s="173"/>
    </row>
    <row r="74" spans="1:11">
      <c r="B74" s="253"/>
      <c r="C74" s="175" t="s">
        <v>26</v>
      </c>
      <c r="D74" s="177" t="s">
        <v>27</v>
      </c>
      <c r="E74" s="178"/>
      <c r="F74" s="175" t="s">
        <v>566</v>
      </c>
      <c r="G74" s="176"/>
      <c r="H74" s="176"/>
      <c r="I74" s="176"/>
      <c r="J74" s="176"/>
      <c r="K74" s="176"/>
    </row>
    <row r="75" spans="1:11">
      <c r="A75" s="254" t="s">
        <v>24</v>
      </c>
      <c r="B75" s="175" t="s">
        <v>565</v>
      </c>
      <c r="C75" s="252">
        <v>7667</v>
      </c>
      <c r="D75" s="180">
        <f>1</f>
        <v>1</v>
      </c>
      <c r="E75" s="179">
        <f>C75*D75</f>
        <v>7667</v>
      </c>
      <c r="F75" s="271"/>
      <c r="G75" s="176"/>
      <c r="H75" s="176"/>
      <c r="I75" s="176"/>
      <c r="J75" s="176"/>
      <c r="K75" s="176"/>
    </row>
    <row r="76" spans="1:11">
      <c r="A76" s="255">
        <f>IF($D$72&gt;0,'Master Inputs'!$C$9-1,"")</f>
        <v>2018</v>
      </c>
      <c r="B76" s="255">
        <f>IF(A76="",0,-1)</f>
        <v>-1</v>
      </c>
      <c r="C76" s="252">
        <v>10670</v>
      </c>
      <c r="D76" s="180">
        <f t="shared" ref="D76:D85" si="0">IF(B76&lt;0,($D$72+B76)/$D$72,0)</f>
        <v>0.8</v>
      </c>
      <c r="E76" s="179">
        <f>C76*D76</f>
        <v>8536</v>
      </c>
      <c r="F76" s="181">
        <f t="shared" ref="F76:F85" si="1">IF(B76&lt;0,C76/$D$72,0)</f>
        <v>2134</v>
      </c>
      <c r="H76" s="176"/>
      <c r="I76" s="176"/>
      <c r="J76" s="176"/>
      <c r="K76" s="176"/>
    </row>
    <row r="77" spans="1:11">
      <c r="A77" s="255">
        <f>IF($D$72&gt;1,'Master Inputs'!$C$9-2,"")</f>
        <v>2017</v>
      </c>
      <c r="B77" s="255">
        <f>IF(A77="",0,-2)</f>
        <v>-2</v>
      </c>
      <c r="C77" s="252">
        <v>9620</v>
      </c>
      <c r="D77" s="180">
        <f t="shared" si="0"/>
        <v>0.6</v>
      </c>
      <c r="E77" s="179">
        <f t="shared" ref="E77:E85" si="2">C77*D77</f>
        <v>5772</v>
      </c>
      <c r="F77" s="181">
        <f t="shared" si="1"/>
        <v>1924</v>
      </c>
      <c r="G77" s="176"/>
      <c r="H77" s="176"/>
      <c r="I77" s="176"/>
      <c r="J77" s="176"/>
      <c r="K77" s="176"/>
    </row>
    <row r="78" spans="1:11">
      <c r="A78" s="255">
        <f>IF($D$72&gt;2,'Master Inputs'!$C$9-3,"")</f>
        <v>2016</v>
      </c>
      <c r="B78" s="255">
        <f>IF(A78="",0,-3)</f>
        <v>-3</v>
      </c>
      <c r="C78" s="252">
        <v>0</v>
      </c>
      <c r="D78" s="180">
        <f t="shared" si="0"/>
        <v>0.4</v>
      </c>
      <c r="E78" s="179">
        <f t="shared" si="2"/>
        <v>0</v>
      </c>
      <c r="F78" s="181">
        <f t="shared" si="1"/>
        <v>0</v>
      </c>
      <c r="G78" s="176"/>
      <c r="H78" s="176"/>
      <c r="I78" s="176"/>
      <c r="J78" s="176"/>
      <c r="K78" s="176"/>
    </row>
    <row r="79" spans="1:11">
      <c r="A79" s="255">
        <f>IF($D$72&gt;3,'Master Inputs'!$C$9-4,"")</f>
        <v>2015</v>
      </c>
      <c r="B79" s="255">
        <f>IF(A79="",0,-4)</f>
        <v>-4</v>
      </c>
      <c r="C79" s="252">
        <v>0</v>
      </c>
      <c r="D79" s="180">
        <f t="shared" si="0"/>
        <v>0.2</v>
      </c>
      <c r="E79" s="179">
        <f t="shared" si="2"/>
        <v>0</v>
      </c>
      <c r="F79" s="181">
        <f t="shared" si="1"/>
        <v>0</v>
      </c>
      <c r="G79" s="176"/>
      <c r="H79" s="176"/>
      <c r="I79" s="176"/>
      <c r="J79" s="176"/>
      <c r="K79" s="176"/>
    </row>
    <row r="80" spans="1:11">
      <c r="A80" s="255">
        <f>IF($D$72&gt;4,'Master Inputs'!$C$9-5,"")</f>
        <v>2014</v>
      </c>
      <c r="B80" s="255">
        <f>IF(A80="",0,-5)</f>
        <v>-5</v>
      </c>
      <c r="C80" s="252">
        <v>0</v>
      </c>
      <c r="D80" s="180">
        <f t="shared" si="0"/>
        <v>0</v>
      </c>
      <c r="E80" s="179">
        <f t="shared" si="2"/>
        <v>0</v>
      </c>
      <c r="F80" s="181">
        <f t="shared" si="1"/>
        <v>0</v>
      </c>
      <c r="G80" s="176"/>
      <c r="H80" s="176"/>
      <c r="I80" s="176"/>
      <c r="J80" s="176"/>
      <c r="K80" s="176"/>
    </row>
    <row r="81" spans="1:11">
      <c r="A81" s="255" t="str">
        <f>IF($D$72&gt;5,'Master Inputs'!$C$9-6,"")</f>
        <v/>
      </c>
      <c r="B81" s="255">
        <f>IF(A81="",0,-6)</f>
        <v>0</v>
      </c>
      <c r="C81" s="252">
        <v>0</v>
      </c>
      <c r="D81" s="180">
        <f t="shared" si="0"/>
        <v>0</v>
      </c>
      <c r="E81" s="179">
        <f t="shared" si="2"/>
        <v>0</v>
      </c>
      <c r="F81" s="181">
        <f t="shared" si="1"/>
        <v>0</v>
      </c>
      <c r="G81" s="176"/>
      <c r="H81" s="176"/>
      <c r="I81" s="176"/>
      <c r="J81" s="176"/>
      <c r="K81" s="176"/>
    </row>
    <row r="82" spans="1:11">
      <c r="A82" s="255" t="str">
        <f>IF($D$72&gt;6,'Master Inputs'!$C$9-7,"")</f>
        <v/>
      </c>
      <c r="B82" s="255">
        <f>IF(A82="",0,-7)</f>
        <v>0</v>
      </c>
      <c r="C82" s="252">
        <v>0</v>
      </c>
      <c r="D82" s="180">
        <f t="shared" si="0"/>
        <v>0</v>
      </c>
      <c r="E82" s="179">
        <f t="shared" si="2"/>
        <v>0</v>
      </c>
      <c r="F82" s="181">
        <f t="shared" si="1"/>
        <v>0</v>
      </c>
      <c r="G82" s="176"/>
      <c r="H82" s="176"/>
      <c r="I82" s="176"/>
      <c r="J82" s="176"/>
      <c r="K82" s="176"/>
    </row>
    <row r="83" spans="1:11">
      <c r="A83" s="255" t="str">
        <f>IF($D$72&gt;7,'Master Inputs'!$C$9-8,"")</f>
        <v/>
      </c>
      <c r="B83" s="255">
        <f>IF(A83="",0,-8)</f>
        <v>0</v>
      </c>
      <c r="C83" s="252">
        <v>0</v>
      </c>
      <c r="D83" s="180">
        <f t="shared" si="0"/>
        <v>0</v>
      </c>
      <c r="E83" s="179">
        <f t="shared" si="2"/>
        <v>0</v>
      </c>
      <c r="F83" s="181">
        <f t="shared" si="1"/>
        <v>0</v>
      </c>
      <c r="G83" s="176"/>
      <c r="H83" s="176"/>
      <c r="I83" s="176"/>
      <c r="J83" s="176"/>
      <c r="K83" s="176"/>
    </row>
    <row r="84" spans="1:11">
      <c r="A84" s="255" t="str">
        <f>IF($D$72&gt;8,'Master Inputs'!$C$9-9,"")</f>
        <v/>
      </c>
      <c r="B84" s="255">
        <f>IF(A84="",0,-9)</f>
        <v>0</v>
      </c>
      <c r="C84" s="252">
        <v>0</v>
      </c>
      <c r="D84" s="180">
        <f t="shared" si="0"/>
        <v>0</v>
      </c>
      <c r="E84" s="179">
        <f t="shared" si="2"/>
        <v>0</v>
      </c>
      <c r="F84" s="181">
        <f t="shared" si="1"/>
        <v>0</v>
      </c>
      <c r="G84" s="176"/>
      <c r="H84" s="176"/>
      <c r="I84" s="176"/>
      <c r="J84" s="176"/>
      <c r="K84" s="176"/>
    </row>
    <row r="85" spans="1:11" ht="16.5" thickBot="1">
      <c r="A85" s="255" t="str">
        <f>IF($D$72&gt;9,'Master Inputs'!$C$9-10,"")</f>
        <v/>
      </c>
      <c r="B85" s="255">
        <f>IF(A85="",0,-10)</f>
        <v>0</v>
      </c>
      <c r="C85" s="252">
        <v>0</v>
      </c>
      <c r="D85" s="180">
        <f t="shared" si="0"/>
        <v>0</v>
      </c>
      <c r="E85" s="274">
        <f t="shared" si="2"/>
        <v>0</v>
      </c>
      <c r="F85" s="181">
        <f t="shared" si="1"/>
        <v>0</v>
      </c>
      <c r="G85" s="176"/>
      <c r="H85" s="176"/>
      <c r="I85" s="176"/>
      <c r="J85" s="176"/>
      <c r="K85" s="176"/>
    </row>
    <row r="86" spans="1:11" ht="16.5" thickTop="1">
      <c r="B86" s="272"/>
      <c r="C86" s="173" t="s">
        <v>29</v>
      </c>
      <c r="E86" s="280">
        <f>SUM(E75:E85)</f>
        <v>21975</v>
      </c>
      <c r="G86" s="173"/>
      <c r="H86" s="173"/>
      <c r="I86" s="173"/>
      <c r="J86" s="173"/>
      <c r="K86" s="173"/>
    </row>
    <row r="87" spans="1:11">
      <c r="A87" s="173"/>
      <c r="B87" s="173"/>
      <c r="C87" s="275" t="s">
        <v>570</v>
      </c>
      <c r="F87" s="279">
        <f>SUM(F76:F85)</f>
        <v>4058</v>
      </c>
      <c r="G87" s="173"/>
      <c r="H87" s="173"/>
      <c r="I87" s="173"/>
      <c r="J87" s="173"/>
      <c r="K87" s="173"/>
    </row>
    <row r="88" spans="1:11">
      <c r="C88" s="114" t="s">
        <v>574</v>
      </c>
      <c r="D88" s="173"/>
      <c r="E88" s="279">
        <f>C75</f>
        <v>7667</v>
      </c>
      <c r="G88" s="173"/>
      <c r="H88" s="173"/>
      <c r="I88" s="173"/>
      <c r="J88" s="173"/>
      <c r="K88" s="173"/>
    </row>
    <row r="89" spans="1:11">
      <c r="C89" s="173" t="s">
        <v>30</v>
      </c>
      <c r="D89" s="173"/>
      <c r="E89" s="173"/>
      <c r="F89" s="278">
        <f>F91*Marginal_TaxRate</f>
        <v>902.25</v>
      </c>
      <c r="G89" s="173"/>
      <c r="H89" s="173"/>
      <c r="I89" s="173"/>
      <c r="J89" s="173"/>
      <c r="K89" s="173"/>
    </row>
    <row r="90" spans="1:11">
      <c r="G90" s="173"/>
      <c r="H90" s="173"/>
      <c r="I90" s="173"/>
      <c r="J90" s="173"/>
      <c r="K90" s="173"/>
    </row>
    <row r="91" spans="1:11">
      <c r="B91" s="273" t="s">
        <v>552</v>
      </c>
      <c r="C91" s="15" t="s">
        <v>571</v>
      </c>
      <c r="F91" s="277">
        <f>IF(C15="Yes",E88-F87,0)</f>
        <v>3609</v>
      </c>
      <c r="G91" s="173"/>
      <c r="H91" s="173"/>
      <c r="I91" s="173"/>
      <c r="J91" s="173"/>
      <c r="K91" s="173"/>
    </row>
    <row r="92" spans="1:11">
      <c r="C92" s="172" t="s">
        <v>572</v>
      </c>
      <c r="D92" s="173"/>
      <c r="E92" s="173"/>
      <c r="F92" s="276">
        <f>IF(C15="Yes",C75-F87,0)</f>
        <v>3609</v>
      </c>
      <c r="G92" s="173"/>
      <c r="H92" s="173"/>
      <c r="I92" s="173"/>
      <c r="J92" s="173"/>
      <c r="K92" s="173"/>
    </row>
    <row r="93" spans="1:11">
      <c r="C93" s="172" t="s">
        <v>573</v>
      </c>
      <c r="D93" s="173"/>
      <c r="F93" s="276">
        <f>IF(C15="Yes",E86-E75+F87,0)</f>
        <v>18366</v>
      </c>
      <c r="G93" s="173"/>
      <c r="H93" s="173"/>
      <c r="I93" s="173"/>
      <c r="J93" s="173"/>
      <c r="K93" s="173"/>
    </row>
    <row r="94" spans="1:11">
      <c r="G94" s="173"/>
      <c r="H94" s="173"/>
      <c r="I94" s="173"/>
      <c r="J94" s="173"/>
      <c r="K94" s="173"/>
    </row>
    <row r="95" spans="1:11">
      <c r="G95" s="173"/>
      <c r="H95" s="173"/>
      <c r="I95" s="173"/>
      <c r="J95" s="173"/>
      <c r="K95" s="173"/>
    </row>
    <row r="96" spans="1:11">
      <c r="A96" s="182" t="s">
        <v>141</v>
      </c>
      <c r="B96" s="182"/>
      <c r="C96" s="182"/>
      <c r="D96" s="182"/>
      <c r="E96" s="182"/>
      <c r="F96" s="182"/>
      <c r="G96" s="182"/>
      <c r="H96" s="182"/>
      <c r="I96" s="182"/>
      <c r="J96" s="182"/>
      <c r="K96" s="182"/>
    </row>
    <row r="97" spans="1:11">
      <c r="A97" s="183" t="s">
        <v>31</v>
      </c>
      <c r="B97" s="183" t="s">
        <v>32</v>
      </c>
      <c r="C97" s="173"/>
      <c r="D97" s="173"/>
      <c r="E97" s="173"/>
      <c r="G97" s="173"/>
      <c r="H97" s="173"/>
      <c r="I97" s="173"/>
      <c r="J97" s="173"/>
      <c r="K97" s="173"/>
    </row>
    <row r="98" spans="1:11">
      <c r="A98" s="173" t="s">
        <v>33</v>
      </c>
      <c r="B98" s="173">
        <v>2</v>
      </c>
      <c r="C98" s="173"/>
      <c r="D98" s="173"/>
      <c r="E98" s="173"/>
      <c r="F98" s="173"/>
      <c r="G98" s="173"/>
      <c r="H98" s="173"/>
      <c r="I98" s="173"/>
      <c r="J98" s="173"/>
      <c r="K98" s="173"/>
    </row>
    <row r="99" spans="1:11">
      <c r="A99" s="173" t="s">
        <v>34</v>
      </c>
      <c r="B99" s="173">
        <v>10</v>
      </c>
      <c r="C99" s="173"/>
      <c r="D99" s="173" t="s">
        <v>35</v>
      </c>
      <c r="E99" s="184" t="s">
        <v>36</v>
      </c>
      <c r="F99" s="173"/>
      <c r="G99" s="173"/>
      <c r="H99" s="173"/>
      <c r="I99" s="173"/>
      <c r="J99" s="173"/>
      <c r="K99" s="173"/>
    </row>
    <row r="100" spans="1:11">
      <c r="A100" s="173" t="s">
        <v>37</v>
      </c>
      <c r="B100" s="173">
        <v>10</v>
      </c>
      <c r="C100" s="173"/>
      <c r="D100" s="173" t="s">
        <v>38</v>
      </c>
      <c r="E100" s="184" t="s">
        <v>39</v>
      </c>
      <c r="F100" s="173"/>
      <c r="G100" s="173"/>
      <c r="H100" s="173"/>
      <c r="I100" s="173"/>
      <c r="J100" s="173"/>
      <c r="K100" s="173"/>
    </row>
    <row r="101" spans="1:11">
      <c r="A101" s="173" t="s">
        <v>40</v>
      </c>
      <c r="B101" s="173">
        <v>5</v>
      </c>
      <c r="C101" s="173"/>
      <c r="D101" s="173" t="s">
        <v>41</v>
      </c>
      <c r="E101" s="184" t="s">
        <v>42</v>
      </c>
      <c r="F101" s="173"/>
      <c r="G101" s="173"/>
      <c r="H101" s="173"/>
      <c r="I101" s="173"/>
      <c r="J101" s="173"/>
      <c r="K101" s="173"/>
    </row>
    <row r="102" spans="1:11">
      <c r="A102" s="173" t="s">
        <v>43</v>
      </c>
      <c r="B102" s="173">
        <v>3</v>
      </c>
      <c r="C102" s="173"/>
      <c r="D102" s="173" t="s">
        <v>44</v>
      </c>
      <c r="E102" s="184" t="s">
        <v>45</v>
      </c>
      <c r="F102" s="173"/>
      <c r="G102" s="173"/>
      <c r="H102" s="173"/>
      <c r="I102" s="173"/>
      <c r="J102" s="173"/>
      <c r="K102" s="173"/>
    </row>
    <row r="103" spans="1:11">
      <c r="A103" s="173" t="s">
        <v>46</v>
      </c>
      <c r="B103" s="173">
        <v>10</v>
      </c>
      <c r="C103" s="173"/>
      <c r="D103" s="173" t="s">
        <v>47</v>
      </c>
      <c r="E103" s="184" t="s">
        <v>45</v>
      </c>
      <c r="F103" s="173"/>
      <c r="G103" s="173"/>
      <c r="H103" s="173"/>
      <c r="I103" s="173"/>
      <c r="J103" s="173"/>
      <c r="K103" s="173"/>
    </row>
    <row r="104" spans="1:11">
      <c r="A104" s="173" t="s">
        <v>48</v>
      </c>
      <c r="B104" s="173">
        <v>5</v>
      </c>
      <c r="C104" s="173"/>
      <c r="D104" s="173" t="s">
        <v>49</v>
      </c>
      <c r="E104" s="184" t="s">
        <v>45</v>
      </c>
      <c r="F104" s="173"/>
      <c r="G104" s="173"/>
      <c r="H104" s="173"/>
      <c r="I104" s="173"/>
      <c r="J104" s="173"/>
      <c r="K104" s="173"/>
    </row>
    <row r="105" spans="1:11">
      <c r="A105" s="173" t="s">
        <v>50</v>
      </c>
      <c r="B105" s="173">
        <v>5</v>
      </c>
      <c r="C105" s="173"/>
      <c r="D105" s="173"/>
      <c r="E105" s="173"/>
      <c r="F105" s="173"/>
      <c r="G105" s="173"/>
      <c r="H105" s="173"/>
      <c r="I105" s="173"/>
      <c r="J105" s="173"/>
      <c r="K105" s="173"/>
    </row>
    <row r="106" spans="1:11">
      <c r="A106" s="173" t="s">
        <v>51</v>
      </c>
      <c r="B106" s="173">
        <v>2</v>
      </c>
      <c r="C106" s="173"/>
      <c r="D106" s="173"/>
      <c r="E106" s="173"/>
      <c r="F106" s="173"/>
      <c r="G106" s="173"/>
      <c r="H106" s="173"/>
      <c r="I106" s="173"/>
      <c r="J106" s="173"/>
      <c r="K106" s="173"/>
    </row>
    <row r="107" spans="1:11">
      <c r="A107" s="173" t="s">
        <v>52</v>
      </c>
      <c r="B107" s="173">
        <v>2</v>
      </c>
      <c r="C107" s="173"/>
      <c r="D107" s="173"/>
      <c r="E107" s="173"/>
      <c r="F107" s="173"/>
      <c r="G107" s="173"/>
      <c r="H107" s="173"/>
      <c r="I107" s="173"/>
      <c r="J107" s="173"/>
      <c r="K107" s="173"/>
    </row>
    <row r="108" spans="1:11">
      <c r="A108" s="173" t="s">
        <v>53</v>
      </c>
      <c r="B108" s="173">
        <v>2</v>
      </c>
      <c r="C108" s="173"/>
      <c r="D108" s="173"/>
      <c r="E108" s="173"/>
      <c r="F108" s="173"/>
      <c r="G108" s="173"/>
      <c r="H108" s="173"/>
      <c r="I108" s="173"/>
      <c r="J108" s="173"/>
      <c r="K108" s="173"/>
    </row>
    <row r="109" spans="1:11">
      <c r="A109" s="173" t="s">
        <v>54</v>
      </c>
      <c r="B109" s="173">
        <v>2</v>
      </c>
      <c r="C109" s="173"/>
      <c r="D109" s="173"/>
      <c r="E109" s="173"/>
      <c r="F109" s="173"/>
      <c r="G109" s="173"/>
      <c r="H109" s="173"/>
      <c r="I109" s="173"/>
      <c r="J109" s="173"/>
      <c r="K109" s="173"/>
    </row>
    <row r="110" spans="1:11">
      <c r="A110" s="173" t="s">
        <v>55</v>
      </c>
      <c r="B110" s="173">
        <v>3</v>
      </c>
      <c r="C110" s="173"/>
      <c r="D110" s="173"/>
      <c r="E110" s="173"/>
      <c r="F110" s="173"/>
      <c r="G110" s="173"/>
      <c r="H110" s="173"/>
      <c r="I110" s="173"/>
      <c r="J110" s="173"/>
      <c r="K110" s="173"/>
    </row>
    <row r="111" spans="1:11">
      <c r="A111" s="173" t="s">
        <v>56</v>
      </c>
      <c r="B111" s="173">
        <v>3</v>
      </c>
      <c r="C111" s="173"/>
      <c r="D111" s="173"/>
      <c r="E111" s="173"/>
      <c r="F111" s="173"/>
      <c r="G111" s="173"/>
      <c r="H111" s="173"/>
      <c r="I111" s="173"/>
      <c r="J111" s="173"/>
      <c r="K111" s="173"/>
    </row>
    <row r="112" spans="1:11">
      <c r="A112" s="173" t="s">
        <v>57</v>
      </c>
      <c r="B112" s="173">
        <v>5</v>
      </c>
      <c r="C112" s="173"/>
      <c r="D112" s="173"/>
      <c r="E112" s="173"/>
      <c r="F112" s="173"/>
      <c r="G112" s="173"/>
      <c r="H112" s="173"/>
      <c r="I112" s="173"/>
      <c r="J112" s="173"/>
      <c r="K112" s="173"/>
    </row>
    <row r="113" spans="1:11">
      <c r="A113" s="173" t="s">
        <v>58</v>
      </c>
      <c r="B113" s="173">
        <v>10</v>
      </c>
      <c r="C113" s="173"/>
      <c r="D113" s="173"/>
      <c r="E113" s="173"/>
      <c r="F113" s="173"/>
      <c r="G113" s="173"/>
      <c r="H113" s="173"/>
      <c r="I113" s="173"/>
      <c r="J113" s="173"/>
      <c r="K113" s="173"/>
    </row>
    <row r="114" spans="1:11">
      <c r="A114" s="173" t="s">
        <v>59</v>
      </c>
      <c r="B114" s="173">
        <v>10</v>
      </c>
      <c r="C114" s="173"/>
      <c r="D114" s="173"/>
      <c r="E114" s="173"/>
      <c r="F114" s="173"/>
      <c r="G114" s="173"/>
      <c r="H114" s="173"/>
      <c r="I114" s="173"/>
      <c r="J114" s="173"/>
      <c r="K114" s="173"/>
    </row>
    <row r="115" spans="1:11">
      <c r="A115" s="173" t="s">
        <v>60</v>
      </c>
      <c r="B115" s="173">
        <v>10</v>
      </c>
      <c r="C115" s="173"/>
      <c r="D115" s="173"/>
      <c r="E115" s="173"/>
      <c r="F115" s="173"/>
      <c r="G115" s="173"/>
      <c r="H115" s="173"/>
      <c r="I115" s="173"/>
      <c r="J115" s="173"/>
      <c r="K115" s="173"/>
    </row>
    <row r="116" spans="1:11">
      <c r="A116" s="173" t="s">
        <v>61</v>
      </c>
      <c r="B116" s="173">
        <v>10</v>
      </c>
      <c r="C116" s="173"/>
      <c r="D116" s="173"/>
      <c r="E116" s="173"/>
      <c r="F116" s="173"/>
      <c r="G116" s="173"/>
      <c r="H116" s="173"/>
      <c r="I116" s="173"/>
      <c r="J116" s="173"/>
      <c r="K116" s="173"/>
    </row>
    <row r="117" spans="1:11">
      <c r="A117" s="173" t="s">
        <v>62</v>
      </c>
      <c r="B117" s="173">
        <v>10</v>
      </c>
      <c r="C117" s="173"/>
      <c r="D117" s="173"/>
      <c r="E117" s="173"/>
      <c r="F117" s="173"/>
      <c r="G117" s="173"/>
      <c r="H117" s="173"/>
      <c r="I117" s="173"/>
      <c r="J117" s="173"/>
      <c r="K117" s="173"/>
    </row>
    <row r="118" spans="1:11">
      <c r="A118" s="173" t="s">
        <v>63</v>
      </c>
      <c r="B118" s="173">
        <v>10</v>
      </c>
      <c r="C118" s="173"/>
      <c r="D118" s="173"/>
      <c r="E118" s="173"/>
      <c r="F118" s="173"/>
      <c r="G118" s="173"/>
      <c r="H118" s="173"/>
      <c r="I118" s="173"/>
      <c r="J118" s="173"/>
      <c r="K118" s="173"/>
    </row>
    <row r="119" spans="1:11">
      <c r="A119" s="173" t="s">
        <v>64</v>
      </c>
      <c r="B119" s="173">
        <v>5</v>
      </c>
      <c r="C119" s="173"/>
      <c r="D119" s="173"/>
      <c r="E119" s="173"/>
      <c r="F119" s="173"/>
      <c r="G119" s="173"/>
      <c r="H119" s="173"/>
      <c r="I119" s="173"/>
      <c r="J119" s="173"/>
      <c r="K119" s="173"/>
    </row>
    <row r="120" spans="1:11">
      <c r="A120" s="173" t="s">
        <v>65</v>
      </c>
      <c r="B120" s="173">
        <v>5</v>
      </c>
      <c r="C120" s="173"/>
      <c r="D120" s="173"/>
      <c r="E120" s="173"/>
      <c r="F120" s="173"/>
      <c r="G120" s="173"/>
      <c r="H120" s="173"/>
      <c r="I120" s="173"/>
      <c r="J120" s="173"/>
      <c r="K120" s="173"/>
    </row>
    <row r="121" spans="1:11">
      <c r="A121" s="173" t="s">
        <v>66</v>
      </c>
      <c r="B121" s="173">
        <v>3</v>
      </c>
      <c r="C121" s="173"/>
      <c r="D121" s="173"/>
      <c r="E121" s="173"/>
      <c r="F121" s="173"/>
      <c r="G121" s="173"/>
      <c r="H121" s="173"/>
      <c r="I121" s="173"/>
      <c r="J121" s="173"/>
      <c r="K121" s="173"/>
    </row>
    <row r="122" spans="1:11">
      <c r="A122" s="173" t="s">
        <v>67</v>
      </c>
      <c r="B122" s="173">
        <v>5</v>
      </c>
      <c r="C122" s="173"/>
      <c r="D122" s="173"/>
      <c r="E122" s="173"/>
      <c r="F122" s="173"/>
      <c r="G122" s="173"/>
      <c r="H122" s="173"/>
      <c r="I122" s="173"/>
      <c r="J122" s="173"/>
      <c r="K122" s="173"/>
    </row>
    <row r="123" spans="1:11">
      <c r="A123" s="173" t="s">
        <v>68</v>
      </c>
      <c r="B123" s="173">
        <v>5</v>
      </c>
      <c r="C123" s="173"/>
      <c r="D123" s="173"/>
      <c r="E123" s="173"/>
      <c r="F123" s="173"/>
      <c r="G123" s="173"/>
      <c r="H123" s="173"/>
      <c r="I123" s="173"/>
      <c r="J123" s="173"/>
      <c r="K123" s="173"/>
    </row>
    <row r="124" spans="1:11">
      <c r="A124" s="173" t="s">
        <v>69</v>
      </c>
      <c r="B124" s="173">
        <v>10</v>
      </c>
      <c r="C124" s="173"/>
      <c r="D124" s="173"/>
      <c r="E124" s="173"/>
      <c r="F124" s="173"/>
      <c r="G124" s="173"/>
      <c r="H124" s="173"/>
      <c r="I124" s="173"/>
      <c r="J124" s="173"/>
      <c r="K124" s="173"/>
    </row>
    <row r="125" spans="1:11">
      <c r="A125" s="173" t="s">
        <v>70</v>
      </c>
      <c r="B125" s="173">
        <v>3</v>
      </c>
      <c r="C125" s="173"/>
      <c r="D125" s="173"/>
      <c r="E125" s="173"/>
      <c r="F125" s="173"/>
      <c r="G125" s="173"/>
      <c r="H125" s="173"/>
      <c r="I125" s="173"/>
      <c r="J125" s="173"/>
      <c r="K125" s="173"/>
    </row>
    <row r="126" spans="1:11">
      <c r="A126" s="173" t="s">
        <v>71</v>
      </c>
      <c r="B126" s="173">
        <v>3</v>
      </c>
      <c r="C126" s="173"/>
      <c r="D126" s="173"/>
      <c r="E126" s="173"/>
      <c r="F126" s="173"/>
      <c r="G126" s="173"/>
      <c r="H126" s="173"/>
      <c r="I126" s="173"/>
      <c r="J126" s="173"/>
      <c r="K126" s="173"/>
    </row>
    <row r="127" spans="1:11">
      <c r="A127" s="173" t="s">
        <v>72</v>
      </c>
      <c r="B127" s="173">
        <v>10</v>
      </c>
      <c r="C127" s="173"/>
      <c r="D127" s="173"/>
      <c r="E127" s="173"/>
      <c r="F127" s="173"/>
      <c r="G127" s="173"/>
      <c r="H127" s="173"/>
      <c r="I127" s="173"/>
      <c r="J127" s="173"/>
      <c r="K127" s="173"/>
    </row>
    <row r="128" spans="1:11">
      <c r="A128" s="173" t="s">
        <v>73</v>
      </c>
      <c r="B128" s="173">
        <v>10</v>
      </c>
      <c r="C128" s="173"/>
      <c r="D128" s="173"/>
      <c r="E128" s="173"/>
      <c r="F128" s="173"/>
      <c r="G128" s="173"/>
      <c r="H128" s="173"/>
      <c r="I128" s="173"/>
      <c r="J128" s="173"/>
      <c r="K128" s="173"/>
    </row>
    <row r="129" spans="1:11">
      <c r="A129" s="173" t="s">
        <v>74</v>
      </c>
      <c r="B129" s="173">
        <v>10</v>
      </c>
      <c r="C129" s="173"/>
      <c r="D129" s="173"/>
      <c r="E129" s="173"/>
      <c r="F129" s="173"/>
      <c r="G129" s="173"/>
      <c r="H129" s="173"/>
      <c r="I129" s="173"/>
      <c r="J129" s="173"/>
      <c r="K129" s="173"/>
    </row>
    <row r="130" spans="1:11">
      <c r="A130" s="173" t="s">
        <v>75</v>
      </c>
      <c r="B130" s="173">
        <v>10</v>
      </c>
      <c r="C130" s="173"/>
      <c r="D130" s="173"/>
      <c r="E130" s="173"/>
      <c r="F130" s="173"/>
      <c r="G130" s="173"/>
      <c r="H130" s="173"/>
      <c r="I130" s="173"/>
      <c r="J130" s="173"/>
      <c r="K130" s="173"/>
    </row>
    <row r="131" spans="1:11">
      <c r="A131" s="173" t="s">
        <v>76</v>
      </c>
      <c r="B131" s="173">
        <v>5</v>
      </c>
      <c r="C131" s="173"/>
      <c r="D131" s="173"/>
      <c r="E131" s="173"/>
      <c r="F131" s="173"/>
      <c r="G131" s="173"/>
      <c r="H131" s="173"/>
      <c r="I131" s="173"/>
      <c r="J131" s="173"/>
      <c r="K131" s="173"/>
    </row>
    <row r="132" spans="1:11">
      <c r="A132" s="173" t="s">
        <v>77</v>
      </c>
      <c r="B132" s="173">
        <v>3</v>
      </c>
      <c r="C132" s="173"/>
      <c r="D132" s="173"/>
      <c r="E132" s="173"/>
      <c r="F132" s="173"/>
      <c r="G132" s="173"/>
      <c r="H132" s="173"/>
      <c r="I132" s="173"/>
      <c r="J132" s="173"/>
      <c r="K132" s="173"/>
    </row>
    <row r="133" spans="1:11">
      <c r="A133" s="173" t="s">
        <v>78</v>
      </c>
      <c r="B133" s="173">
        <v>5</v>
      </c>
      <c r="C133" s="173"/>
      <c r="D133" s="173"/>
      <c r="E133" s="173"/>
      <c r="F133" s="173"/>
      <c r="G133" s="173"/>
      <c r="H133" s="173"/>
      <c r="I133" s="173"/>
      <c r="J133" s="173"/>
      <c r="K133" s="173"/>
    </row>
    <row r="134" spans="1:11">
      <c r="A134" s="173" t="s">
        <v>79</v>
      </c>
      <c r="B134" s="173">
        <v>2</v>
      </c>
      <c r="C134" s="173"/>
      <c r="D134" s="173"/>
      <c r="E134" s="173"/>
      <c r="F134" s="173"/>
      <c r="G134" s="173"/>
      <c r="H134" s="173"/>
      <c r="I134" s="173"/>
      <c r="J134" s="173"/>
      <c r="K134" s="173"/>
    </row>
    <row r="135" spans="1:11">
      <c r="A135" s="173" t="s">
        <v>80</v>
      </c>
      <c r="B135" s="173">
        <v>3</v>
      </c>
      <c r="C135" s="173"/>
      <c r="D135" s="173"/>
      <c r="E135" s="173"/>
      <c r="F135" s="173"/>
      <c r="G135" s="173"/>
      <c r="H135" s="173"/>
      <c r="I135" s="173"/>
      <c r="J135" s="173"/>
      <c r="K135" s="173"/>
    </row>
    <row r="136" spans="1:11">
      <c r="A136" s="173" t="s">
        <v>81</v>
      </c>
      <c r="B136" s="173">
        <v>3</v>
      </c>
      <c r="C136" s="173"/>
      <c r="D136" s="173"/>
      <c r="E136" s="173"/>
      <c r="F136" s="173"/>
      <c r="G136" s="173"/>
      <c r="H136" s="173"/>
      <c r="I136" s="173"/>
      <c r="J136" s="173"/>
      <c r="K136" s="173"/>
    </row>
    <row r="137" spans="1:11">
      <c r="A137" s="173" t="s">
        <v>82</v>
      </c>
      <c r="B137" s="173">
        <v>5</v>
      </c>
      <c r="C137" s="173"/>
      <c r="D137" s="173"/>
      <c r="E137" s="173"/>
      <c r="F137" s="173"/>
      <c r="G137" s="173"/>
      <c r="H137" s="173"/>
      <c r="I137" s="173"/>
      <c r="J137" s="173"/>
      <c r="K137" s="173"/>
    </row>
    <row r="138" spans="1:11">
      <c r="A138" s="173" t="s">
        <v>83</v>
      </c>
      <c r="B138" s="173">
        <v>10</v>
      </c>
      <c r="C138" s="173"/>
      <c r="D138" s="173"/>
      <c r="E138" s="173"/>
      <c r="F138" s="173"/>
      <c r="G138" s="173"/>
      <c r="H138" s="173"/>
      <c r="I138" s="173"/>
      <c r="J138" s="173"/>
      <c r="K138" s="173"/>
    </row>
    <row r="139" spans="1:11">
      <c r="A139" s="173" t="s">
        <v>84</v>
      </c>
      <c r="B139" s="173">
        <v>3</v>
      </c>
      <c r="C139" s="173"/>
      <c r="D139" s="173"/>
      <c r="E139" s="173"/>
      <c r="F139" s="173"/>
      <c r="G139" s="173"/>
      <c r="H139" s="173"/>
      <c r="I139" s="173"/>
      <c r="J139" s="173"/>
      <c r="K139" s="173"/>
    </row>
    <row r="140" spans="1:11">
      <c r="A140" s="173" t="s">
        <v>85</v>
      </c>
      <c r="B140" s="173">
        <v>5</v>
      </c>
      <c r="C140" s="173"/>
      <c r="D140" s="173"/>
      <c r="E140" s="173"/>
      <c r="F140" s="173"/>
      <c r="G140" s="173"/>
      <c r="H140" s="173"/>
      <c r="I140" s="173"/>
      <c r="J140" s="173"/>
      <c r="K140" s="173"/>
    </row>
    <row r="141" spans="1:11">
      <c r="A141" s="173" t="s">
        <v>86</v>
      </c>
      <c r="B141" s="173">
        <v>2</v>
      </c>
      <c r="C141" s="173"/>
      <c r="D141" s="173"/>
      <c r="E141" s="173"/>
      <c r="F141" s="173"/>
      <c r="G141" s="173"/>
      <c r="H141" s="173"/>
      <c r="I141" s="173"/>
      <c r="J141" s="173"/>
      <c r="K141" s="173"/>
    </row>
    <row r="142" spans="1:11">
      <c r="A142" s="173" t="s">
        <v>87</v>
      </c>
      <c r="B142" s="173">
        <v>3</v>
      </c>
      <c r="C142" s="173"/>
      <c r="D142" s="173"/>
      <c r="E142" s="173"/>
      <c r="F142" s="173"/>
      <c r="G142" s="173"/>
      <c r="H142" s="173"/>
      <c r="I142" s="173"/>
      <c r="J142" s="173"/>
      <c r="K142" s="173"/>
    </row>
    <row r="143" spans="1:11">
      <c r="A143" s="173" t="s">
        <v>88</v>
      </c>
      <c r="B143" s="173">
        <v>5</v>
      </c>
      <c r="C143" s="173"/>
      <c r="D143" s="173"/>
      <c r="E143" s="173"/>
      <c r="F143" s="173"/>
      <c r="G143" s="173"/>
      <c r="H143" s="173"/>
      <c r="I143" s="173"/>
      <c r="J143" s="173"/>
      <c r="K143" s="173"/>
    </row>
    <row r="144" spans="1:11">
      <c r="A144" s="173" t="s">
        <v>89</v>
      </c>
      <c r="B144" s="173">
        <v>5</v>
      </c>
      <c r="C144" s="173"/>
      <c r="D144" s="173"/>
      <c r="E144" s="173"/>
      <c r="F144" s="173"/>
      <c r="G144" s="173"/>
      <c r="H144" s="173"/>
      <c r="I144" s="173"/>
      <c r="J144" s="173"/>
      <c r="K144" s="173"/>
    </row>
    <row r="145" spans="1:11">
      <c r="A145" s="173" t="s">
        <v>90</v>
      </c>
      <c r="B145" s="173">
        <v>3</v>
      </c>
      <c r="C145" s="173"/>
      <c r="D145" s="173"/>
      <c r="E145" s="173"/>
      <c r="F145" s="173"/>
      <c r="G145" s="173"/>
      <c r="H145" s="173"/>
      <c r="I145" s="173"/>
      <c r="J145" s="173"/>
      <c r="K145" s="173"/>
    </row>
    <row r="146" spans="1:11">
      <c r="A146" s="173" t="s">
        <v>91</v>
      </c>
      <c r="B146" s="173">
        <v>3</v>
      </c>
      <c r="C146" s="173"/>
      <c r="D146" s="173"/>
      <c r="E146" s="173"/>
      <c r="F146" s="173"/>
      <c r="G146" s="173"/>
      <c r="H146" s="173"/>
      <c r="I146" s="173"/>
      <c r="J146" s="173"/>
      <c r="K146" s="173"/>
    </row>
    <row r="147" spans="1:11">
      <c r="A147" s="173" t="s">
        <v>92</v>
      </c>
      <c r="B147" s="173">
        <v>3</v>
      </c>
      <c r="C147" s="173"/>
      <c r="D147" s="173"/>
      <c r="E147" s="173"/>
      <c r="F147" s="173"/>
      <c r="G147" s="173"/>
      <c r="H147" s="173"/>
      <c r="I147" s="173"/>
      <c r="J147" s="173"/>
      <c r="K147" s="173"/>
    </row>
    <row r="148" spans="1:11">
      <c r="A148" s="173" t="s">
        <v>93</v>
      </c>
      <c r="B148" s="173">
        <v>3</v>
      </c>
      <c r="C148" s="173"/>
      <c r="D148" s="173"/>
      <c r="E148" s="173"/>
      <c r="F148" s="173"/>
      <c r="G148" s="173"/>
      <c r="H148" s="173"/>
      <c r="I148" s="173"/>
      <c r="J148" s="173"/>
      <c r="K148" s="173"/>
    </row>
    <row r="149" spans="1:11">
      <c r="A149" s="173" t="s">
        <v>94</v>
      </c>
      <c r="B149" s="173">
        <v>3</v>
      </c>
      <c r="C149" s="173"/>
      <c r="D149" s="173"/>
      <c r="E149" s="173"/>
      <c r="F149" s="173"/>
      <c r="G149" s="173"/>
      <c r="H149" s="173"/>
      <c r="I149" s="173"/>
      <c r="J149" s="173"/>
      <c r="K149" s="173"/>
    </row>
    <row r="150" spans="1:11">
      <c r="A150" s="173" t="s">
        <v>95</v>
      </c>
      <c r="B150" s="173">
        <v>3</v>
      </c>
      <c r="C150" s="173"/>
      <c r="D150" s="173"/>
      <c r="E150" s="173"/>
      <c r="F150" s="173"/>
      <c r="G150" s="173"/>
      <c r="H150" s="173"/>
      <c r="I150" s="173"/>
      <c r="J150" s="173"/>
      <c r="K150" s="173"/>
    </row>
    <row r="151" spans="1:11">
      <c r="A151" s="173" t="s">
        <v>96</v>
      </c>
      <c r="B151" s="173">
        <v>3</v>
      </c>
      <c r="C151" s="173"/>
      <c r="D151" s="173"/>
      <c r="E151" s="173"/>
      <c r="F151" s="173"/>
      <c r="G151" s="173"/>
      <c r="H151" s="173"/>
      <c r="I151" s="173"/>
      <c r="J151" s="173"/>
      <c r="K151" s="173"/>
    </row>
    <row r="152" spans="1:11">
      <c r="A152" s="173" t="s">
        <v>97</v>
      </c>
      <c r="B152" s="173">
        <v>3</v>
      </c>
      <c r="C152" s="173"/>
      <c r="D152" s="173"/>
      <c r="E152" s="173"/>
      <c r="F152" s="173"/>
      <c r="G152" s="173"/>
      <c r="H152" s="173"/>
      <c r="I152" s="173"/>
      <c r="J152" s="173"/>
      <c r="K152" s="173"/>
    </row>
    <row r="153" spans="1:11">
      <c r="A153" s="173" t="s">
        <v>98</v>
      </c>
      <c r="B153" s="173">
        <v>3</v>
      </c>
      <c r="C153" s="173"/>
      <c r="D153" s="173"/>
      <c r="E153" s="173"/>
      <c r="F153" s="173"/>
      <c r="G153" s="173"/>
      <c r="H153" s="173"/>
      <c r="I153" s="173"/>
      <c r="J153" s="173"/>
      <c r="K153" s="173"/>
    </row>
    <row r="154" spans="1:11">
      <c r="A154" s="173" t="s">
        <v>99</v>
      </c>
      <c r="B154" s="173">
        <v>3</v>
      </c>
      <c r="C154" s="173"/>
      <c r="D154" s="173"/>
      <c r="E154" s="173"/>
      <c r="F154" s="173"/>
      <c r="G154" s="173"/>
      <c r="H154" s="173"/>
      <c r="I154" s="173"/>
      <c r="J154" s="173"/>
      <c r="K154" s="173"/>
    </row>
    <row r="155" spans="1:11">
      <c r="A155" s="173" t="s">
        <v>100</v>
      </c>
      <c r="B155" s="173">
        <v>10</v>
      </c>
      <c r="C155" s="173"/>
      <c r="D155" s="173"/>
      <c r="E155" s="173"/>
      <c r="F155" s="173"/>
      <c r="G155" s="173"/>
      <c r="H155" s="173"/>
      <c r="I155" s="173"/>
      <c r="J155" s="173"/>
      <c r="K155" s="173"/>
    </row>
    <row r="156" spans="1:11">
      <c r="A156" s="173" t="s">
        <v>101</v>
      </c>
      <c r="B156" s="173">
        <v>5</v>
      </c>
      <c r="C156" s="173"/>
      <c r="D156" s="173"/>
      <c r="E156" s="173"/>
      <c r="F156" s="173"/>
      <c r="G156" s="173"/>
      <c r="H156" s="173"/>
      <c r="I156" s="173"/>
      <c r="J156" s="173"/>
      <c r="K156" s="173"/>
    </row>
    <row r="157" spans="1:11">
      <c r="A157" s="173" t="s">
        <v>102</v>
      </c>
      <c r="B157" s="173">
        <v>10</v>
      </c>
      <c r="C157" s="173"/>
      <c r="D157" s="173"/>
      <c r="E157" s="173"/>
      <c r="F157" s="173"/>
      <c r="G157" s="173"/>
      <c r="H157" s="173"/>
      <c r="I157" s="173"/>
      <c r="J157" s="173"/>
      <c r="K157" s="173"/>
    </row>
    <row r="158" spans="1:11">
      <c r="A158" s="173" t="s">
        <v>103</v>
      </c>
      <c r="B158" s="173">
        <v>3</v>
      </c>
      <c r="C158" s="173"/>
      <c r="D158" s="173"/>
      <c r="E158" s="173"/>
      <c r="F158" s="173"/>
      <c r="G158" s="173"/>
      <c r="H158" s="173"/>
      <c r="I158" s="173"/>
      <c r="J158" s="173"/>
      <c r="K158" s="173"/>
    </row>
    <row r="159" spans="1:11">
      <c r="A159" s="173" t="s">
        <v>104</v>
      </c>
      <c r="B159" s="173">
        <v>5</v>
      </c>
      <c r="C159" s="173"/>
      <c r="D159" s="173"/>
      <c r="E159" s="173"/>
      <c r="F159" s="173"/>
      <c r="G159" s="173"/>
      <c r="H159" s="173"/>
      <c r="I159" s="173"/>
      <c r="J159" s="173"/>
      <c r="K159" s="173"/>
    </row>
    <row r="160" spans="1:11">
      <c r="A160" s="173" t="s">
        <v>105</v>
      </c>
      <c r="B160" s="173">
        <v>10</v>
      </c>
      <c r="C160" s="173"/>
      <c r="D160" s="173"/>
      <c r="E160" s="173"/>
      <c r="F160" s="173"/>
      <c r="G160" s="173"/>
      <c r="H160" s="173"/>
      <c r="I160" s="173"/>
      <c r="J160" s="173"/>
      <c r="K160" s="173"/>
    </row>
    <row r="161" spans="1:11">
      <c r="A161" s="173" t="s">
        <v>106</v>
      </c>
      <c r="B161" s="173">
        <v>5</v>
      </c>
      <c r="C161" s="173"/>
      <c r="D161" s="173"/>
      <c r="E161" s="173"/>
      <c r="F161" s="173"/>
      <c r="G161" s="173"/>
      <c r="H161" s="173"/>
      <c r="I161" s="173"/>
      <c r="J161" s="173"/>
      <c r="K161" s="173"/>
    </row>
    <row r="162" spans="1:11">
      <c r="A162" s="173" t="s">
        <v>107</v>
      </c>
      <c r="B162" s="173">
        <v>10</v>
      </c>
      <c r="C162" s="173"/>
      <c r="D162" s="173"/>
      <c r="E162" s="173"/>
      <c r="F162" s="173"/>
      <c r="G162" s="173"/>
      <c r="H162" s="173"/>
      <c r="I162" s="173"/>
      <c r="J162" s="173"/>
      <c r="K162" s="173"/>
    </row>
    <row r="163" spans="1:11">
      <c r="A163" s="173" t="s">
        <v>108</v>
      </c>
      <c r="B163" s="173">
        <v>10</v>
      </c>
      <c r="C163" s="173"/>
      <c r="D163" s="173"/>
      <c r="E163" s="173"/>
      <c r="F163" s="173"/>
      <c r="G163" s="173"/>
      <c r="H163" s="173"/>
      <c r="I163" s="173"/>
      <c r="J163" s="173"/>
      <c r="K163" s="173"/>
    </row>
    <row r="164" spans="1:11">
      <c r="A164" s="173" t="s">
        <v>109</v>
      </c>
      <c r="B164" s="173">
        <v>3</v>
      </c>
      <c r="C164" s="173"/>
      <c r="D164" s="173"/>
      <c r="E164" s="173"/>
      <c r="F164" s="173"/>
      <c r="G164" s="173"/>
      <c r="H164" s="173"/>
      <c r="I164" s="173"/>
      <c r="J164" s="173"/>
      <c r="K164" s="173"/>
    </row>
    <row r="165" spans="1:11">
      <c r="A165" s="173" t="s">
        <v>110</v>
      </c>
      <c r="B165" s="173">
        <v>5</v>
      </c>
      <c r="C165" s="173"/>
      <c r="D165" s="173"/>
      <c r="E165" s="173"/>
      <c r="F165" s="173"/>
      <c r="G165" s="173"/>
      <c r="H165" s="173"/>
      <c r="I165" s="173"/>
      <c r="J165" s="173"/>
      <c r="K165" s="173"/>
    </row>
    <row r="166" spans="1:11">
      <c r="A166" s="173" t="s">
        <v>111</v>
      </c>
      <c r="B166" s="173">
        <v>5</v>
      </c>
      <c r="C166" s="173"/>
      <c r="D166" s="173"/>
      <c r="E166" s="173"/>
      <c r="F166" s="173"/>
      <c r="G166" s="173"/>
      <c r="H166" s="173"/>
      <c r="I166" s="173"/>
      <c r="J166" s="173"/>
      <c r="K166" s="173"/>
    </row>
    <row r="167" spans="1:11">
      <c r="A167" s="173" t="s">
        <v>112</v>
      </c>
      <c r="B167" s="173">
        <v>5</v>
      </c>
      <c r="C167" s="173"/>
      <c r="D167" s="173"/>
      <c r="E167" s="173"/>
      <c r="F167" s="173"/>
      <c r="G167" s="173"/>
      <c r="H167" s="173"/>
      <c r="I167" s="173"/>
      <c r="J167" s="173"/>
      <c r="K167" s="173"/>
    </row>
    <row r="168" spans="1:11">
      <c r="A168" s="173" t="s">
        <v>113</v>
      </c>
      <c r="B168" s="173">
        <v>10</v>
      </c>
      <c r="C168" s="173"/>
      <c r="D168" s="173"/>
      <c r="E168" s="173"/>
      <c r="F168" s="173"/>
      <c r="G168" s="173"/>
      <c r="H168" s="173"/>
      <c r="I168" s="173"/>
      <c r="J168" s="173"/>
      <c r="K168" s="173"/>
    </row>
    <row r="169" spans="1:11">
      <c r="A169" s="173" t="s">
        <v>114</v>
      </c>
      <c r="B169" s="173">
        <v>5</v>
      </c>
      <c r="C169" s="173"/>
      <c r="D169" s="173"/>
      <c r="E169" s="173"/>
      <c r="F169" s="173"/>
      <c r="G169" s="173"/>
      <c r="H169" s="173"/>
      <c r="I169" s="173"/>
      <c r="J169" s="173"/>
      <c r="K169" s="173"/>
    </row>
    <row r="170" spans="1:11">
      <c r="A170" s="173" t="s">
        <v>115</v>
      </c>
      <c r="B170" s="173">
        <v>5</v>
      </c>
      <c r="C170" s="173"/>
      <c r="D170" s="173"/>
      <c r="E170" s="173"/>
      <c r="F170" s="173"/>
      <c r="G170" s="173"/>
      <c r="H170" s="173"/>
      <c r="I170" s="173"/>
      <c r="J170" s="173"/>
      <c r="K170" s="173"/>
    </row>
    <row r="171" spans="1:11">
      <c r="A171" s="173" t="s">
        <v>116</v>
      </c>
      <c r="B171" s="173">
        <v>5</v>
      </c>
      <c r="C171" s="173"/>
      <c r="D171" s="173"/>
      <c r="E171" s="173"/>
      <c r="F171" s="173"/>
      <c r="G171" s="173"/>
      <c r="H171" s="173"/>
      <c r="I171" s="173"/>
      <c r="J171" s="173"/>
      <c r="K171" s="173"/>
    </row>
    <row r="172" spans="1:11">
      <c r="A172" s="173" t="s">
        <v>117</v>
      </c>
      <c r="B172" s="173">
        <v>3</v>
      </c>
      <c r="C172" s="173"/>
      <c r="D172" s="173"/>
      <c r="E172" s="173"/>
      <c r="F172" s="173"/>
      <c r="G172" s="173"/>
      <c r="H172" s="173"/>
      <c r="I172" s="173"/>
      <c r="J172" s="173"/>
      <c r="K172" s="173"/>
    </row>
    <row r="173" spans="1:11">
      <c r="A173" s="173" t="s">
        <v>118</v>
      </c>
      <c r="B173" s="173">
        <v>3</v>
      </c>
      <c r="C173" s="173"/>
      <c r="D173" s="173"/>
      <c r="E173" s="173"/>
      <c r="F173" s="173"/>
      <c r="G173" s="173"/>
      <c r="H173" s="173"/>
      <c r="I173" s="173"/>
      <c r="J173" s="173"/>
      <c r="K173" s="173"/>
    </row>
    <row r="174" spans="1:11">
      <c r="A174" s="173" t="s">
        <v>119</v>
      </c>
      <c r="B174" s="173">
        <v>5</v>
      </c>
      <c r="C174" s="173"/>
      <c r="D174" s="173"/>
      <c r="E174" s="173"/>
      <c r="F174" s="173"/>
      <c r="G174" s="173"/>
      <c r="H174" s="173"/>
      <c r="I174" s="173"/>
      <c r="J174" s="173"/>
      <c r="K174" s="173"/>
    </row>
    <row r="175" spans="1:11">
      <c r="A175" s="173" t="s">
        <v>120</v>
      </c>
      <c r="B175" s="173">
        <v>5</v>
      </c>
      <c r="C175" s="173"/>
      <c r="D175" s="173"/>
      <c r="E175" s="173"/>
      <c r="F175" s="173"/>
      <c r="G175" s="173"/>
      <c r="H175" s="173"/>
      <c r="I175" s="173"/>
      <c r="J175" s="173"/>
      <c r="K175" s="173"/>
    </row>
    <row r="176" spans="1:11">
      <c r="A176" s="173" t="s">
        <v>121</v>
      </c>
      <c r="B176" s="173">
        <v>2</v>
      </c>
      <c r="C176" s="173"/>
      <c r="D176" s="173"/>
      <c r="E176" s="173"/>
      <c r="F176" s="173"/>
      <c r="G176" s="173"/>
      <c r="H176" s="173"/>
      <c r="I176" s="173"/>
      <c r="J176" s="173"/>
      <c r="K176" s="173"/>
    </row>
    <row r="177" spans="1:11">
      <c r="A177" s="173" t="s">
        <v>122</v>
      </c>
      <c r="B177" s="173">
        <v>2</v>
      </c>
      <c r="C177" s="173"/>
      <c r="D177" s="173"/>
      <c r="E177" s="173"/>
      <c r="F177" s="173"/>
      <c r="G177" s="173"/>
      <c r="H177" s="173"/>
      <c r="I177" s="173"/>
      <c r="J177" s="173"/>
      <c r="K177" s="173"/>
    </row>
    <row r="178" spans="1:11">
      <c r="A178" s="173" t="s">
        <v>123</v>
      </c>
      <c r="B178" s="173">
        <v>2</v>
      </c>
      <c r="C178" s="173"/>
      <c r="D178" s="173"/>
      <c r="E178" s="173"/>
      <c r="F178" s="173"/>
      <c r="G178" s="173"/>
      <c r="H178" s="173"/>
      <c r="I178" s="173"/>
      <c r="J178" s="173"/>
      <c r="K178" s="173"/>
    </row>
    <row r="179" spans="1:11">
      <c r="A179" s="173" t="s">
        <v>124</v>
      </c>
      <c r="B179" s="173">
        <v>2</v>
      </c>
      <c r="C179" s="173"/>
      <c r="D179" s="173"/>
      <c r="E179" s="173"/>
      <c r="F179" s="173"/>
      <c r="G179" s="173"/>
      <c r="H179" s="173"/>
      <c r="I179" s="173"/>
      <c r="J179" s="173"/>
      <c r="K179" s="173"/>
    </row>
    <row r="180" spans="1:11">
      <c r="A180" s="173" t="s">
        <v>125</v>
      </c>
      <c r="B180" s="173">
        <v>2</v>
      </c>
      <c r="C180" s="173"/>
      <c r="D180" s="173"/>
      <c r="E180" s="173"/>
      <c r="F180" s="173"/>
      <c r="G180" s="173"/>
      <c r="H180" s="173"/>
      <c r="I180" s="173"/>
      <c r="J180" s="173"/>
      <c r="K180" s="173"/>
    </row>
    <row r="181" spans="1:11">
      <c r="A181" s="173" t="s">
        <v>126</v>
      </c>
      <c r="B181" s="173">
        <v>5</v>
      </c>
      <c r="C181" s="173"/>
      <c r="D181" s="173"/>
      <c r="E181" s="173"/>
      <c r="F181" s="173"/>
      <c r="G181" s="173"/>
      <c r="H181" s="173"/>
      <c r="I181" s="173"/>
      <c r="J181" s="173"/>
      <c r="K181" s="173"/>
    </row>
    <row r="182" spans="1:11">
      <c r="A182" s="173" t="s">
        <v>127</v>
      </c>
      <c r="B182" s="173">
        <v>5</v>
      </c>
      <c r="C182" s="173"/>
      <c r="D182" s="173"/>
      <c r="E182" s="173"/>
      <c r="F182" s="173"/>
      <c r="G182" s="173"/>
      <c r="H182" s="173"/>
      <c r="I182" s="173"/>
      <c r="J182" s="173"/>
      <c r="K182" s="173"/>
    </row>
    <row r="183" spans="1:11">
      <c r="A183" s="173" t="s">
        <v>128</v>
      </c>
      <c r="B183" s="173">
        <v>3</v>
      </c>
      <c r="C183" s="173"/>
      <c r="D183" s="173"/>
      <c r="E183" s="173"/>
      <c r="F183" s="173"/>
      <c r="G183" s="173"/>
      <c r="H183" s="173"/>
      <c r="I183" s="173"/>
      <c r="J183" s="173"/>
      <c r="K183" s="173"/>
    </row>
    <row r="184" spans="1:11">
      <c r="A184" s="173" t="s">
        <v>129</v>
      </c>
      <c r="B184" s="173">
        <v>5</v>
      </c>
      <c r="C184" s="173"/>
      <c r="D184" s="173"/>
      <c r="E184" s="173"/>
      <c r="F184" s="173"/>
      <c r="G184" s="173"/>
      <c r="H184" s="173"/>
      <c r="I184" s="173"/>
      <c r="J184" s="173"/>
      <c r="K184" s="173"/>
    </row>
    <row r="185" spans="1:11">
      <c r="A185" s="173" t="s">
        <v>130</v>
      </c>
      <c r="B185" s="173">
        <v>5</v>
      </c>
      <c r="C185" s="173"/>
      <c r="D185" s="173"/>
      <c r="E185" s="173"/>
      <c r="F185" s="173"/>
      <c r="G185" s="173"/>
      <c r="H185" s="173"/>
      <c r="I185" s="173"/>
      <c r="J185" s="173"/>
      <c r="K185" s="173"/>
    </row>
    <row r="186" spans="1:11">
      <c r="A186" s="173" t="s">
        <v>131</v>
      </c>
      <c r="B186" s="173">
        <v>10</v>
      </c>
      <c r="C186" s="173"/>
      <c r="D186" s="173"/>
      <c r="E186" s="173"/>
      <c r="F186" s="173"/>
      <c r="G186" s="173"/>
      <c r="H186" s="173"/>
      <c r="I186" s="173"/>
      <c r="J186" s="173"/>
      <c r="K186" s="173"/>
    </row>
    <row r="187" spans="1:11">
      <c r="A187" s="173" t="s">
        <v>132</v>
      </c>
      <c r="B187" s="173">
        <v>5</v>
      </c>
      <c r="C187" s="173"/>
      <c r="D187" s="173"/>
      <c r="E187" s="173"/>
      <c r="F187" s="173"/>
      <c r="G187" s="173"/>
      <c r="H187" s="173"/>
      <c r="I187" s="173"/>
      <c r="J187" s="173"/>
      <c r="K187" s="173"/>
    </row>
    <row r="188" spans="1:11">
      <c r="A188" s="173" t="s">
        <v>133</v>
      </c>
      <c r="B188" s="173">
        <v>5</v>
      </c>
      <c r="C188" s="173"/>
      <c r="D188" s="173"/>
      <c r="E188" s="173"/>
      <c r="F188" s="173"/>
      <c r="G188" s="173"/>
      <c r="H188" s="173"/>
      <c r="I188" s="173"/>
      <c r="J188" s="173"/>
      <c r="K188" s="173"/>
    </row>
    <row r="189" spans="1:11">
      <c r="A189" s="173" t="s">
        <v>134</v>
      </c>
      <c r="B189" s="173">
        <v>2</v>
      </c>
      <c r="C189" s="173"/>
      <c r="D189" s="173"/>
      <c r="E189" s="173"/>
      <c r="F189" s="173"/>
      <c r="G189" s="173"/>
      <c r="H189" s="173"/>
      <c r="I189" s="173"/>
      <c r="J189" s="173"/>
      <c r="K189" s="173"/>
    </row>
    <row r="190" spans="1:11">
      <c r="A190" s="173" t="s">
        <v>135</v>
      </c>
      <c r="B190" s="173">
        <v>5</v>
      </c>
      <c r="C190" s="173"/>
      <c r="D190" s="173"/>
      <c r="E190" s="173"/>
      <c r="F190" s="173"/>
      <c r="G190" s="173"/>
      <c r="H190" s="173"/>
      <c r="I190" s="173"/>
      <c r="J190" s="173"/>
      <c r="K190" s="173"/>
    </row>
    <row r="191" spans="1:11">
      <c r="A191" s="173" t="s">
        <v>136</v>
      </c>
      <c r="B191" s="173">
        <v>5</v>
      </c>
      <c r="C191" s="173"/>
      <c r="D191" s="173"/>
      <c r="E191" s="173"/>
      <c r="F191" s="173"/>
      <c r="G191" s="173"/>
      <c r="H191" s="173"/>
      <c r="I191" s="173"/>
      <c r="J191" s="173"/>
      <c r="K191" s="173"/>
    </row>
    <row r="192" spans="1:11">
      <c r="A192" s="173" t="s">
        <v>137</v>
      </c>
      <c r="B192" s="173">
        <v>3</v>
      </c>
      <c r="C192" s="173"/>
      <c r="D192" s="173"/>
      <c r="E192" s="173"/>
      <c r="F192" s="173"/>
      <c r="G192" s="173"/>
      <c r="H192" s="173"/>
      <c r="I192" s="173"/>
      <c r="J192" s="173"/>
      <c r="K192" s="173"/>
    </row>
    <row r="193" spans="1:11">
      <c r="A193" s="173" t="s">
        <v>138</v>
      </c>
      <c r="B193" s="173">
        <v>5</v>
      </c>
      <c r="C193" s="173"/>
      <c r="D193" s="173"/>
      <c r="E193" s="173"/>
      <c r="F193" s="173"/>
      <c r="G193" s="173"/>
      <c r="H193" s="173"/>
      <c r="I193" s="173"/>
      <c r="J193" s="173"/>
      <c r="K193" s="173"/>
    </row>
    <row r="194" spans="1:11">
      <c r="A194" s="173" t="s">
        <v>139</v>
      </c>
      <c r="B194" s="173">
        <v>10</v>
      </c>
      <c r="C194" s="173"/>
      <c r="D194" s="173"/>
      <c r="E194" s="173"/>
      <c r="F194" s="173"/>
      <c r="G194" s="173"/>
      <c r="H194" s="173"/>
      <c r="I194" s="173"/>
      <c r="J194" s="173"/>
      <c r="K194" s="173"/>
    </row>
    <row r="195" spans="1:11">
      <c r="A195" s="173" t="s">
        <v>140</v>
      </c>
      <c r="B195" s="173">
        <v>10</v>
      </c>
      <c r="C195" s="173"/>
      <c r="D195" s="173"/>
      <c r="E195" s="173"/>
      <c r="F195" s="173"/>
      <c r="G195" s="173"/>
      <c r="H195" s="173"/>
      <c r="I195" s="173"/>
      <c r="J195" s="173"/>
      <c r="K195" s="173"/>
    </row>
    <row r="196" spans="1:11">
      <c r="A196" s="173"/>
      <c r="B196" s="173"/>
      <c r="C196" s="173"/>
      <c r="D196" s="173"/>
      <c r="E196" s="173"/>
      <c r="F196" s="173"/>
      <c r="G196" s="173"/>
      <c r="H196" s="173"/>
      <c r="I196" s="173"/>
      <c r="J196" s="173"/>
      <c r="K196" s="173"/>
    </row>
  </sheetData>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99294AF-4437-4222-88B9-D447E45214B5}">
          <x14:formula1>
            <xm:f>Readme!$A$40:$A$42</xm:f>
          </x14:formula1>
          <xm:sqref>C55 E54 C30</xm:sqref>
        </x14:dataValidation>
        <x14:dataValidation type="list" allowBlank="1" showInputMessage="1" showErrorMessage="1" xr:uid="{CD73F680-A90E-4B50-9912-810E4742ED96}">
          <x14:formula1>
            <xm:f>Readme!$A$34:$A$35</xm:f>
          </x14:formula1>
          <xm:sqref>C22</xm:sqref>
        </x14:dataValidation>
        <x14:dataValidation type="list" allowBlank="1" showInputMessage="1" showErrorMessage="1" xr:uid="{00000000-0002-0000-0000-000000000000}">
          <x14:formula1>
            <xm:f>Readme!$C$29:$C$30</xm:f>
          </x14:formula1>
          <xm:sqref>C15</xm:sqref>
        </x14:dataValidation>
        <x14:dataValidation type="list" allowBlank="1" showInputMessage="1" showErrorMessage="1" xr:uid="{00000000-0002-0000-0000-000005000000}">
          <x14:formula1>
            <xm:f>Readme!$C$43:$C$50</xm:f>
          </x14:formula1>
          <xm:sqref>G18</xm:sqref>
        </x14:dataValidation>
        <x14:dataValidation type="list" allowBlank="1" showInputMessage="1" showErrorMessage="1" xr:uid="{00000000-0002-0000-0000-000002000000}">
          <x14:formula1>
            <xm:f>Readme!$E$29:$E$125</xm:f>
          </x14:formula1>
          <xm:sqref>G19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8B36-CD15-487B-923F-1C17940E8C93}">
  <sheetPr codeName="工作表1">
    <tabColor theme="7" tint="0.59999389629810485"/>
  </sheetPr>
  <dimension ref="A1:G112"/>
  <sheetViews>
    <sheetView topLeftCell="A13" workbookViewId="0">
      <selection activeCell="B31" sqref="B31"/>
    </sheetView>
  </sheetViews>
  <sheetFormatPr defaultRowHeight="15.75"/>
  <cols>
    <col min="1" max="1" width="7.375" style="117" customWidth="1"/>
    <col min="2" max="2" width="72.375" style="114" customWidth="1"/>
    <col min="3" max="3" width="14.125" style="114" customWidth="1"/>
    <col min="4" max="6" width="20.625" style="114" customWidth="1"/>
    <col min="7" max="7" width="80.625" style="114" customWidth="1"/>
    <col min="8" max="10" width="16.625" style="114" customWidth="1"/>
    <col min="11" max="16384" width="9" style="114"/>
  </cols>
  <sheetData>
    <row r="1" spans="1:7">
      <c r="A1" s="158" t="s">
        <v>361</v>
      </c>
      <c r="B1" s="144"/>
    </row>
    <row r="3" spans="1:7">
      <c r="B3" s="21" t="s">
        <v>399</v>
      </c>
      <c r="D3" s="117" t="s">
        <v>401</v>
      </c>
      <c r="E3" s="117" t="s">
        <v>370</v>
      </c>
      <c r="F3" s="122" t="s">
        <v>402</v>
      </c>
    </row>
    <row r="4" spans="1:7">
      <c r="B4" s="114" t="s">
        <v>556</v>
      </c>
      <c r="D4" s="29">
        <f>IF(D38&lt;&gt;"",D38,E42)</f>
        <v>0.1</v>
      </c>
      <c r="E4" s="29">
        <f>IF(D22&lt;&gt;"",D22,E26)</f>
        <v>0.2</v>
      </c>
      <c r="F4" s="29">
        <f>IF(D53&lt;&gt;"",D53,E57)</f>
        <v>1.2</v>
      </c>
    </row>
    <row r="5" spans="1:7">
      <c r="B5" s="114" t="s">
        <v>403</v>
      </c>
      <c r="D5" s="29">
        <f>IF(D39&lt;&gt;"",D39,D43)</f>
        <v>1.8615299645121317</v>
      </c>
      <c r="E5" s="29">
        <f>IF(D23&lt;&gt;"",D23,D27)</f>
        <v>3.7230599290242634</v>
      </c>
      <c r="F5" s="29">
        <f>IF(D54&lt;&gt;"",D54,D58)</f>
        <v>22.338359574145578</v>
      </c>
    </row>
    <row r="6" spans="1:7">
      <c r="B6" s="114" t="s">
        <v>533</v>
      </c>
      <c r="D6" s="29">
        <f>D47</f>
        <v>0.3680219085738361</v>
      </c>
      <c r="E6" s="29">
        <f>D31</f>
        <v>0.11646666666666666</v>
      </c>
      <c r="F6" s="29">
        <f>D62</f>
        <v>5.8233333333333331E-2</v>
      </c>
    </row>
    <row r="7" spans="1:7">
      <c r="B7" s="114" t="s">
        <v>350</v>
      </c>
      <c r="D7" s="145">
        <v>6</v>
      </c>
      <c r="E7" s="118">
        <f>Scenarios!D111</f>
        <v>8</v>
      </c>
      <c r="F7" s="145">
        <v>10</v>
      </c>
    </row>
    <row r="9" spans="1:7">
      <c r="B9" s="114" t="s">
        <v>499</v>
      </c>
      <c r="D9" s="29">
        <f>Bear_ROC-WACC_CAP</f>
        <v>-4.1652671879720646E-2</v>
      </c>
      <c r="E9" s="29">
        <f>Base_ROC-WACC_CAP</f>
        <v>-3.6280746533022941E-2</v>
      </c>
      <c r="F9" s="29">
        <f>Bull_ROC-WACC_CAP</f>
        <v>-3.0908821186325229E-2</v>
      </c>
    </row>
    <row r="10" spans="1:7">
      <c r="B10" s="109" t="s">
        <v>532</v>
      </c>
      <c r="D10" s="29">
        <f>D46-Stable_WACC</f>
        <v>0</v>
      </c>
      <c r="E10" s="29">
        <f>D30-Stable_WACC</f>
        <v>0.10253</v>
      </c>
      <c r="F10" s="29">
        <f>D61-Stable_WACC</f>
        <v>0.25252999999999998</v>
      </c>
    </row>
    <row r="12" spans="1:7">
      <c r="B12" s="247" t="s">
        <v>400</v>
      </c>
      <c r="D12" s="138">
        <f>(1-E12)/2</f>
        <v>0.19444444444444442</v>
      </c>
      <c r="E12" s="29">
        <f>AVERAGE(F27,E31,E111)</f>
        <v>0.61111111111111116</v>
      </c>
      <c r="F12" s="29">
        <f>1-E12-D12</f>
        <v>0.19444444444444442</v>
      </c>
      <c r="G12" s="119"/>
    </row>
    <row r="13" spans="1:7">
      <c r="B13" s="244" t="s">
        <v>527</v>
      </c>
      <c r="D13" s="185" t="e">
        <f>#REF!</f>
        <v>#REF!</v>
      </c>
      <c r="E13" s="124">
        <f ca="1">IF(Price_Currency&lt;&gt;CF_Currency,'Base Model'!E42,'Base Model'!E41)</f>
        <v>255.43459054516478</v>
      </c>
      <c r="F13" s="185" t="e">
        <f>#REF!</f>
        <v>#REF!</v>
      </c>
      <c r="G13" s="119"/>
    </row>
    <row r="14" spans="1:7" ht="16.5" thickBot="1">
      <c r="B14" s="245" t="s">
        <v>523</v>
      </c>
      <c r="D14" s="305" t="e">
        <f ca="1">E14/Current_Price-1</f>
        <v>#REF!</v>
      </c>
      <c r="E14" s="246" t="e">
        <f ca="1">E12*E13+D12*D13+F12*F13</f>
        <v>#REF!</v>
      </c>
      <c r="F14" s="105"/>
      <c r="G14" s="119"/>
    </row>
    <row r="15" spans="1:7" ht="16.5" thickTop="1"/>
    <row r="16" spans="1:7">
      <c r="A16" s="92">
        <v>1</v>
      </c>
      <c r="B16" s="21" t="s">
        <v>540</v>
      </c>
    </row>
    <row r="17" spans="1:6">
      <c r="B17" s="114" t="s">
        <v>539</v>
      </c>
      <c r="D17" s="218">
        <f>Riskfree_rate</f>
        <v>1.7469999999999999E-2</v>
      </c>
    </row>
    <row r="19" spans="1:6">
      <c r="A19" s="213" t="s">
        <v>557</v>
      </c>
      <c r="B19" s="249" t="s">
        <v>497</v>
      </c>
    </row>
    <row r="20" spans="1:6">
      <c r="A20" s="213"/>
      <c r="B20" s="214" t="s">
        <v>529</v>
      </c>
    </row>
    <row r="21" spans="1:6">
      <c r="A21" s="213"/>
      <c r="B21" s="15" t="s">
        <v>551</v>
      </c>
    </row>
    <row r="22" spans="1:6">
      <c r="A22" s="213"/>
      <c r="B22" s="114" t="s">
        <v>554</v>
      </c>
      <c r="C22" s="111" t="str">
        <f>IF(AND($D$22&lt;&gt;"",$D$23&lt;&gt;""),"Error, pick 1 only","")</f>
        <v/>
      </c>
      <c r="D22" s="138">
        <v>0.2</v>
      </c>
    </row>
    <row r="23" spans="1:6">
      <c r="A23" s="213"/>
      <c r="B23" s="114" t="s">
        <v>555</v>
      </c>
      <c r="C23" s="111" t="str">
        <f>IF(AND($D$22&lt;&gt;"",$D$23&lt;&gt;""),"Error, pick 1 only","")</f>
        <v/>
      </c>
      <c r="D23" s="138"/>
    </row>
    <row r="24" spans="1:6">
      <c r="B24" s="262"/>
    </row>
    <row r="25" spans="1:6">
      <c r="B25" s="15" t="s">
        <v>552</v>
      </c>
      <c r="D25" s="263" t="s">
        <v>549</v>
      </c>
      <c r="E25" s="263" t="s">
        <v>550</v>
      </c>
    </row>
    <row r="26" spans="1:6">
      <c r="B26" s="210" t="s">
        <v>553</v>
      </c>
      <c r="D26" s="29">
        <f>IF(D22&lt;&gt;"",D22,"")</f>
        <v>0.2</v>
      </c>
      <c r="E26" s="29" t="str">
        <f>IF(D23&lt;&gt;"",Base_ROC*D23,"")</f>
        <v/>
      </c>
      <c r="F26" s="294" t="s">
        <v>575</v>
      </c>
    </row>
    <row r="27" spans="1:6" ht="16.5" thickBot="1">
      <c r="B27" s="261" t="s">
        <v>190</v>
      </c>
      <c r="D27" s="29">
        <f>IF(D22&lt;&gt;"",D22/Base_ROC,"")</f>
        <v>3.7230599290242634</v>
      </c>
      <c r="E27" s="29" t="str">
        <f>IF(D23&lt;&gt;"",D23,"")</f>
        <v/>
      </c>
      <c r="F27" s="146">
        <v>0.5</v>
      </c>
    </row>
    <row r="28" spans="1:6" ht="16.5" thickTop="1">
      <c r="A28" s="213"/>
      <c r="B28" s="262"/>
    </row>
    <row r="29" spans="1:6">
      <c r="A29" s="92"/>
      <c r="B29" s="214" t="s">
        <v>197</v>
      </c>
      <c r="D29" s="155"/>
      <c r="E29" s="155"/>
    </row>
    <row r="30" spans="1:6">
      <c r="B30" s="114" t="s">
        <v>530</v>
      </c>
      <c r="D30" s="218">
        <v>0.15</v>
      </c>
      <c r="E30" s="92" t="s">
        <v>575</v>
      </c>
    </row>
    <row r="31" spans="1:6" ht="16.5" thickBot="1">
      <c r="A31" s="92"/>
      <c r="B31" s="15" t="s">
        <v>531</v>
      </c>
      <c r="D31" s="30">
        <f>Terminal_Ebit_g/D30</f>
        <v>0.11646666666666666</v>
      </c>
      <c r="E31" s="146">
        <v>0.66666666666666674</v>
      </c>
    </row>
    <row r="32" spans="1:6" ht="16.5" thickTop="1">
      <c r="A32" s="92"/>
    </row>
    <row r="33" spans="1:6">
      <c r="A33" s="213" t="s">
        <v>559</v>
      </c>
      <c r="B33" s="249" t="s">
        <v>396</v>
      </c>
    </row>
    <row r="34" spans="1:6">
      <c r="A34" s="92"/>
      <c r="B34" s="214" t="s">
        <v>529</v>
      </c>
      <c r="D34" s="105"/>
    </row>
    <row r="35" spans="1:6">
      <c r="A35" s="92"/>
      <c r="B35" s="317" t="s">
        <v>524</v>
      </c>
      <c r="C35" s="317"/>
      <c r="D35" s="317"/>
    </row>
    <row r="36" spans="1:6">
      <c r="A36" s="92"/>
      <c r="B36" s="317"/>
      <c r="C36" s="317"/>
      <c r="D36" s="317"/>
    </row>
    <row r="37" spans="1:6">
      <c r="B37" s="15" t="s">
        <v>551</v>
      </c>
    </row>
    <row r="38" spans="1:6">
      <c r="B38" s="114" t="s">
        <v>554</v>
      </c>
      <c r="C38" s="111" t="str">
        <f>IF(AND($D$38&lt;&gt;"",$D$39&lt;&gt;""),"Error, pick 1 only","")</f>
        <v/>
      </c>
      <c r="D38" s="138">
        <v>0.1</v>
      </c>
    </row>
    <row r="39" spans="1:6">
      <c r="B39" s="114" t="s">
        <v>555</v>
      </c>
      <c r="C39" s="111" t="str">
        <f>IF(AND($D$38&lt;&gt;"",$D$39&lt;&gt;""),"Error, pick 1 only","")</f>
        <v/>
      </c>
      <c r="D39" s="138"/>
    </row>
    <row r="41" spans="1:6">
      <c r="A41" s="92"/>
      <c r="B41" s="15" t="s">
        <v>552</v>
      </c>
      <c r="D41" s="263" t="s">
        <v>549</v>
      </c>
      <c r="E41" s="263" t="s">
        <v>550</v>
      </c>
      <c r="F41" s="109"/>
    </row>
    <row r="42" spans="1:6">
      <c r="A42" s="92"/>
      <c r="B42" s="210" t="s">
        <v>553</v>
      </c>
      <c r="D42" s="29">
        <f>IF(D38&lt;&gt;"",D38,"")</f>
        <v>0.1</v>
      </c>
      <c r="E42" s="29" t="str">
        <f>IF(D39&lt;&gt;"",Base_ROC*D39,"")</f>
        <v/>
      </c>
      <c r="F42" s="109"/>
    </row>
    <row r="43" spans="1:6">
      <c r="B43" s="261" t="s">
        <v>190</v>
      </c>
      <c r="D43" s="29">
        <f>IF(D38&lt;&gt;"",D38/Base_ROC,"")</f>
        <v>1.8615299645121317</v>
      </c>
      <c r="E43" s="29" t="str">
        <f>IF(D39&lt;&gt;"",D39,"")</f>
        <v/>
      </c>
      <c r="F43" s="105"/>
    </row>
    <row r="44" spans="1:6">
      <c r="A44" s="92"/>
      <c r="F44" s="109"/>
    </row>
    <row r="45" spans="1:6">
      <c r="A45" s="92"/>
      <c r="B45" s="214" t="s">
        <v>197</v>
      </c>
      <c r="D45" s="155"/>
      <c r="E45" s="155"/>
      <c r="F45" s="109"/>
    </row>
    <row r="46" spans="1:6">
      <c r="A46" s="92"/>
      <c r="B46" s="114" t="s">
        <v>530</v>
      </c>
      <c r="D46" s="218">
        <f>WACC!C18</f>
        <v>4.7469999999999998E-2</v>
      </c>
      <c r="F46" s="225"/>
    </row>
    <row r="47" spans="1:6" ht="16.5" thickBot="1">
      <c r="A47" s="92"/>
      <c r="B47" s="15" t="s">
        <v>531</v>
      </c>
      <c r="D47" s="30">
        <f>Terminal_Ebit_g/D46</f>
        <v>0.3680219085738361</v>
      </c>
      <c r="F47" s="105"/>
    </row>
    <row r="48" spans="1:6" ht="16.5" thickTop="1">
      <c r="E48" s="109"/>
      <c r="F48" s="109"/>
    </row>
    <row r="49" spans="1:6">
      <c r="A49" s="213" t="s">
        <v>558</v>
      </c>
      <c r="B49" s="216" t="s">
        <v>398</v>
      </c>
      <c r="F49" s="109"/>
    </row>
    <row r="50" spans="1:6">
      <c r="B50" s="317" t="s">
        <v>525</v>
      </c>
      <c r="C50" s="317"/>
      <c r="D50" s="317"/>
      <c r="F50" s="109"/>
    </row>
    <row r="51" spans="1:6">
      <c r="A51" s="217"/>
      <c r="B51" s="317"/>
      <c r="C51" s="317"/>
      <c r="D51" s="317"/>
      <c r="F51" s="109"/>
    </row>
    <row r="52" spans="1:6">
      <c r="B52" s="15" t="s">
        <v>551</v>
      </c>
      <c r="F52" s="109"/>
    </row>
    <row r="53" spans="1:6">
      <c r="B53" s="114" t="s">
        <v>554</v>
      </c>
      <c r="C53" s="111" t="str">
        <f>IF(AND($D$53&lt;&gt;"",$D$54&lt;&gt;""),"Error, pick 1 only","")</f>
        <v/>
      </c>
      <c r="D53" s="138">
        <v>1.2</v>
      </c>
      <c r="F53" s="109"/>
    </row>
    <row r="54" spans="1:6">
      <c r="B54" s="114" t="s">
        <v>555</v>
      </c>
      <c r="C54" s="111" t="str">
        <f>IF(AND($D$53&lt;&gt;"",$D$54&lt;&gt;""),"Error, pick 1 only","")</f>
        <v/>
      </c>
      <c r="D54" s="138"/>
      <c r="F54" s="109"/>
    </row>
    <row r="55" spans="1:6">
      <c r="F55" s="109"/>
    </row>
    <row r="56" spans="1:6">
      <c r="B56" s="15" t="s">
        <v>552</v>
      </c>
      <c r="D56" s="263" t="s">
        <v>549</v>
      </c>
      <c r="E56" s="263" t="s">
        <v>550</v>
      </c>
      <c r="F56" s="109"/>
    </row>
    <row r="57" spans="1:6">
      <c r="B57" s="210" t="s">
        <v>553</v>
      </c>
      <c r="D57" s="29">
        <f>IF(D53&lt;&gt;"",D53,"")</f>
        <v>1.2</v>
      </c>
      <c r="E57" s="29" t="str">
        <f>IF(D54&lt;&gt;"",Base_ROC*D54,"")</f>
        <v/>
      </c>
      <c r="F57" s="109"/>
    </row>
    <row r="58" spans="1:6">
      <c r="A58" s="92"/>
      <c r="B58" s="261" t="s">
        <v>190</v>
      </c>
      <c r="D58" s="29">
        <f>IF(D53&lt;&gt;"",D53/Base_ROC,"")</f>
        <v>22.338359574145578</v>
      </c>
      <c r="E58" s="29" t="str">
        <f>IF(D54&lt;&gt;"",D54,"")</f>
        <v/>
      </c>
      <c r="F58" s="105"/>
    </row>
    <row r="59" spans="1:6">
      <c r="A59" s="212"/>
      <c r="F59" s="109"/>
    </row>
    <row r="60" spans="1:6">
      <c r="A60" s="92"/>
      <c r="B60" s="214" t="s">
        <v>197</v>
      </c>
      <c r="C60" s="155"/>
      <c r="D60" s="155"/>
      <c r="F60" s="109"/>
    </row>
    <row r="61" spans="1:6">
      <c r="A61" s="92"/>
      <c r="B61" s="114" t="s">
        <v>530</v>
      </c>
      <c r="C61" s="111"/>
      <c r="D61" s="218">
        <v>0.3</v>
      </c>
      <c r="F61" s="225"/>
    </row>
    <row r="62" spans="1:6" ht="16.5" thickBot="1">
      <c r="A62" s="92"/>
      <c r="B62" s="15" t="s">
        <v>531</v>
      </c>
      <c r="D62" s="30">
        <f>Terminal_Ebit_g/D61</f>
        <v>5.8233333333333331E-2</v>
      </c>
      <c r="F62" s="105"/>
    </row>
    <row r="63" spans="1:6" ht="16.5" thickTop="1">
      <c r="F63" s="109"/>
    </row>
    <row r="64" spans="1:6">
      <c r="A64" s="92">
        <v>3</v>
      </c>
      <c r="B64" s="21" t="s">
        <v>394</v>
      </c>
      <c r="F64" s="109"/>
    </row>
    <row r="65" spans="1:6">
      <c r="A65" s="92"/>
      <c r="B65" s="114" t="s">
        <v>351</v>
      </c>
    </row>
    <row r="66" spans="1:6">
      <c r="A66" s="92"/>
      <c r="B66" s="115" t="s">
        <v>447</v>
      </c>
      <c r="E66" s="225"/>
    </row>
    <row r="67" spans="1:6">
      <c r="A67" s="114"/>
      <c r="B67" s="15" t="s">
        <v>448</v>
      </c>
      <c r="C67" s="219">
        <f>(SUM(C68:C74)/28)</f>
        <v>0.14285714285714285</v>
      </c>
      <c r="D67" s="120" t="str">
        <f>IF(C67&gt;80%,"Very High",IF(C67&gt;60%,"High",IF(C67&gt;40%,"Medium",IF(C67&gt;20%,"Low","Very Low"))))</f>
        <v>Very Low</v>
      </c>
      <c r="E67" s="105"/>
    </row>
    <row r="68" spans="1:6">
      <c r="A68" s="114"/>
      <c r="B68" s="114" t="s">
        <v>449</v>
      </c>
      <c r="C68" s="220">
        <f t="shared" ref="C68:C74" si="0">IF(D68="Strongly agree",4,IF(D68="agree",3,IF(D68="disagree",1,IF(D68="Strongly disagree",0,2))))</f>
        <v>0</v>
      </c>
      <c r="D68" s="154" t="s">
        <v>450</v>
      </c>
      <c r="E68" s="109"/>
    </row>
    <row r="69" spans="1:6">
      <c r="A69" s="114"/>
      <c r="B69" s="114" t="s">
        <v>451</v>
      </c>
      <c r="C69" s="220">
        <f t="shared" si="0"/>
        <v>0</v>
      </c>
      <c r="D69" s="154" t="s">
        <v>450</v>
      </c>
      <c r="E69" s="109"/>
    </row>
    <row r="70" spans="1:6">
      <c r="A70" s="114"/>
      <c r="B70" s="114" t="s">
        <v>453</v>
      </c>
      <c r="C70" s="220">
        <f t="shared" si="0"/>
        <v>0</v>
      </c>
      <c r="D70" s="154" t="s">
        <v>450</v>
      </c>
      <c r="E70" s="109"/>
    </row>
    <row r="71" spans="1:6">
      <c r="A71" s="114"/>
      <c r="B71" s="114" t="s">
        <v>454</v>
      </c>
      <c r="C71" s="220">
        <f t="shared" si="0"/>
        <v>0</v>
      </c>
      <c r="D71" s="154" t="s">
        <v>450</v>
      </c>
      <c r="E71" s="109"/>
    </row>
    <row r="72" spans="1:6">
      <c r="A72" s="114"/>
      <c r="B72" s="114" t="s">
        <v>455</v>
      </c>
      <c r="C72" s="220">
        <f t="shared" si="0"/>
        <v>0</v>
      </c>
      <c r="D72" s="154" t="s">
        <v>450</v>
      </c>
      <c r="E72" s="109"/>
    </row>
    <row r="73" spans="1:6">
      <c r="A73" s="114"/>
      <c r="B73" s="114" t="s">
        <v>456</v>
      </c>
      <c r="C73" s="220">
        <f t="shared" si="0"/>
        <v>0</v>
      </c>
      <c r="D73" s="154" t="s">
        <v>450</v>
      </c>
      <c r="E73" s="109"/>
    </row>
    <row r="74" spans="1:6">
      <c r="A74" s="114"/>
      <c r="B74" s="114" t="s">
        <v>457</v>
      </c>
      <c r="C74" s="220">
        <f t="shared" si="0"/>
        <v>4</v>
      </c>
      <c r="D74" s="154" t="s">
        <v>452</v>
      </c>
      <c r="E74" s="225"/>
      <c r="F74" s="225"/>
    </row>
    <row r="75" spans="1:6">
      <c r="A75" s="114"/>
      <c r="E75" s="225"/>
      <c r="F75" s="105"/>
    </row>
    <row r="76" spans="1:6">
      <c r="A76" s="114"/>
      <c r="B76" s="15" t="s">
        <v>458</v>
      </c>
      <c r="C76" s="219">
        <f>(SUM(C77:C82)/24)</f>
        <v>0</v>
      </c>
      <c r="D76" s="120" t="str">
        <f>IF(C76&gt;80%,"Very High",IF(C76&gt;60%,"High",IF(C76&gt;40%,"Medium",IF(C76&gt;20%,"Low","Very Low"))))</f>
        <v>Very Low</v>
      </c>
      <c r="E76" s="105"/>
    </row>
    <row r="77" spans="1:6">
      <c r="A77" s="114"/>
      <c r="B77" s="114" t="s">
        <v>459</v>
      </c>
      <c r="C77" s="220">
        <f t="shared" ref="C77:C82" si="1">IF(D77="Strongly agree",4,IF(D77="agree",3,IF(D77="disagree",1,IF(D77="Strongly disagree",0,2))))</f>
        <v>0</v>
      </c>
      <c r="D77" s="154" t="s">
        <v>450</v>
      </c>
      <c r="E77" s="109"/>
    </row>
    <row r="78" spans="1:6">
      <c r="A78" s="114"/>
      <c r="B78" s="114" t="s">
        <v>460</v>
      </c>
      <c r="C78" s="220">
        <f t="shared" si="1"/>
        <v>0</v>
      </c>
      <c r="D78" s="154" t="s">
        <v>450</v>
      </c>
      <c r="E78" s="109"/>
    </row>
    <row r="79" spans="1:6">
      <c r="A79" s="92"/>
      <c r="B79" s="114" t="s">
        <v>462</v>
      </c>
      <c r="C79" s="220">
        <f t="shared" si="1"/>
        <v>0</v>
      </c>
      <c r="D79" s="154" t="s">
        <v>450</v>
      </c>
      <c r="E79" s="109"/>
    </row>
    <row r="80" spans="1:6">
      <c r="A80" s="114"/>
      <c r="B80" s="114" t="s">
        <v>463</v>
      </c>
      <c r="C80" s="220">
        <f t="shared" si="1"/>
        <v>0</v>
      </c>
      <c r="D80" s="154" t="s">
        <v>450</v>
      </c>
      <c r="E80" s="109"/>
    </row>
    <row r="81" spans="1:5">
      <c r="A81" s="114"/>
      <c r="B81" s="114" t="s">
        <v>464</v>
      </c>
      <c r="C81" s="220">
        <f t="shared" si="1"/>
        <v>0</v>
      </c>
      <c r="D81" s="154" t="s">
        <v>450</v>
      </c>
      <c r="E81" s="109"/>
    </row>
    <row r="82" spans="1:5">
      <c r="A82" s="114"/>
      <c r="B82" s="114" t="s">
        <v>465</v>
      </c>
      <c r="C82" s="220">
        <f t="shared" si="1"/>
        <v>0</v>
      </c>
      <c r="D82" s="154" t="s">
        <v>450</v>
      </c>
      <c r="E82" s="109"/>
    </row>
    <row r="83" spans="1:5">
      <c r="A83" s="114"/>
      <c r="E83" s="225"/>
    </row>
    <row r="84" spans="1:5">
      <c r="A84" s="114"/>
      <c r="B84" s="15" t="s">
        <v>466</v>
      </c>
      <c r="C84" s="219">
        <f>(SUM(C85:C92)/32)</f>
        <v>0.125</v>
      </c>
      <c r="D84" s="120" t="str">
        <f>IF(C84&gt;80%,"Very High",IF(C84&gt;60%,"High",IF(C84&gt;40%,"Medium",IF(C84&gt;20%,"Low","Very Low"))))</f>
        <v>Very Low</v>
      </c>
      <c r="E84" s="105"/>
    </row>
    <row r="85" spans="1:5">
      <c r="A85" s="114"/>
      <c r="B85" s="114" t="s">
        <v>467</v>
      </c>
      <c r="C85" s="220">
        <f t="shared" ref="C85:C92" si="2">IF(D85="Strongly agree",4,IF(D85="agree",3,IF(D85="disagree",1,IF(D85="Strongly disagree",0,2))))</f>
        <v>4</v>
      </c>
      <c r="D85" s="154" t="s">
        <v>452</v>
      </c>
      <c r="E85" s="109"/>
    </row>
    <row r="86" spans="1:5">
      <c r="A86" s="114"/>
      <c r="B86" s="114" t="s">
        <v>468</v>
      </c>
      <c r="C86" s="220">
        <f t="shared" si="2"/>
        <v>0</v>
      </c>
      <c r="D86" s="154" t="s">
        <v>450</v>
      </c>
      <c r="E86" s="109"/>
    </row>
    <row r="87" spans="1:5">
      <c r="A87" s="114"/>
      <c r="B87" s="114" t="s">
        <v>469</v>
      </c>
      <c r="C87" s="220">
        <f t="shared" si="2"/>
        <v>0</v>
      </c>
      <c r="D87" s="154" t="s">
        <v>450</v>
      </c>
      <c r="E87" s="109"/>
    </row>
    <row r="88" spans="1:5">
      <c r="A88" s="114"/>
      <c r="B88" s="114" t="s">
        <v>470</v>
      </c>
      <c r="C88" s="220">
        <f t="shared" si="2"/>
        <v>0</v>
      </c>
      <c r="D88" s="154" t="s">
        <v>450</v>
      </c>
      <c r="E88" s="109"/>
    </row>
    <row r="89" spans="1:5">
      <c r="A89" s="114"/>
      <c r="B89" s="210" t="s">
        <v>471</v>
      </c>
      <c r="C89" s="220">
        <f t="shared" si="2"/>
        <v>0</v>
      </c>
      <c r="D89" s="154" t="s">
        <v>450</v>
      </c>
      <c r="E89" s="109"/>
    </row>
    <row r="90" spans="1:5">
      <c r="A90" s="114"/>
      <c r="B90" s="210" t="s">
        <v>472</v>
      </c>
      <c r="C90" s="220">
        <f t="shared" si="2"/>
        <v>0</v>
      </c>
      <c r="D90" s="154" t="s">
        <v>450</v>
      </c>
      <c r="E90" s="109"/>
    </row>
    <row r="91" spans="1:5">
      <c r="A91" s="114"/>
      <c r="B91" s="210" t="s">
        <v>473</v>
      </c>
      <c r="C91" s="220">
        <f t="shared" si="2"/>
        <v>0</v>
      </c>
      <c r="D91" s="154" t="s">
        <v>450</v>
      </c>
      <c r="E91" s="109"/>
    </row>
    <row r="92" spans="1:5">
      <c r="A92" s="114"/>
      <c r="B92" s="210" t="s">
        <v>474</v>
      </c>
      <c r="C92" s="220">
        <f t="shared" si="2"/>
        <v>0</v>
      </c>
      <c r="D92" s="154" t="s">
        <v>450</v>
      </c>
      <c r="E92" s="109"/>
    </row>
    <row r="93" spans="1:5">
      <c r="A93" s="114"/>
      <c r="E93" s="225"/>
    </row>
    <row r="94" spans="1:5">
      <c r="A94" s="114"/>
      <c r="B94" s="15" t="s">
        <v>475</v>
      </c>
      <c r="C94" s="219">
        <f>(SUM(C95:C97)/12)</f>
        <v>0</v>
      </c>
      <c r="D94" s="120" t="str">
        <f>IF(C94&gt;80%,"Very High",IF(C94&gt;60%,"High",IF(C94&gt;40%,"Medium",IF(C94&gt;20%,"Low","Very Low"))))</f>
        <v>Very Low</v>
      </c>
      <c r="E94" s="105"/>
    </row>
    <row r="95" spans="1:5">
      <c r="A95" s="114"/>
      <c r="B95" s="114" t="s">
        <v>476</v>
      </c>
      <c r="C95" s="220">
        <f>IF(D95="Strongly agree",4,IF(D95="agree",3,IF(D95="disagree",1,IF(D95="Strongly disagree",0,2))))</f>
        <v>0</v>
      </c>
      <c r="D95" s="154" t="s">
        <v>450</v>
      </c>
      <c r="E95" s="109"/>
    </row>
    <row r="96" spans="1:5">
      <c r="A96" s="114"/>
      <c r="B96" s="114" t="s">
        <v>477</v>
      </c>
      <c r="C96" s="220">
        <f>IF(D96="Strongly agree",4,IF(D96="agree",3,IF(D96="disagree",1,IF(D96="Strongly disagree",0,2))))</f>
        <v>0</v>
      </c>
      <c r="D96" s="154" t="s">
        <v>450</v>
      </c>
      <c r="E96" s="109"/>
    </row>
    <row r="97" spans="1:5">
      <c r="A97" s="114"/>
      <c r="B97" s="114" t="s">
        <v>478</v>
      </c>
      <c r="C97" s="220">
        <f>IF(D97="Strongly agree",4,IF(D97="agree",3,IF(D97="disagree",1,IF(D97="Strongly disagree",0,2))))</f>
        <v>0</v>
      </c>
      <c r="D97" s="154" t="s">
        <v>450</v>
      </c>
      <c r="E97" s="109"/>
    </row>
    <row r="98" spans="1:5">
      <c r="A98" s="114"/>
      <c r="E98" s="225"/>
    </row>
    <row r="99" spans="1:5">
      <c r="A99" s="114"/>
      <c r="B99" s="15" t="s">
        <v>479</v>
      </c>
      <c r="C99" s="219">
        <f>(SUM(C100:C108)/36)</f>
        <v>0.63888888888888884</v>
      </c>
      <c r="D99" s="120" t="str">
        <f>IF(C99&gt;80%,"Very High",IF(C99&gt;60%,"High",IF(C99&gt;40%,"Medium",IF(C99&gt;20%,"Low","Very Low"))))</f>
        <v>High</v>
      </c>
      <c r="E99" s="105"/>
    </row>
    <row r="100" spans="1:5">
      <c r="A100" s="114"/>
      <c r="B100" s="114" t="s">
        <v>480</v>
      </c>
      <c r="C100" s="220">
        <f t="shared" ref="C100:C108" si="3">IF(D100="Strongly agree",4,IF(D100="agree",3,IF(D100="disagree",1,IF(D100="Strongly disagree",0,2))))</f>
        <v>3</v>
      </c>
      <c r="D100" s="154" t="s">
        <v>320</v>
      </c>
      <c r="E100" s="109"/>
    </row>
    <row r="101" spans="1:5">
      <c r="A101" s="114"/>
      <c r="B101" s="114" t="s">
        <v>481</v>
      </c>
      <c r="C101" s="220">
        <f t="shared" si="3"/>
        <v>0</v>
      </c>
      <c r="D101" s="154" t="s">
        <v>450</v>
      </c>
      <c r="E101" s="109"/>
    </row>
    <row r="102" spans="1:5">
      <c r="A102" s="114"/>
      <c r="B102" s="114" t="s">
        <v>482</v>
      </c>
      <c r="C102" s="220">
        <f t="shared" si="3"/>
        <v>4</v>
      </c>
      <c r="D102" s="154" t="s">
        <v>452</v>
      </c>
      <c r="E102" s="109"/>
    </row>
    <row r="103" spans="1:5">
      <c r="A103" s="114"/>
      <c r="B103" s="114" t="s">
        <v>483</v>
      </c>
      <c r="C103" s="220">
        <f t="shared" si="3"/>
        <v>4</v>
      </c>
      <c r="D103" s="154" t="s">
        <v>452</v>
      </c>
    </row>
    <row r="104" spans="1:5">
      <c r="A104" s="114"/>
      <c r="B104" s="114" t="s">
        <v>484</v>
      </c>
      <c r="C104" s="220">
        <f t="shared" si="3"/>
        <v>3</v>
      </c>
      <c r="D104" s="154" t="s">
        <v>320</v>
      </c>
    </row>
    <row r="105" spans="1:5">
      <c r="A105" s="114"/>
      <c r="B105" s="211" t="s">
        <v>485</v>
      </c>
      <c r="C105" s="220">
        <f t="shared" si="3"/>
        <v>1</v>
      </c>
      <c r="D105" s="154" t="s">
        <v>321</v>
      </c>
    </row>
    <row r="106" spans="1:5">
      <c r="A106" s="114"/>
      <c r="B106" s="114" t="s">
        <v>486</v>
      </c>
      <c r="C106" s="220">
        <f t="shared" si="3"/>
        <v>4</v>
      </c>
      <c r="D106" s="154" t="s">
        <v>452</v>
      </c>
    </row>
    <row r="107" spans="1:5">
      <c r="A107" s="114"/>
      <c r="B107" s="114" t="s">
        <v>487</v>
      </c>
      <c r="C107" s="220">
        <f t="shared" si="3"/>
        <v>4</v>
      </c>
      <c r="D107" s="154" t="s">
        <v>452</v>
      </c>
    </row>
    <row r="108" spans="1:5">
      <c r="A108" s="114"/>
      <c r="B108" s="114" t="s">
        <v>488</v>
      </c>
      <c r="C108" s="220">
        <f t="shared" si="3"/>
        <v>0</v>
      </c>
      <c r="D108" s="154" t="s">
        <v>450</v>
      </c>
    </row>
    <row r="109" spans="1:5">
      <c r="A109" s="114"/>
    </row>
    <row r="110" spans="1:5">
      <c r="A110" s="92"/>
      <c r="B110" s="15" t="s">
        <v>489</v>
      </c>
      <c r="C110" s="219">
        <f>AVERAGE(C76,C84,C94,C67,C99)</f>
        <v>0.18134920634920632</v>
      </c>
      <c r="D110" s="120" t="str">
        <f>IF(C110&gt;80%,"Very High",IF(C110&gt;60%,"High",IF(C110&gt;40%,"Medium",IF(C110&gt;20%,"Low","Very Low"))))</f>
        <v>Very Low</v>
      </c>
      <c r="E110" s="92" t="s">
        <v>575</v>
      </c>
    </row>
    <row r="111" spans="1:5" ht="16.5" thickBot="1">
      <c r="A111" s="92"/>
      <c r="B111" s="114" t="s">
        <v>352</v>
      </c>
      <c r="D111" s="120">
        <f>ROUND((1-C110)*10,0)</f>
        <v>8</v>
      </c>
      <c r="E111" s="146">
        <v>0.66666666666666674</v>
      </c>
    </row>
    <row r="112" spans="1:5" ht="16.5" thickTop="1"/>
  </sheetData>
  <mergeCells count="2">
    <mergeCell ref="B35:D36"/>
    <mergeCell ref="B50:D5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62D9B9-DD7B-4C58-AF40-768A6A7C3EAE}">
          <x14:formula1>
            <xm:f>Readme!$A$47:$A$51</xm:f>
          </x14:formula1>
          <xm:sqref>D68:D74 D77:D82 D85:D92 D95:D97 D100:D108</xm:sqref>
        </x14:dataValidation>
        <x14:dataValidation type="list" allowBlank="1" showInputMessage="1" showErrorMessage="1" xr:uid="{7E0803AF-E1BE-461A-920A-7BEC69D8C3B3}">
          <x14:formula1>
            <xm:f>Readme!$C$62:$C$66</xm:f>
          </x14:formula1>
          <xm:sqref>E31 F27 E111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P125"/>
  <sheetViews>
    <sheetView zoomScale="111" workbookViewId="0">
      <selection activeCell="E49" sqref="E49"/>
    </sheetView>
  </sheetViews>
  <sheetFormatPr defaultColWidth="13.375" defaultRowHeight="15.75"/>
  <cols>
    <col min="1" max="1" width="37.375" style="23" bestFit="1" customWidth="1"/>
    <col min="2" max="3" width="17.875" style="23" customWidth="1"/>
    <col min="4" max="4" width="20.875" style="23" customWidth="1"/>
    <col min="5" max="7" width="18.625" style="23" customWidth="1"/>
    <col min="8" max="9" width="13.875" style="23" bestFit="1" customWidth="1"/>
    <col min="10" max="10" width="18.625" style="23" bestFit="1" customWidth="1"/>
    <col min="11" max="16384" width="13.375" style="23"/>
  </cols>
  <sheetData>
    <row r="1" spans="1:6">
      <c r="A1" s="235" t="s">
        <v>397</v>
      </c>
      <c r="B1" s="236"/>
    </row>
    <row r="3" spans="1:6" ht="15" customHeight="1">
      <c r="A3" s="196" t="s">
        <v>426</v>
      </c>
    </row>
    <row r="4" spans="1:6" ht="15" customHeight="1">
      <c r="A4" s="23" t="s">
        <v>428</v>
      </c>
      <c r="B4" s="256">
        <v>1.7469999999999999E-2</v>
      </c>
      <c r="C4" s="150" t="s">
        <v>427</v>
      </c>
      <c r="D4" s="2" t="s">
        <v>201</v>
      </c>
    </row>
    <row r="5" spans="1:6" ht="15" customHeight="1">
      <c r="A5" s="23" t="s">
        <v>433</v>
      </c>
      <c r="B5" s="129">
        <v>5.8833999999999996E-3</v>
      </c>
      <c r="E5" s="108" t="s">
        <v>188</v>
      </c>
      <c r="F5" s="78"/>
    </row>
    <row r="6" spans="1:6" ht="15" customHeight="1">
      <c r="E6" s="207" t="s">
        <v>161</v>
      </c>
      <c r="F6" s="207" t="s">
        <v>162</v>
      </c>
    </row>
    <row r="7" spans="1:6" ht="15" customHeight="1">
      <c r="A7" s="237" t="s">
        <v>203</v>
      </c>
      <c r="B7" s="1"/>
      <c r="C7" s="1"/>
      <c r="D7" s="43"/>
      <c r="E7" s="207" t="s">
        <v>175</v>
      </c>
      <c r="F7" s="208">
        <v>0.01</v>
      </c>
    </row>
    <row r="8" spans="1:6" ht="15" customHeight="1">
      <c r="A8" s="239" t="s">
        <v>508</v>
      </c>
      <c r="B8" s="1"/>
      <c r="C8" s="2" t="s">
        <v>510</v>
      </c>
      <c r="E8" s="207" t="s">
        <v>174</v>
      </c>
      <c r="F8" s="208">
        <v>1.0999999999999999E-2</v>
      </c>
    </row>
    <row r="9" spans="1:6" ht="15" customHeight="1">
      <c r="A9" s="1" t="s">
        <v>511</v>
      </c>
      <c r="B9" s="206"/>
      <c r="C9" s="27">
        <f ca="1">E50</f>
        <v>0.12310766555707144</v>
      </c>
      <c r="E9" s="207" t="s">
        <v>173</v>
      </c>
      <c r="F9" s="208">
        <v>1.2500000000000001E-2</v>
      </c>
    </row>
    <row r="10" spans="1:6" ht="15" customHeight="1">
      <c r="A10" s="1" t="s">
        <v>542</v>
      </c>
      <c r="B10" s="206"/>
      <c r="C10" s="18">
        <v>0.09</v>
      </c>
      <c r="E10" s="207" t="s">
        <v>176</v>
      </c>
      <c r="F10" s="208">
        <v>8.0000000000000002E-3</v>
      </c>
    </row>
    <row r="11" spans="1:6" ht="15" customHeight="1">
      <c r="E11" s="207" t="s">
        <v>177</v>
      </c>
      <c r="F11" s="208">
        <v>6.0000000000000001E-3</v>
      </c>
    </row>
    <row r="12" spans="1:6" ht="15" customHeight="1">
      <c r="A12" s="13" t="s">
        <v>512</v>
      </c>
      <c r="B12" s="1"/>
      <c r="C12" s="27">
        <f>IF(C8="Cost of Capital",C9,C10)</f>
        <v>0.09</v>
      </c>
      <c r="E12" s="207" t="s">
        <v>169</v>
      </c>
      <c r="F12" s="208">
        <v>3.7499999999999999E-2</v>
      </c>
    </row>
    <row r="13" spans="1:6" ht="15" customHeight="1">
      <c r="A13" s="13"/>
      <c r="B13" s="1"/>
      <c r="C13" s="238"/>
      <c r="E13" s="207" t="s">
        <v>168</v>
      </c>
      <c r="F13" s="208">
        <v>4.4999999999999998E-2</v>
      </c>
    </row>
    <row r="14" spans="1:6" ht="15" customHeight="1">
      <c r="A14" s="239" t="s">
        <v>513</v>
      </c>
      <c r="B14" s="1"/>
      <c r="C14" s="209" t="s">
        <v>510</v>
      </c>
      <c r="E14" s="207" t="s">
        <v>167</v>
      </c>
      <c r="F14" s="208">
        <v>5.5E-2</v>
      </c>
    </row>
    <row r="15" spans="1:6" ht="15" customHeight="1">
      <c r="A15" s="1" t="s">
        <v>514</v>
      </c>
      <c r="B15" s="206"/>
      <c r="C15" s="159">
        <f ca="1">D67</f>
        <v>9.1811804999999996E-2</v>
      </c>
      <c r="E15" s="207" t="s">
        <v>171</v>
      </c>
      <c r="F15" s="208">
        <v>2.5000000000000001E-2</v>
      </c>
    </row>
    <row r="16" spans="1:6" ht="15" customHeight="1">
      <c r="A16" s="1" t="s">
        <v>542</v>
      </c>
      <c r="B16" s="206"/>
      <c r="C16" s="240">
        <f>Riskfree_rate+0.03</f>
        <v>4.7469999999999998E-2</v>
      </c>
      <c r="E16" s="207" t="s">
        <v>170</v>
      </c>
      <c r="F16" s="208">
        <v>0.03</v>
      </c>
    </row>
    <row r="17" spans="1:10" ht="15" customHeight="1">
      <c r="A17" s="1"/>
      <c r="B17" s="206"/>
      <c r="C17" s="238"/>
      <c r="E17" s="207" t="s">
        <v>172</v>
      </c>
      <c r="F17" s="208">
        <v>1.6E-2</v>
      </c>
    </row>
    <row r="18" spans="1:10" ht="15" customHeight="1">
      <c r="A18" s="22" t="s">
        <v>418</v>
      </c>
      <c r="C18" s="27">
        <f>IF(C14="Cost of Capital",C15,C16)</f>
        <v>4.7469999999999998E-2</v>
      </c>
      <c r="D18" s="43"/>
      <c r="E18" s="207" t="s">
        <v>166</v>
      </c>
      <c r="F18" s="208">
        <v>0.105</v>
      </c>
    </row>
    <row r="19" spans="1:10" ht="15" customHeight="1">
      <c r="E19" s="207" t="s">
        <v>165</v>
      </c>
      <c r="F19" s="208">
        <v>0.08</v>
      </c>
    </row>
    <row r="20" spans="1:10" ht="15" customHeight="1">
      <c r="A20" s="233" t="s">
        <v>231</v>
      </c>
      <c r="B20" s="234"/>
      <c r="E20" s="207" t="s">
        <v>164</v>
      </c>
      <c r="F20" s="208">
        <v>6.5000000000000002E-2</v>
      </c>
    </row>
    <row r="21" spans="1:10" ht="15" customHeight="1">
      <c r="A21" s="226" t="s">
        <v>229</v>
      </c>
    </row>
    <row r="22" spans="1:10" ht="15" customHeight="1">
      <c r="A22" s="229" t="s">
        <v>208</v>
      </c>
      <c r="D22" s="227" t="s">
        <v>214</v>
      </c>
    </row>
    <row r="23" spans="1:10" ht="15" customHeight="1">
      <c r="A23" s="203" t="s">
        <v>209</v>
      </c>
      <c r="B23" s="25">
        <v>0.98899999999999999</v>
      </c>
      <c r="D23" s="23" t="s">
        <v>215</v>
      </c>
      <c r="F23" s="24">
        <v>0</v>
      </c>
    </row>
    <row r="24" spans="1:10" ht="15" customHeight="1">
      <c r="A24" s="203" t="s">
        <v>221</v>
      </c>
      <c r="B24" s="204">
        <f ca="1">B23*(1+(1-Adj_Effective_T)*(C48/B48))</f>
        <v>1.2565648570848211</v>
      </c>
      <c r="D24" s="23" t="s">
        <v>216</v>
      </c>
      <c r="F24" s="24">
        <v>0</v>
      </c>
    </row>
    <row r="25" spans="1:10" ht="15" customHeight="1">
      <c r="A25" s="203" t="s">
        <v>210</v>
      </c>
      <c r="B25" s="129">
        <v>7.2999999999999995E-2</v>
      </c>
      <c r="D25" s="23" t="s">
        <v>217</v>
      </c>
      <c r="F25" s="24">
        <v>0</v>
      </c>
    </row>
    <row r="26" spans="1:10" ht="15" customHeight="1"/>
    <row r="27" spans="1:10" ht="15" customHeight="1">
      <c r="A27" s="22" t="s">
        <v>442</v>
      </c>
      <c r="B27" s="197">
        <f ca="1">B4+B24*B25</f>
        <v>0.10919923456719194</v>
      </c>
      <c r="D27" s="23" t="s">
        <v>440</v>
      </c>
      <c r="F27" s="197">
        <f>IF(F23=0,0,F25/F24)</f>
        <v>0</v>
      </c>
    </row>
    <row r="28" spans="1:10" ht="15" customHeight="1"/>
    <row r="29" spans="1:10" ht="15" customHeight="1">
      <c r="A29" s="229" t="s">
        <v>211</v>
      </c>
      <c r="J29" s="87"/>
    </row>
    <row r="30" spans="1:10" ht="15" customHeight="1">
      <c r="A30" s="23" t="s">
        <v>430</v>
      </c>
      <c r="B30" s="24" t="s">
        <v>0</v>
      </c>
      <c r="D30" s="228" t="s">
        <v>504</v>
      </c>
      <c r="J30" s="87"/>
    </row>
    <row r="31" spans="1:10" ht="15" customHeight="1">
      <c r="A31" s="23" t="s">
        <v>435</v>
      </c>
      <c r="B31" s="24"/>
      <c r="D31" s="23" t="s">
        <v>349</v>
      </c>
      <c r="F31" s="199">
        <f>'Master Inputs'!L14</f>
        <v>57001</v>
      </c>
      <c r="J31" s="88"/>
    </row>
    <row r="32" spans="1:10" ht="15" customHeight="1">
      <c r="D32" s="23" t="s">
        <v>212</v>
      </c>
      <c r="F32" s="199">
        <f>'Master Inputs'!G14</f>
        <v>2187</v>
      </c>
      <c r="J32" s="88"/>
    </row>
    <row r="33" spans="1:16" ht="15" customHeight="1">
      <c r="A33" s="23" t="s">
        <v>183</v>
      </c>
      <c r="B33" s="202">
        <v>1</v>
      </c>
      <c r="D33" s="23" t="s">
        <v>213</v>
      </c>
      <c r="F33" s="200">
        <v>0</v>
      </c>
    </row>
    <row r="34" spans="1:16" ht="15" customHeight="1">
      <c r="A34" s="201" t="s">
        <v>431</v>
      </c>
      <c r="B34" s="197">
        <f>D79</f>
        <v>0.17451740000000002</v>
      </c>
    </row>
    <row r="35" spans="1:16" ht="15" customHeight="1">
      <c r="A35" s="201" t="s">
        <v>434</v>
      </c>
      <c r="B35" s="197" t="str">
        <f>IF(B31&lt;&gt;"",B4+VLOOKUP(B31,E7:F20,2),"")</f>
        <v/>
      </c>
      <c r="D35" s="228" t="s">
        <v>441</v>
      </c>
      <c r="J35" s="88"/>
    </row>
    <row r="36" spans="1:16" ht="15" customHeight="1">
      <c r="A36" s="201" t="s">
        <v>360</v>
      </c>
      <c r="B36" s="129">
        <v>0.02</v>
      </c>
      <c r="D36" s="23" t="s">
        <v>439</v>
      </c>
      <c r="F36" s="24">
        <v>0</v>
      </c>
      <c r="J36" s="88"/>
    </row>
    <row r="37" spans="1:16" ht="15" customHeight="1">
      <c r="A37" s="23" t="s">
        <v>142</v>
      </c>
      <c r="B37" s="197">
        <f ca="1">INDIRECT(ADDRESS(ROW(B33)+B33,COLUMN(B33)))</f>
        <v>0.17451740000000002</v>
      </c>
      <c r="D37" s="23" t="s">
        <v>437</v>
      </c>
      <c r="F37" s="24">
        <v>0</v>
      </c>
      <c r="J37" s="88"/>
    </row>
    <row r="38" spans="1:16" ht="15" customHeight="1">
      <c r="D38" s="23" t="s">
        <v>438</v>
      </c>
      <c r="F38" s="24">
        <v>0</v>
      </c>
      <c r="J38" s="88"/>
    </row>
    <row r="39" spans="1:16" ht="15" customHeight="1">
      <c r="A39" s="22" t="s">
        <v>443</v>
      </c>
      <c r="B39" s="197">
        <f ca="1">B37*(1-Adj_Effective_T)</f>
        <v>0.17451740000000002</v>
      </c>
      <c r="D39" s="23" t="s">
        <v>436</v>
      </c>
      <c r="F39" s="24">
        <v>0</v>
      </c>
      <c r="J39" s="88"/>
      <c r="M39" s="43"/>
      <c r="N39" s="43"/>
      <c r="O39" s="43"/>
      <c r="P39" s="43"/>
    </row>
    <row r="40" spans="1:16" ht="15" customHeight="1">
      <c r="A40" s="43"/>
      <c r="B40" s="43"/>
      <c r="J40" s="88"/>
    </row>
    <row r="41" spans="1:16" ht="15" customHeight="1">
      <c r="J41" s="88"/>
    </row>
    <row r="42" spans="1:16" ht="15" customHeight="1">
      <c r="A42" s="51" t="s">
        <v>506</v>
      </c>
      <c r="J42" s="88"/>
    </row>
    <row r="43" spans="1:16" ht="15" customHeight="1">
      <c r="A43" s="42" t="s">
        <v>218</v>
      </c>
      <c r="B43" s="42"/>
      <c r="C43" s="82">
        <f ca="1">IF(Is_Listed="Listed",F32*(1-(1+B37)^(-F33))/B37+F31/(1+B37)^F33,F31)</f>
        <v>57001</v>
      </c>
      <c r="J43" s="88"/>
    </row>
    <row r="44" spans="1:16">
      <c r="A44" s="42" t="s">
        <v>219</v>
      </c>
      <c r="B44" s="42"/>
      <c r="C44" s="82">
        <f ca="1">F37*(1-(1+B37)^(-F38))/B37+F36/(1+B37)^F38</f>
        <v>0</v>
      </c>
      <c r="E44" s="88"/>
      <c r="J44" s="88"/>
    </row>
    <row r="45" spans="1:16">
      <c r="A45" s="42" t="s">
        <v>220</v>
      </c>
      <c r="B45" s="42"/>
      <c r="C45" s="82">
        <f ca="1">F39-C44</f>
        <v>0</v>
      </c>
      <c r="E45" s="88"/>
      <c r="J45" s="88"/>
    </row>
    <row r="46" spans="1:16">
      <c r="E46" s="88"/>
      <c r="J46" s="87"/>
    </row>
    <row r="47" spans="1:16">
      <c r="A47" s="43"/>
      <c r="B47" s="44" t="s">
        <v>208</v>
      </c>
      <c r="C47" s="44" t="s">
        <v>222</v>
      </c>
      <c r="D47" s="44" t="s">
        <v>214</v>
      </c>
      <c r="E47" s="44" t="s">
        <v>223</v>
      </c>
      <c r="J47" s="87"/>
    </row>
    <row r="48" spans="1:16">
      <c r="A48" s="42" t="s">
        <v>224</v>
      </c>
      <c r="B48" s="26">
        <f>IF(Is_Listed="Listed",(Current_Price*Num_of_Shares)/'Master Inputs'!C10,Adj!C24)</f>
        <v>210692.800296</v>
      </c>
      <c r="C48" s="26">
        <f ca="1">C43+C44</f>
        <v>57001</v>
      </c>
      <c r="D48" s="26">
        <f>F23*F24</f>
        <v>0</v>
      </c>
      <c r="E48" s="46">
        <f ca="1">SUM(B48:D48)</f>
        <v>267693.80029599997</v>
      </c>
      <c r="J48" s="89"/>
    </row>
    <row r="49" spans="1:16" ht="16.5" thickBot="1">
      <c r="A49" s="42" t="s">
        <v>225</v>
      </c>
      <c r="B49" s="47">
        <f ca="1">B48/$E$48</f>
        <v>0.7870664171640448</v>
      </c>
      <c r="C49" s="47">
        <f ca="1">MV_Debt/$E$48</f>
        <v>0.21293358283595534</v>
      </c>
      <c r="D49" s="47">
        <f ca="1">D48/$E$48</f>
        <v>0</v>
      </c>
      <c r="E49" s="48">
        <f ca="1">SUM(B49:D49)</f>
        <v>1.0000000000000002</v>
      </c>
      <c r="J49" s="89"/>
    </row>
    <row r="50" spans="1:16" ht="16.5" thickBot="1">
      <c r="A50" s="42" t="s">
        <v>226</v>
      </c>
      <c r="B50" s="45">
        <f ca="1">B27</f>
        <v>0.10919923456719194</v>
      </c>
      <c r="C50" s="47">
        <f ca="1">B39</f>
        <v>0.17451740000000002</v>
      </c>
      <c r="D50" s="49">
        <f>F27</f>
        <v>0</v>
      </c>
      <c r="E50" s="50">
        <f ca="1">B49*B50+C49*C50+D49*D50</f>
        <v>0.12310766555707144</v>
      </c>
      <c r="M50" s="43"/>
      <c r="N50" s="43"/>
      <c r="O50" s="43"/>
      <c r="P50" s="43"/>
    </row>
    <row r="51" spans="1:16">
      <c r="J51" s="43"/>
      <c r="K51" s="43"/>
      <c r="L51" s="43"/>
    </row>
    <row r="52" spans="1:16">
      <c r="A52" s="226" t="s">
        <v>228</v>
      </c>
    </row>
    <row r="53" spans="1:16">
      <c r="A53" s="229" t="s">
        <v>208</v>
      </c>
      <c r="E53" s="205"/>
    </row>
    <row r="54" spans="1:16">
      <c r="A54" s="23" t="s">
        <v>429</v>
      </c>
      <c r="B54" s="198">
        <v>1</v>
      </c>
    </row>
    <row r="55" spans="1:16">
      <c r="A55" s="23" t="s">
        <v>230</v>
      </c>
      <c r="B55" s="129">
        <v>7.0000000000000007E-2</v>
      </c>
    </row>
    <row r="56" spans="1:16">
      <c r="J56" s="89"/>
    </row>
    <row r="57" spans="1:16">
      <c r="A57" s="22" t="s">
        <v>227</v>
      </c>
      <c r="B57" s="197">
        <f>Riskfree_rate+B54*B55</f>
        <v>8.7470000000000006E-2</v>
      </c>
      <c r="J57" s="89"/>
    </row>
    <row r="58" spans="1:16">
      <c r="J58" s="89"/>
    </row>
    <row r="59" spans="1:16">
      <c r="A59" s="229" t="s">
        <v>211</v>
      </c>
      <c r="J59" s="89"/>
    </row>
    <row r="60" spans="1:16">
      <c r="A60" s="23" t="s">
        <v>505</v>
      </c>
      <c r="B60" s="129">
        <v>0.1</v>
      </c>
      <c r="J60" s="89"/>
    </row>
    <row r="61" spans="1:16">
      <c r="J61" s="89"/>
    </row>
    <row r="62" spans="1:16">
      <c r="A62" s="13" t="s">
        <v>444</v>
      </c>
      <c r="B62" s="197">
        <f ca="1">B37*(1-Marginal_TaxRate)</f>
        <v>0.13088805000000001</v>
      </c>
      <c r="J62" s="89"/>
    </row>
    <row r="63" spans="1:16">
      <c r="I63" s="87"/>
      <c r="J63" s="89"/>
    </row>
    <row r="64" spans="1:16">
      <c r="A64" s="51" t="s">
        <v>507</v>
      </c>
      <c r="I64" s="88"/>
      <c r="J64" s="90"/>
    </row>
    <row r="65" spans="1:10">
      <c r="B65" s="44" t="s">
        <v>208</v>
      </c>
      <c r="C65" s="44" t="s">
        <v>222</v>
      </c>
      <c r="D65" s="44" t="s">
        <v>223</v>
      </c>
      <c r="I65" s="88"/>
      <c r="J65" s="87"/>
    </row>
    <row r="66" spans="1:10">
      <c r="A66" s="42" t="s">
        <v>225</v>
      </c>
      <c r="B66" s="45">
        <f>1-B60</f>
        <v>0.9</v>
      </c>
      <c r="C66" s="45">
        <f>B60</f>
        <v>0.1</v>
      </c>
      <c r="D66" s="45">
        <f>B66+C66</f>
        <v>1</v>
      </c>
      <c r="I66" s="88"/>
      <c r="J66" s="87"/>
    </row>
    <row r="67" spans="1:10">
      <c r="A67" s="42" t="s">
        <v>226</v>
      </c>
      <c r="B67" s="45">
        <f>B57</f>
        <v>8.7470000000000006E-2</v>
      </c>
      <c r="C67" s="45">
        <f ca="1">B62</f>
        <v>0.13088805000000001</v>
      </c>
      <c r="D67" s="45">
        <f ca="1">B67*B66+C67*C66</f>
        <v>9.1811804999999996E-2</v>
      </c>
      <c r="E67" s="43"/>
      <c r="I67" s="88"/>
      <c r="J67" s="87"/>
    </row>
    <row r="68" spans="1:10">
      <c r="I68" s="88"/>
      <c r="J68" s="91"/>
    </row>
    <row r="69" spans="1:10">
      <c r="I69" s="88"/>
      <c r="J69" s="91"/>
    </row>
    <row r="70" spans="1:10">
      <c r="A70" s="231" t="s">
        <v>146</v>
      </c>
      <c r="B70" s="232"/>
      <c r="C70" s="232"/>
      <c r="D70" s="230"/>
      <c r="E70" s="230"/>
      <c r="F70" s="230"/>
      <c r="G70" s="230"/>
      <c r="H70" s="230"/>
      <c r="I70" s="230"/>
      <c r="J70" s="230"/>
    </row>
    <row r="71" spans="1:10">
      <c r="A71" s="55" t="s">
        <v>147</v>
      </c>
      <c r="B71" s="52"/>
      <c r="C71" s="52"/>
      <c r="D71" s="52"/>
      <c r="E71" s="52"/>
      <c r="F71" s="52"/>
      <c r="G71" s="52"/>
      <c r="H71" s="52"/>
      <c r="I71" s="52"/>
      <c r="J71" s="52"/>
    </row>
    <row r="72" spans="1:10" ht="16.5" thickBot="1">
      <c r="A72" s="53" t="s">
        <v>148</v>
      </c>
      <c r="B72" s="54"/>
      <c r="C72" s="54"/>
      <c r="D72" s="54"/>
      <c r="E72" s="54"/>
      <c r="F72" s="54"/>
      <c r="G72" s="54"/>
      <c r="H72" s="54"/>
      <c r="I72" s="54"/>
      <c r="J72" s="54"/>
    </row>
    <row r="73" spans="1:10" ht="16.5" thickBot="1">
      <c r="A73" s="56" t="s">
        <v>149</v>
      </c>
      <c r="B73" s="56"/>
      <c r="C73" s="57">
        <f>IF(B30="Large cap", 1,IF(B30="Small cap",2,3))</f>
        <v>1</v>
      </c>
      <c r="D73" s="56" t="s">
        <v>180</v>
      </c>
      <c r="E73" s="56"/>
      <c r="F73" s="56"/>
      <c r="G73" s="56"/>
      <c r="H73" s="56"/>
      <c r="I73" s="56"/>
      <c r="J73" s="56"/>
    </row>
    <row r="74" spans="1:10" ht="16.5" thickBot="1">
      <c r="A74" s="55" t="s">
        <v>25</v>
      </c>
      <c r="B74" s="56"/>
      <c r="C74" s="56"/>
      <c r="D74" s="56"/>
      <c r="E74" s="56"/>
      <c r="F74" s="56"/>
      <c r="G74" s="56"/>
      <c r="H74" s="56"/>
      <c r="I74" s="56"/>
      <c r="J74" s="56"/>
    </row>
    <row r="75" spans="1:10" ht="16.5" thickBot="1">
      <c r="A75" s="55" t="s">
        <v>432</v>
      </c>
      <c r="B75" s="56"/>
      <c r="C75" s="56"/>
      <c r="D75" s="58">
        <f>IF(Cur_InterestExpense=0,1000000,IF(Cur_BvEbit&lt;0,-100000,Adj_Ebit/Cur_InterestExpense))</f>
        <v>-100000</v>
      </c>
      <c r="E75" s="56"/>
      <c r="F75" s="56"/>
      <c r="G75" s="56"/>
      <c r="H75" s="56"/>
      <c r="I75" s="56"/>
      <c r="J75" s="56"/>
    </row>
    <row r="76" spans="1:10" ht="16.5" thickBot="1">
      <c r="A76" s="56" t="s">
        <v>150</v>
      </c>
      <c r="B76" s="56"/>
      <c r="C76" s="56"/>
      <c r="D76" s="59" t="str">
        <f>IF(C73=1,VLOOKUP(D75,A85:D99,3),(IF(C73=2,VLOOKUP(D75,A104:D118,3),VLOOKUP(D75,F85:I99,3))))</f>
        <v>D2/D</v>
      </c>
      <c r="E76" s="56"/>
      <c r="F76" s="54" t="s">
        <v>151</v>
      </c>
      <c r="G76" s="56"/>
      <c r="H76" s="56"/>
      <c r="I76" s="56"/>
      <c r="J76" s="56"/>
    </row>
    <row r="77" spans="1:10" ht="16.5" thickBot="1">
      <c r="A77" s="56" t="s">
        <v>152</v>
      </c>
      <c r="B77" s="56"/>
      <c r="C77" s="56"/>
      <c r="D77" s="60">
        <f>IF(C73=1,VLOOKUP(D75,A85:D99,4),(IF(C73=2,VLOOKUP(D75,A104:D118,4),VLOOKUP(D75,F85:I99,4))))</f>
        <v>0.15116399999999999</v>
      </c>
      <c r="E77" s="56"/>
      <c r="F77" s="54" t="s">
        <v>153</v>
      </c>
      <c r="G77" s="56"/>
      <c r="H77" s="56"/>
      <c r="I77" s="56"/>
      <c r="J77" s="56"/>
    </row>
    <row r="78" spans="1:10" ht="16.5" thickBot="1">
      <c r="A78" s="56" t="s">
        <v>154</v>
      </c>
      <c r="B78" s="56"/>
      <c r="C78" s="56"/>
      <c r="D78" s="60">
        <f>B5</f>
        <v>5.8833999999999996E-3</v>
      </c>
      <c r="E78" s="56"/>
      <c r="F78" s="54"/>
      <c r="G78" s="56"/>
      <c r="H78" s="56"/>
      <c r="I78" s="56"/>
      <c r="J78" s="56"/>
    </row>
    <row r="79" spans="1:10" ht="16.5" thickBot="1">
      <c r="A79" s="55" t="s">
        <v>155</v>
      </c>
      <c r="B79" s="56"/>
      <c r="C79" s="56"/>
      <c r="D79" s="61">
        <f>Riskfree_rate+D77+D78</f>
        <v>0.17451740000000002</v>
      </c>
      <c r="E79" s="56"/>
      <c r="F79" s="56"/>
      <c r="G79" s="56"/>
      <c r="H79" s="56"/>
      <c r="I79" s="56"/>
      <c r="J79" s="56"/>
    </row>
    <row r="80" spans="1:10">
      <c r="A80" s="56"/>
      <c r="B80" s="56"/>
      <c r="C80" s="56"/>
      <c r="D80" s="62"/>
      <c r="E80" s="56"/>
      <c r="F80" s="56"/>
      <c r="G80" s="56"/>
      <c r="H80" s="56"/>
      <c r="I80" s="56"/>
      <c r="J80" s="56"/>
    </row>
    <row r="81" spans="1:10">
      <c r="A81" s="54" t="s">
        <v>156</v>
      </c>
      <c r="B81" s="54"/>
      <c r="C81" s="54"/>
      <c r="D81" s="63"/>
      <c r="E81" s="54"/>
      <c r="F81" s="54"/>
      <c r="G81" s="54"/>
      <c r="H81" s="54"/>
      <c r="I81" s="54"/>
      <c r="J81" s="54"/>
    </row>
    <row r="82" spans="1:10">
      <c r="A82" s="55" t="s">
        <v>157</v>
      </c>
      <c r="B82" s="56"/>
      <c r="C82" s="56"/>
      <c r="D82" s="56"/>
      <c r="E82" s="56"/>
      <c r="F82" s="64" t="s">
        <v>181</v>
      </c>
      <c r="G82" s="65"/>
      <c r="H82" s="65"/>
      <c r="I82" s="65"/>
      <c r="J82" s="56"/>
    </row>
    <row r="83" spans="1:10">
      <c r="A83" s="66" t="s">
        <v>158</v>
      </c>
      <c r="B83" s="66"/>
      <c r="C83" s="67"/>
      <c r="D83" s="67"/>
      <c r="E83" s="56"/>
      <c r="F83" s="68" t="s">
        <v>182</v>
      </c>
      <c r="G83" s="69"/>
      <c r="H83" s="65"/>
      <c r="I83" s="65"/>
      <c r="J83" s="56"/>
    </row>
    <row r="84" spans="1:10">
      <c r="A84" s="70" t="s">
        <v>159</v>
      </c>
      <c r="B84" s="70" t="s">
        <v>160</v>
      </c>
      <c r="C84" s="70" t="s">
        <v>161</v>
      </c>
      <c r="D84" s="70" t="s">
        <v>162</v>
      </c>
      <c r="E84" s="56"/>
      <c r="F84" s="71" t="s">
        <v>179</v>
      </c>
      <c r="G84" s="71" t="s">
        <v>160</v>
      </c>
      <c r="H84" s="71" t="s">
        <v>161</v>
      </c>
      <c r="I84" s="71" t="s">
        <v>162</v>
      </c>
      <c r="J84" s="56"/>
    </row>
    <row r="85" spans="1:10">
      <c r="A85" s="72">
        <v>-100000</v>
      </c>
      <c r="B85" s="72">
        <v>0.19999900000000001</v>
      </c>
      <c r="C85" s="72" t="s">
        <v>163</v>
      </c>
      <c r="D85" s="73">
        <v>0.15116399999999999</v>
      </c>
      <c r="E85" s="56"/>
      <c r="F85" s="71">
        <v>-100000</v>
      </c>
      <c r="G85" s="71">
        <v>4.9999000000000002E-2</v>
      </c>
      <c r="H85" s="71" t="s">
        <v>163</v>
      </c>
      <c r="I85" s="74">
        <v>0.19384615384615386</v>
      </c>
      <c r="J85" s="56"/>
    </row>
    <row r="86" spans="1:10">
      <c r="A86" s="72">
        <v>0.2</v>
      </c>
      <c r="B86" s="72">
        <v>0.64999899999999999</v>
      </c>
      <c r="C86" s="72" t="s">
        <v>164</v>
      </c>
      <c r="D86" s="73">
        <v>0.113412</v>
      </c>
      <c r="E86" s="56"/>
      <c r="F86" s="71">
        <v>0.05</v>
      </c>
      <c r="G86" s="71">
        <v>9.9999000000000005E-2</v>
      </c>
      <c r="H86" s="71" t="s">
        <v>166</v>
      </c>
      <c r="I86" s="74">
        <v>0.14538461538461536</v>
      </c>
      <c r="J86" s="56"/>
    </row>
    <row r="87" spans="1:10">
      <c r="A87" s="72">
        <v>0.65</v>
      </c>
      <c r="B87" s="72">
        <v>0.79999900000000002</v>
      </c>
      <c r="C87" s="72" t="s">
        <v>165</v>
      </c>
      <c r="D87" s="73">
        <v>8.6424000000000001E-2</v>
      </c>
      <c r="E87" s="56"/>
      <c r="F87" s="71">
        <v>0.1</v>
      </c>
      <c r="G87" s="71">
        <v>0.19999900000000001</v>
      </c>
      <c r="H87" s="71" t="s">
        <v>165</v>
      </c>
      <c r="I87" s="74">
        <v>0.11076923076923077</v>
      </c>
      <c r="J87" s="56"/>
    </row>
    <row r="88" spans="1:10">
      <c r="A88" s="72">
        <v>0.8</v>
      </c>
      <c r="B88" s="72">
        <v>1.2499990000000001</v>
      </c>
      <c r="C88" s="72" t="s">
        <v>166</v>
      </c>
      <c r="D88" s="73">
        <v>8.2000000000000003E-2</v>
      </c>
      <c r="E88" s="56"/>
      <c r="F88" s="71">
        <v>0.2</v>
      </c>
      <c r="G88" s="71">
        <v>0.29999900000000002</v>
      </c>
      <c r="H88" s="71" t="s">
        <v>164</v>
      </c>
      <c r="I88" s="74">
        <v>0.09</v>
      </c>
      <c r="J88" s="56"/>
    </row>
    <row r="89" spans="1:10">
      <c r="A89" s="72">
        <v>1.25</v>
      </c>
      <c r="B89" s="72">
        <v>1.4999990000000001</v>
      </c>
      <c r="C89" s="72" t="s">
        <v>167</v>
      </c>
      <c r="D89" s="73">
        <v>5.1480000000000005E-2</v>
      </c>
      <c r="E89" s="56"/>
      <c r="F89" s="71">
        <v>0.3</v>
      </c>
      <c r="G89" s="71">
        <v>0.39999899999999999</v>
      </c>
      <c r="H89" s="71" t="s">
        <v>167</v>
      </c>
      <c r="I89" s="74">
        <v>6.6000000000000003E-2</v>
      </c>
      <c r="J89" s="56"/>
    </row>
    <row r="90" spans="1:10">
      <c r="A90" s="72">
        <v>1.5</v>
      </c>
      <c r="B90" s="72">
        <v>1.7499990000000001</v>
      </c>
      <c r="C90" s="72" t="s">
        <v>168</v>
      </c>
      <c r="D90" s="73">
        <v>4.2119999999999998E-2</v>
      </c>
      <c r="E90" s="56"/>
      <c r="F90" s="71">
        <v>0.4</v>
      </c>
      <c r="G90" s="71">
        <v>0.49999900000000003</v>
      </c>
      <c r="H90" s="71" t="s">
        <v>168</v>
      </c>
      <c r="I90" s="74">
        <v>5.3999999999999999E-2</v>
      </c>
      <c r="J90" s="56"/>
    </row>
    <row r="91" spans="1:10">
      <c r="A91" s="72">
        <v>1.75</v>
      </c>
      <c r="B91" s="72">
        <v>1.9999990000000001</v>
      </c>
      <c r="C91" s="72" t="s">
        <v>169</v>
      </c>
      <c r="D91" s="73">
        <v>3.5099999999999999E-2</v>
      </c>
      <c r="E91" s="56"/>
      <c r="F91" s="71">
        <v>0.5</v>
      </c>
      <c r="G91" s="71">
        <v>0.59999899999999995</v>
      </c>
      <c r="H91" s="71" t="s">
        <v>169</v>
      </c>
      <c r="I91" s="74">
        <v>4.4999999999999998E-2</v>
      </c>
      <c r="J91" s="56"/>
    </row>
    <row r="92" spans="1:10">
      <c r="A92" s="72">
        <v>2</v>
      </c>
      <c r="B92" s="72">
        <v>2.2499999000000002</v>
      </c>
      <c r="C92" s="72" t="s">
        <v>170</v>
      </c>
      <c r="D92" s="73">
        <v>2.4E-2</v>
      </c>
      <c r="E92" s="56"/>
      <c r="F92" s="71">
        <v>0.6</v>
      </c>
      <c r="G92" s="71">
        <v>0.74999899999999997</v>
      </c>
      <c r="H92" s="71" t="s">
        <v>170</v>
      </c>
      <c r="I92" s="74">
        <v>3.5999999999999997E-2</v>
      </c>
      <c r="J92" s="56"/>
    </row>
    <row r="93" spans="1:10">
      <c r="A93" s="72">
        <v>2.25</v>
      </c>
      <c r="B93" s="72">
        <v>2.4999899999999999</v>
      </c>
      <c r="C93" s="72" t="s">
        <v>171</v>
      </c>
      <c r="D93" s="73">
        <v>0.02</v>
      </c>
      <c r="E93" s="56"/>
      <c r="F93" s="71">
        <v>0.75</v>
      </c>
      <c r="G93" s="71">
        <v>0.89999899999999999</v>
      </c>
      <c r="H93" s="71" t="s">
        <v>171</v>
      </c>
      <c r="I93" s="74">
        <v>0.03</v>
      </c>
      <c r="J93" s="56"/>
    </row>
    <row r="94" spans="1:10">
      <c r="A94" s="72">
        <v>2.5</v>
      </c>
      <c r="B94" s="72">
        <v>2.9999989999999999</v>
      </c>
      <c r="C94" s="72" t="s">
        <v>172</v>
      </c>
      <c r="D94" s="73">
        <v>1.5600000000000001E-2</v>
      </c>
      <c r="E94" s="56"/>
      <c r="F94" s="71">
        <v>0.9</v>
      </c>
      <c r="G94" s="71">
        <v>1.199999</v>
      </c>
      <c r="H94" s="71" t="s">
        <v>172</v>
      </c>
      <c r="I94" s="74">
        <v>0.02</v>
      </c>
      <c r="J94" s="56"/>
    </row>
    <row r="95" spans="1:10">
      <c r="A95" s="72">
        <v>3</v>
      </c>
      <c r="B95" s="72">
        <v>4.2499989999999999</v>
      </c>
      <c r="C95" s="72" t="s">
        <v>173</v>
      </c>
      <c r="D95" s="73">
        <v>1.2168E-2</v>
      </c>
      <c r="E95" s="56"/>
      <c r="F95" s="71">
        <v>1.2</v>
      </c>
      <c r="G95" s="71">
        <v>1.4999899999999999</v>
      </c>
      <c r="H95" s="71" t="s">
        <v>173</v>
      </c>
      <c r="I95" s="74">
        <v>1.5625E-2</v>
      </c>
      <c r="J95" s="56"/>
    </row>
    <row r="96" spans="1:10">
      <c r="A96" s="72">
        <v>4.25</v>
      </c>
      <c r="B96" s="72">
        <v>5.4999989999999999</v>
      </c>
      <c r="C96" s="72" t="s">
        <v>174</v>
      </c>
      <c r="D96" s="73">
        <v>1.0764000000000001E-2</v>
      </c>
      <c r="E96" s="56"/>
      <c r="F96" s="71">
        <v>1.5</v>
      </c>
      <c r="G96" s="71">
        <v>1.9999899999999999</v>
      </c>
      <c r="H96" s="71" t="s">
        <v>174</v>
      </c>
      <c r="I96" s="74">
        <v>1.3749999999999998E-2</v>
      </c>
      <c r="J96" s="56"/>
    </row>
    <row r="97" spans="1:10">
      <c r="A97" s="72">
        <v>5.5</v>
      </c>
      <c r="B97" s="72">
        <v>6.4999989999999999</v>
      </c>
      <c r="C97" s="72" t="s">
        <v>175</v>
      </c>
      <c r="D97" s="73">
        <v>9.7500000000000017E-3</v>
      </c>
      <c r="E97" s="56"/>
      <c r="F97" s="71">
        <v>2</v>
      </c>
      <c r="G97" s="71">
        <v>2.4999899999999999</v>
      </c>
      <c r="H97" s="71" t="s">
        <v>175</v>
      </c>
      <c r="I97" s="74">
        <v>1.2500000000000001E-2</v>
      </c>
      <c r="J97" s="56"/>
    </row>
    <row r="98" spans="1:10">
      <c r="A98" s="72">
        <v>6.5</v>
      </c>
      <c r="B98" s="72">
        <v>8.4999990000000007</v>
      </c>
      <c r="C98" s="72" t="s">
        <v>176</v>
      </c>
      <c r="D98" s="73">
        <v>7.8000000000000005E-3</v>
      </c>
      <c r="E98" s="56"/>
      <c r="F98" s="71">
        <v>2.5</v>
      </c>
      <c r="G98" s="71">
        <v>2.9999899999999999</v>
      </c>
      <c r="H98" s="71" t="s">
        <v>176</v>
      </c>
      <c r="I98" s="74">
        <v>0.01</v>
      </c>
      <c r="J98" s="56"/>
    </row>
    <row r="99" spans="1:10">
      <c r="A99" s="75">
        <v>8.5</v>
      </c>
      <c r="B99" s="72">
        <v>100000</v>
      </c>
      <c r="C99" s="72" t="s">
        <v>177</v>
      </c>
      <c r="D99" s="73">
        <v>6.3E-3</v>
      </c>
      <c r="E99" s="56"/>
      <c r="F99" s="71">
        <v>3</v>
      </c>
      <c r="G99" s="71">
        <v>100000</v>
      </c>
      <c r="H99" s="71" t="s">
        <v>177</v>
      </c>
      <c r="I99" s="74">
        <v>7.4999999999999997E-3</v>
      </c>
      <c r="J99" s="56"/>
    </row>
    <row r="100" spans="1:10">
      <c r="A100" s="56"/>
      <c r="B100" s="56"/>
      <c r="C100" s="56"/>
      <c r="D100" s="56"/>
      <c r="E100" s="56"/>
      <c r="F100" s="56"/>
      <c r="G100" s="56"/>
      <c r="H100" s="56"/>
      <c r="I100" s="56"/>
      <c r="J100" s="56"/>
    </row>
    <row r="101" spans="1:10">
      <c r="A101" s="55" t="s">
        <v>178</v>
      </c>
      <c r="B101" s="56"/>
      <c r="C101" s="56"/>
      <c r="D101" s="56"/>
      <c r="E101" s="56"/>
      <c r="F101" s="56"/>
      <c r="G101" s="56"/>
      <c r="H101" s="56"/>
      <c r="I101" s="56"/>
      <c r="J101" s="56"/>
    </row>
    <row r="102" spans="1:10">
      <c r="A102" s="66" t="s">
        <v>158</v>
      </c>
      <c r="B102" s="76"/>
      <c r="C102" s="72"/>
      <c r="D102" s="72"/>
      <c r="E102" s="56"/>
      <c r="F102" s="56"/>
      <c r="G102" s="56"/>
      <c r="H102" s="56"/>
      <c r="I102" s="56"/>
      <c r="J102" s="56"/>
    </row>
    <row r="103" spans="1:10">
      <c r="A103" s="72" t="s">
        <v>179</v>
      </c>
      <c r="B103" s="72" t="s">
        <v>160</v>
      </c>
      <c r="C103" s="72" t="s">
        <v>161</v>
      </c>
      <c r="D103" s="72" t="s">
        <v>162</v>
      </c>
      <c r="E103" s="56"/>
      <c r="F103" s="56"/>
      <c r="G103" s="56"/>
      <c r="H103" s="56"/>
      <c r="I103" s="56"/>
      <c r="J103" s="56"/>
    </row>
    <row r="104" spans="1:10">
      <c r="A104" s="72">
        <v>-100000</v>
      </c>
      <c r="B104" s="72">
        <v>0.49999900000000003</v>
      </c>
      <c r="C104" s="72" t="s">
        <v>163</v>
      </c>
      <c r="D104" s="77">
        <f>D85</f>
        <v>0.15116399999999999</v>
      </c>
      <c r="E104" s="56"/>
      <c r="F104" s="56"/>
      <c r="G104" s="72" t="s">
        <v>161</v>
      </c>
      <c r="H104" s="72" t="s">
        <v>162</v>
      </c>
      <c r="I104" s="56"/>
      <c r="J104" s="52"/>
    </row>
    <row r="105" spans="1:10">
      <c r="A105" s="72">
        <v>0.5</v>
      </c>
      <c r="B105" s="72">
        <v>0.79999900000000002</v>
      </c>
      <c r="C105" s="72" t="s">
        <v>164</v>
      </c>
      <c r="D105" s="77">
        <f>D86</f>
        <v>0.113412</v>
      </c>
      <c r="E105" s="56"/>
      <c r="F105" s="56"/>
      <c r="G105" s="72" t="s">
        <v>175</v>
      </c>
      <c r="H105" s="73">
        <v>9.7500000000000017E-3</v>
      </c>
      <c r="I105" s="56"/>
      <c r="J105" s="52"/>
    </row>
    <row r="106" spans="1:10">
      <c r="A106" s="72">
        <v>0.8</v>
      </c>
      <c r="B106" s="72">
        <v>1.2499990000000001</v>
      </c>
      <c r="C106" s="72" t="s">
        <v>165</v>
      </c>
      <c r="D106" s="77">
        <f>D87</f>
        <v>8.6424000000000001E-2</v>
      </c>
      <c r="E106" s="56"/>
      <c r="F106" s="56"/>
      <c r="G106" s="72" t="s">
        <v>174</v>
      </c>
      <c r="H106" s="73">
        <v>1.0764000000000001E-2</v>
      </c>
      <c r="I106" s="56"/>
      <c r="J106" s="52"/>
    </row>
    <row r="107" spans="1:10">
      <c r="A107" s="72">
        <v>1.25</v>
      </c>
      <c r="B107" s="72">
        <v>1.4999990000000001</v>
      </c>
      <c r="C107" s="72" t="s">
        <v>166</v>
      </c>
      <c r="D107" s="77">
        <f t="shared" ref="D107:D110" si="0">D88</f>
        <v>8.2000000000000003E-2</v>
      </c>
      <c r="E107" s="56"/>
      <c r="F107" s="56"/>
      <c r="G107" s="72" t="s">
        <v>173</v>
      </c>
      <c r="H107" s="73">
        <v>1.2168E-2</v>
      </c>
      <c r="I107" s="56"/>
      <c r="J107" s="52"/>
    </row>
    <row r="108" spans="1:10">
      <c r="A108" s="72">
        <v>1.5</v>
      </c>
      <c r="B108" s="72">
        <v>1.9999990000000001</v>
      </c>
      <c r="C108" s="72" t="s">
        <v>167</v>
      </c>
      <c r="D108" s="77">
        <f t="shared" si="0"/>
        <v>5.1480000000000005E-2</v>
      </c>
      <c r="E108" s="56"/>
      <c r="F108" s="56"/>
      <c r="G108" s="72" t="s">
        <v>176</v>
      </c>
      <c r="H108" s="73">
        <v>7.8000000000000005E-3</v>
      </c>
      <c r="I108" s="56"/>
      <c r="J108" s="52"/>
    </row>
    <row r="109" spans="1:10">
      <c r="A109" s="72">
        <v>2</v>
      </c>
      <c r="B109" s="72">
        <v>2.4999989999999999</v>
      </c>
      <c r="C109" s="72" t="s">
        <v>168</v>
      </c>
      <c r="D109" s="77">
        <f t="shared" si="0"/>
        <v>4.2119999999999998E-2</v>
      </c>
      <c r="E109" s="56"/>
      <c r="F109" s="56"/>
      <c r="G109" s="72" t="s">
        <v>177</v>
      </c>
      <c r="H109" s="73">
        <v>6.3E-3</v>
      </c>
      <c r="I109" s="56"/>
      <c r="J109" s="52"/>
    </row>
    <row r="110" spans="1:10">
      <c r="A110" s="72">
        <v>2.5</v>
      </c>
      <c r="B110" s="72">
        <v>2.9999989999999999</v>
      </c>
      <c r="C110" s="72" t="s">
        <v>169</v>
      </c>
      <c r="D110" s="77">
        <f t="shared" si="0"/>
        <v>3.5099999999999999E-2</v>
      </c>
      <c r="E110" s="56"/>
      <c r="F110" s="56"/>
      <c r="G110" s="72" t="s">
        <v>169</v>
      </c>
      <c r="H110" s="73">
        <v>3.5099999999999999E-2</v>
      </c>
      <c r="I110" s="56"/>
      <c r="J110" s="52"/>
    </row>
    <row r="111" spans="1:10">
      <c r="A111" s="72">
        <v>3</v>
      </c>
      <c r="B111" s="72">
        <v>3.4999989999999999</v>
      </c>
      <c r="C111" s="72" t="s">
        <v>170</v>
      </c>
      <c r="D111" s="77">
        <f t="shared" ref="D111:D118" si="1">D92</f>
        <v>2.4E-2</v>
      </c>
      <c r="E111" s="56"/>
      <c r="F111" s="56"/>
      <c r="G111" s="72" t="s">
        <v>168</v>
      </c>
      <c r="H111" s="73">
        <v>4.2119999999999998E-2</v>
      </c>
      <c r="I111" s="56"/>
      <c r="J111" s="52"/>
    </row>
    <row r="112" spans="1:10">
      <c r="A112" s="72">
        <v>3.5</v>
      </c>
      <c r="B112" s="72">
        <v>3.9999999000000002</v>
      </c>
      <c r="C112" s="72" t="s">
        <v>171</v>
      </c>
      <c r="D112" s="77">
        <f t="shared" si="1"/>
        <v>0.02</v>
      </c>
      <c r="E112" s="56"/>
      <c r="F112" s="56"/>
      <c r="G112" s="72" t="s">
        <v>167</v>
      </c>
      <c r="H112" s="73">
        <v>5.1480000000000005E-2</v>
      </c>
      <c r="I112" s="56"/>
      <c r="J112" s="52"/>
    </row>
    <row r="113" spans="1:10">
      <c r="A113" s="72">
        <v>4</v>
      </c>
      <c r="B113" s="72">
        <v>4.4999989999999999</v>
      </c>
      <c r="C113" s="72" t="s">
        <v>172</v>
      </c>
      <c r="D113" s="77">
        <f t="shared" si="1"/>
        <v>1.5600000000000001E-2</v>
      </c>
      <c r="E113" s="56"/>
      <c r="F113" s="56"/>
      <c r="G113" s="72" t="s">
        <v>171</v>
      </c>
      <c r="H113" s="73">
        <v>0.02</v>
      </c>
      <c r="I113" s="56"/>
      <c r="J113" s="52"/>
    </row>
    <row r="114" spans="1:10">
      <c r="A114" s="72">
        <v>4.5</v>
      </c>
      <c r="B114" s="72">
        <v>5.9999989999999999</v>
      </c>
      <c r="C114" s="72" t="s">
        <v>173</v>
      </c>
      <c r="D114" s="77">
        <f t="shared" si="1"/>
        <v>1.2168E-2</v>
      </c>
      <c r="E114" s="56"/>
      <c r="F114" s="56"/>
      <c r="G114" s="72" t="s">
        <v>170</v>
      </c>
      <c r="H114" s="73">
        <v>2.4E-2</v>
      </c>
      <c r="I114" s="56"/>
      <c r="J114" s="52"/>
    </row>
    <row r="115" spans="1:10">
      <c r="A115" s="72">
        <v>6</v>
      </c>
      <c r="B115" s="72">
        <v>7.4999989999999999</v>
      </c>
      <c r="C115" s="72" t="s">
        <v>174</v>
      </c>
      <c r="D115" s="77">
        <f t="shared" si="1"/>
        <v>1.0764000000000001E-2</v>
      </c>
      <c r="E115" s="56"/>
      <c r="F115" s="56"/>
      <c r="G115" s="72" t="s">
        <v>172</v>
      </c>
      <c r="H115" s="73">
        <v>1.5600000000000001E-2</v>
      </c>
      <c r="I115" s="56"/>
      <c r="J115" s="52"/>
    </row>
    <row r="116" spans="1:10">
      <c r="A116" s="72">
        <v>7.5</v>
      </c>
      <c r="B116" s="72">
        <v>9.4999990000000007</v>
      </c>
      <c r="C116" s="72" t="s">
        <v>175</v>
      </c>
      <c r="D116" s="77">
        <f t="shared" si="1"/>
        <v>9.7500000000000017E-3</v>
      </c>
      <c r="E116" s="56"/>
      <c r="F116" s="56"/>
      <c r="G116" s="72" t="s">
        <v>166</v>
      </c>
      <c r="H116" s="73">
        <v>0.113412</v>
      </c>
      <c r="I116" s="56"/>
      <c r="J116" s="52"/>
    </row>
    <row r="117" spans="1:10">
      <c r="A117" s="72">
        <v>9.5</v>
      </c>
      <c r="B117" s="72">
        <v>12.499999000000001</v>
      </c>
      <c r="C117" s="72" t="s">
        <v>176</v>
      </c>
      <c r="D117" s="77">
        <f t="shared" si="1"/>
        <v>7.8000000000000005E-3</v>
      </c>
      <c r="E117" s="52"/>
      <c r="F117" s="56"/>
      <c r="G117" s="72" t="s">
        <v>165</v>
      </c>
      <c r="H117" s="73">
        <v>8.6424000000000001E-2</v>
      </c>
      <c r="I117" s="56"/>
      <c r="J117" s="52"/>
    </row>
    <row r="118" spans="1:10">
      <c r="A118" s="72">
        <v>12.5</v>
      </c>
      <c r="B118" s="72">
        <v>100000</v>
      </c>
      <c r="C118" s="72" t="s">
        <v>177</v>
      </c>
      <c r="D118" s="77">
        <f t="shared" si="1"/>
        <v>6.3E-3</v>
      </c>
      <c r="E118" s="52"/>
      <c r="F118" s="52"/>
      <c r="G118" s="72" t="s">
        <v>164</v>
      </c>
      <c r="H118" s="73">
        <v>8.2000000000000003E-2</v>
      </c>
      <c r="I118" s="52"/>
      <c r="J118" s="52"/>
    </row>
    <row r="119" spans="1:10">
      <c r="A119" s="52"/>
      <c r="B119" s="52"/>
      <c r="C119" s="52"/>
      <c r="D119" s="52"/>
      <c r="E119" s="52"/>
      <c r="F119" s="52"/>
      <c r="G119" s="72" t="s">
        <v>163</v>
      </c>
      <c r="H119" s="73">
        <v>0.15116399999999999</v>
      </c>
      <c r="I119" s="52"/>
      <c r="J119" s="52"/>
    </row>
    <row r="120" spans="1:10">
      <c r="A120" s="78"/>
      <c r="B120" s="78"/>
      <c r="C120" s="78"/>
      <c r="D120" s="78"/>
      <c r="E120" s="78"/>
      <c r="F120" s="78"/>
      <c r="G120" s="78"/>
      <c r="H120" s="78"/>
      <c r="I120" s="78"/>
      <c r="J120" s="78"/>
    </row>
    <row r="121" spans="1:10">
      <c r="A121" s="78"/>
      <c r="B121" s="78"/>
      <c r="C121" s="78"/>
      <c r="D121" s="78"/>
      <c r="E121" s="78"/>
      <c r="F121" s="78"/>
      <c r="G121" s="78"/>
      <c r="H121" s="78"/>
      <c r="I121" s="78"/>
      <c r="J121" s="78"/>
    </row>
    <row r="122" spans="1:10">
      <c r="A122" s="78"/>
      <c r="B122" s="78"/>
      <c r="C122" s="78"/>
      <c r="D122" s="78"/>
      <c r="E122" s="78"/>
      <c r="F122" s="78"/>
      <c r="G122" s="78"/>
      <c r="H122" s="78"/>
      <c r="I122" s="78"/>
      <c r="J122" s="78"/>
    </row>
    <row r="123" spans="1:10">
      <c r="A123" s="78"/>
      <c r="B123" s="78"/>
      <c r="C123" s="78"/>
      <c r="D123" s="78"/>
      <c r="E123" s="78"/>
      <c r="F123" s="78"/>
      <c r="G123" s="78"/>
      <c r="H123" s="78"/>
      <c r="I123" s="78"/>
      <c r="J123" s="78"/>
    </row>
    <row r="124" spans="1:10">
      <c r="A124" s="78"/>
      <c r="B124" s="78"/>
      <c r="C124" s="78"/>
      <c r="D124" s="78"/>
      <c r="E124" s="78"/>
      <c r="F124" s="78"/>
      <c r="G124" s="78"/>
      <c r="H124" s="78"/>
      <c r="I124" s="78"/>
      <c r="J124" s="78"/>
    </row>
    <row r="125" spans="1:10">
      <c r="A125" s="78"/>
      <c r="B125" s="78"/>
      <c r="C125" s="78"/>
      <c r="D125" s="78"/>
      <c r="E125" s="78"/>
      <c r="F125" s="78"/>
      <c r="G125" s="78"/>
      <c r="H125" s="78"/>
      <c r="I125" s="78"/>
      <c r="J125" s="78"/>
    </row>
  </sheetData>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Readme!$A$40:$A$42</xm:f>
          </x14:formula1>
          <xm:sqref>B33</xm:sqref>
        </x14:dataValidation>
        <x14:dataValidation type="list" allowBlank="1" showInputMessage="1" showErrorMessage="1" xr:uid="{E0379022-D532-400B-AB0C-996F1CF68B31}">
          <x14:formula1>
            <xm:f>Readme!$A$29:$A$31</xm:f>
          </x14:formula1>
          <xm:sqref>B30</xm:sqref>
        </x14:dataValidation>
        <x14:dataValidation type="list" allowBlank="1" showInputMessage="1" showErrorMessage="1" xr:uid="{54891465-B46F-4507-8BA3-8CBBC0986A88}">
          <x14:formula1>
            <xm:f>Readme!$C$58:$C$59</xm:f>
          </x14:formula1>
          <xm:sqref>C8 C14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71CD-9484-4B79-964C-3FC02DD2F6B0}">
  <sheetPr codeName="Sheet10">
    <tabColor theme="9" tint="0.39997558519241921"/>
  </sheetPr>
  <dimension ref="A1:S49"/>
  <sheetViews>
    <sheetView showGridLines="0" topLeftCell="A13" workbookViewId="0">
      <pane xSplit="1" topLeftCell="B1" activePane="topRight" state="frozen"/>
      <selection pane="topRight" activeCell="B25" sqref="B25"/>
    </sheetView>
  </sheetViews>
  <sheetFormatPr defaultColWidth="11" defaultRowHeight="15.75"/>
  <cols>
    <col min="1" max="1" width="26.875" style="114" customWidth="1"/>
    <col min="2" max="13" width="15.125" style="114" customWidth="1"/>
    <col min="14" max="18" width="14.375" style="114" customWidth="1"/>
    <col min="19" max="16384" width="11" style="114"/>
  </cols>
  <sheetData>
    <row r="1" spans="1:17" ht="18.75">
      <c r="A1" s="112" t="s">
        <v>143</v>
      </c>
      <c r="B1" s="113"/>
    </row>
    <row r="2" spans="1:17">
      <c r="E2" s="109"/>
      <c r="F2" s="109"/>
      <c r="G2" s="109"/>
    </row>
    <row r="3" spans="1:17">
      <c r="A3" s="21" t="s">
        <v>395</v>
      </c>
      <c r="E3" s="267"/>
      <c r="F3" s="109"/>
      <c r="G3" s="109"/>
    </row>
    <row r="4" spans="1:17">
      <c r="A4" s="221" t="s">
        <v>497</v>
      </c>
      <c r="E4" s="268"/>
      <c r="F4" s="109"/>
      <c r="G4" s="116"/>
      <c r="L4" s="109"/>
    </row>
    <row r="5" spans="1:17">
      <c r="A5" t="s">
        <v>556</v>
      </c>
      <c r="C5" s="29">
        <f>IF(A4="Base Case",Base_Ebit_g,IF(A4="Bear Case",Bear_Ebit_g,Bull_Ebit_g))</f>
        <v>0.2</v>
      </c>
      <c r="E5" s="109"/>
      <c r="F5" s="109"/>
      <c r="G5" s="105"/>
      <c r="L5" s="109"/>
    </row>
    <row r="6" spans="1:17">
      <c r="A6" s="114" t="s">
        <v>339</v>
      </c>
      <c r="C6" s="29">
        <f>IF(A4="Base Case",Base_ReinvestRate,IF(A4="Bear Case",Bear_ReinvestRate,Bull_ReinvestRate))</f>
        <v>3.7230599290242634</v>
      </c>
      <c r="E6" s="109"/>
      <c r="F6" s="109"/>
      <c r="G6" s="105"/>
      <c r="L6" s="109"/>
    </row>
    <row r="7" spans="1:17">
      <c r="A7" t="s">
        <v>533</v>
      </c>
      <c r="C7" s="29">
        <f>IF(A4="Base Case",Scenarios!E6,IF(A4="Bear Case",Scenarios!D6,Scenarios!F6))</f>
        <v>0.11646666666666666</v>
      </c>
      <c r="E7" s="109"/>
      <c r="F7" s="109"/>
      <c r="G7" s="116"/>
      <c r="L7" s="109"/>
    </row>
    <row r="8" spans="1:17">
      <c r="A8" t="s">
        <v>350</v>
      </c>
      <c r="C8" s="118">
        <f>IF(A$4="Base Case",Scenarios!E7,IF(A$4="Bear Case",Scenarios!D7,Scenarios!F7))</f>
        <v>8</v>
      </c>
      <c r="E8" s="109"/>
      <c r="F8" s="109"/>
      <c r="G8" s="116"/>
      <c r="L8" s="109"/>
    </row>
    <row r="9" spans="1:17">
      <c r="A9" s="114" t="s">
        <v>547</v>
      </c>
      <c r="C9" s="120">
        <f>_xlfn.CEILING.MATH((C8/2))</f>
        <v>4</v>
      </c>
      <c r="E9" s="109"/>
      <c r="F9" s="109"/>
      <c r="G9" s="116"/>
    </row>
    <row r="10" spans="1:17">
      <c r="E10" s="109"/>
      <c r="F10" s="109"/>
      <c r="G10" s="116"/>
    </row>
    <row r="12" spans="1:17">
      <c r="A12" s="155"/>
      <c r="B12" s="155"/>
      <c r="C12" s="155"/>
      <c r="D12" s="137"/>
      <c r="E12" s="266"/>
      <c r="F12" s="155"/>
      <c r="H12" s="166"/>
    </row>
    <row r="14" spans="1:17">
      <c r="A14" s="21" t="s">
        <v>189</v>
      </c>
      <c r="B14" s="16" t="s">
        <v>318</v>
      </c>
      <c r="M14" s="167"/>
    </row>
    <row r="15" spans="1:17">
      <c r="A15" s="125"/>
      <c r="B15" s="143" t="s">
        <v>28</v>
      </c>
      <c r="C15" s="143">
        <v>1</v>
      </c>
      <c r="D15" s="143">
        <v>2</v>
      </c>
      <c r="E15" s="143">
        <v>3</v>
      </c>
      <c r="F15" s="143">
        <v>4</v>
      </c>
      <c r="G15" s="143">
        <v>5</v>
      </c>
      <c r="H15" s="143">
        <v>6</v>
      </c>
      <c r="I15" s="143">
        <v>7</v>
      </c>
      <c r="J15" s="143">
        <v>8</v>
      </c>
      <c r="K15" s="143">
        <v>9</v>
      </c>
      <c r="L15" s="143">
        <v>10</v>
      </c>
      <c r="M15" s="143" t="s">
        <v>191</v>
      </c>
      <c r="N15" s="142"/>
      <c r="O15" s="142"/>
      <c r="P15" s="142"/>
      <c r="Q15" s="142"/>
    </row>
    <row r="16" spans="1:17">
      <c r="A16" s="139" t="s">
        <v>207</v>
      </c>
      <c r="B16" s="29"/>
      <c r="C16" s="29">
        <f t="shared" ref="C16:L16" si="0">IF(Model_Year&gt;Model_CAP_Length," ",Model_Sales/B17-1)</f>
        <v>0.19993764910325473</v>
      </c>
      <c r="D16" s="29">
        <f t="shared" si="0"/>
        <v>0.19999999999999996</v>
      </c>
      <c r="E16" s="29">
        <f t="shared" si="0"/>
        <v>0.19999999999999996</v>
      </c>
      <c r="F16" s="29">
        <f t="shared" si="0"/>
        <v>0.19999999999999996</v>
      </c>
      <c r="G16" s="29">
        <f t="shared" si="0"/>
        <v>0.15436749999999999</v>
      </c>
      <c r="H16" s="29">
        <f t="shared" si="0"/>
        <v>0.10873500000000003</v>
      </c>
      <c r="I16" s="29">
        <f t="shared" si="0"/>
        <v>6.3102500000000061E-2</v>
      </c>
      <c r="J16" s="29">
        <f t="shared" si="0"/>
        <v>1.7470000000000097E-2</v>
      </c>
      <c r="K16" s="29" t="str">
        <f t="shared" si="0"/>
        <v xml:space="preserve"> </v>
      </c>
      <c r="L16" s="29" t="str">
        <f t="shared" si="0"/>
        <v xml:space="preserve"> </v>
      </c>
      <c r="M16" s="29">
        <f ca="1">Terminal_Sales/INDIRECT(ADDRESS(ROW(A17),C8+2))-1</f>
        <v>1.7469999999999875E-2</v>
      </c>
      <c r="N16" s="147"/>
      <c r="O16" s="147"/>
      <c r="P16" s="147"/>
      <c r="Q16" s="147"/>
    </row>
    <row r="17" spans="1:19">
      <c r="A17" s="125" t="s">
        <v>346</v>
      </c>
      <c r="B17" s="192">
        <f>'Master Inputs'!B14</f>
        <v>18327</v>
      </c>
      <c r="C17" s="192">
        <f t="shared" ref="C17:L17" si="1">IF(Model_Year&gt;Model_CAP_Length," ",Model_Ebit/Model_EbitMargin)</f>
        <v>21991.257295115349</v>
      </c>
      <c r="D17" s="192">
        <f t="shared" si="1"/>
        <v>26389.50875413842</v>
      </c>
      <c r="E17" s="192">
        <f t="shared" si="1"/>
        <v>31667.410504966101</v>
      </c>
      <c r="F17" s="192">
        <f t="shared" si="1"/>
        <v>38000.892605959321</v>
      </c>
      <c r="G17" s="192">
        <f t="shared" si="1"/>
        <v>43866.995395309743</v>
      </c>
      <c r="H17" s="192">
        <f t="shared" si="1"/>
        <v>48636.87313961875</v>
      </c>
      <c r="I17" s="192">
        <f t="shared" si="1"/>
        <v>51705.981426911545</v>
      </c>
      <c r="J17" s="192">
        <f t="shared" si="1"/>
        <v>52609.2849224397</v>
      </c>
      <c r="K17" s="192" t="str">
        <f t="shared" si="1"/>
        <v xml:space="preserve"> </v>
      </c>
      <c r="L17" s="192" t="str">
        <f t="shared" si="1"/>
        <v xml:space="preserve"> </v>
      </c>
      <c r="M17" s="192">
        <f ca="1">Terminal_Ebit/Terminal_EbitMargin</f>
        <v>53528.36913003472</v>
      </c>
      <c r="N17" s="121"/>
      <c r="O17" s="121"/>
      <c r="P17" s="121"/>
      <c r="Q17" s="121"/>
      <c r="S17" s="141"/>
    </row>
    <row r="18" spans="1:19">
      <c r="A18" s="139" t="s">
        <v>348</v>
      </c>
      <c r="B18" s="29">
        <f>B20/B17</f>
        <v>0.45417640018558197</v>
      </c>
      <c r="C18" s="138">
        <v>0.45419999999999999</v>
      </c>
      <c r="D18" s="138">
        <v>0.45419999999999999</v>
      </c>
      <c r="E18" s="138">
        <v>0.45419999999999999</v>
      </c>
      <c r="F18" s="138">
        <v>0.45419999999999999</v>
      </c>
      <c r="G18" s="138">
        <v>0.45419999999999999</v>
      </c>
      <c r="H18" s="138">
        <v>0.45419999999999999</v>
      </c>
      <c r="I18" s="138">
        <v>0.45419999999999999</v>
      </c>
      <c r="J18" s="138">
        <v>0.45419999999999999</v>
      </c>
      <c r="K18" s="138"/>
      <c r="L18" s="138"/>
      <c r="M18" s="168">
        <v>0.45419999999999999</v>
      </c>
      <c r="N18" s="147"/>
      <c r="O18" s="147"/>
      <c r="P18" s="147"/>
      <c r="Q18" s="147"/>
    </row>
    <row r="19" spans="1:19">
      <c r="A19" s="139" t="s">
        <v>546</v>
      </c>
      <c r="B19" s="29"/>
      <c r="C19" s="29">
        <f t="shared" ref="C19:L19" si="2">IF(Model_Year&gt;Model_CAP_Length," ",IF(Model_Year&gt;$C$9,Terminal_Ebit_g+((Model_Ebit_g-Terminal_Ebit_g)/(Model_CAP_Length-$C$9))*(Model_CAP_Length-Model_Year),Model_Ebit_g))</f>
        <v>0.2</v>
      </c>
      <c r="D19" s="29">
        <f t="shared" si="2"/>
        <v>0.2</v>
      </c>
      <c r="E19" s="29">
        <f t="shared" si="2"/>
        <v>0.2</v>
      </c>
      <c r="F19" s="29">
        <f t="shared" si="2"/>
        <v>0.2</v>
      </c>
      <c r="G19" s="29">
        <f t="shared" si="2"/>
        <v>0.15436749999999999</v>
      </c>
      <c r="H19" s="29">
        <f t="shared" si="2"/>
        <v>0.10873500000000001</v>
      </c>
      <c r="I19" s="29">
        <f t="shared" si="2"/>
        <v>6.3102500000000006E-2</v>
      </c>
      <c r="J19" s="29">
        <f t="shared" si="2"/>
        <v>1.7469999999999999E-2</v>
      </c>
      <c r="K19" s="29" t="str">
        <f t="shared" si="2"/>
        <v xml:space="preserve"> </v>
      </c>
      <c r="L19" s="29" t="str">
        <f t="shared" si="2"/>
        <v xml:space="preserve"> </v>
      </c>
      <c r="M19" s="165">
        <f>Terminal_Ebit_g</f>
        <v>1.7469999999999999E-2</v>
      </c>
      <c r="O19" s="148"/>
      <c r="P19" s="148"/>
      <c r="Q19" s="148"/>
    </row>
    <row r="20" spans="1:19">
      <c r="A20" s="125" t="s">
        <v>338</v>
      </c>
      <c r="B20" s="192">
        <f>Adj_Ebit</f>
        <v>8323.6908862011605</v>
      </c>
      <c r="C20" s="192">
        <f t="shared" ref="C20:L20" si="3">IF(Model_Year&gt;Model_CAP_Length," ",B20*(1+Model_EbitGrowth_Total))</f>
        <v>9988.4290634413919</v>
      </c>
      <c r="D20" s="192">
        <f t="shared" si="3"/>
        <v>11986.11487612967</v>
      </c>
      <c r="E20" s="192">
        <f t="shared" si="3"/>
        <v>14383.337851355604</v>
      </c>
      <c r="F20" s="192">
        <f t="shared" si="3"/>
        <v>17260.005421626724</v>
      </c>
      <c r="G20" s="192">
        <f t="shared" si="3"/>
        <v>19924.389308549686</v>
      </c>
      <c r="H20" s="192">
        <f t="shared" si="3"/>
        <v>22090.867780014836</v>
      </c>
      <c r="I20" s="192">
        <f t="shared" si="3"/>
        <v>23484.856764103224</v>
      </c>
      <c r="J20" s="192">
        <f t="shared" si="3"/>
        <v>23895.137211772111</v>
      </c>
      <c r="K20" s="192" t="str">
        <f t="shared" si="3"/>
        <v xml:space="preserve"> </v>
      </c>
      <c r="L20" s="192" t="str">
        <f t="shared" si="3"/>
        <v xml:space="preserve"> </v>
      </c>
      <c r="M20" s="192">
        <f ca="1">INDIRECT(ADDRESS(ROW(A20),C8+2))*(1+Terminal_Ebit_g)</f>
        <v>24312.585258861771</v>
      </c>
      <c r="N20" s="147"/>
      <c r="O20" s="147"/>
      <c r="P20" s="147"/>
      <c r="Q20" s="147"/>
    </row>
    <row r="21" spans="1:19" ht="16.5" thickBot="1">
      <c r="A21" s="128" t="s">
        <v>347</v>
      </c>
      <c r="B21" s="30">
        <f>Adj_Effective_T</f>
        <v>0</v>
      </c>
      <c r="C21" s="146">
        <v>0.15</v>
      </c>
      <c r="D21" s="146">
        <v>0.16</v>
      </c>
      <c r="E21" s="146">
        <v>0.17</v>
      </c>
      <c r="F21" s="146">
        <v>0.18</v>
      </c>
      <c r="G21" s="146">
        <v>0.19</v>
      </c>
      <c r="H21" s="146">
        <v>0.2</v>
      </c>
      <c r="I21" s="146">
        <v>0.21</v>
      </c>
      <c r="J21" s="146">
        <v>0.22</v>
      </c>
      <c r="K21" s="146"/>
      <c r="L21" s="146"/>
      <c r="M21" s="248">
        <f>Marginal_TaxRate</f>
        <v>0.25</v>
      </c>
      <c r="N21" s="148"/>
      <c r="O21" s="148"/>
      <c r="P21" s="148"/>
      <c r="Q21" s="148"/>
    </row>
    <row r="22" spans="1:19" ht="16.5" thickTop="1">
      <c r="A22" s="149" t="s">
        <v>337</v>
      </c>
      <c r="B22" s="258">
        <f>B20*(1-B21)</f>
        <v>8323.6908862011605</v>
      </c>
      <c r="C22" s="258">
        <f t="shared" ref="C22:L22" si="4">IF(Model_Year&gt;Model_CAP_Length," ",Model_Ebit*(1-C21))</f>
        <v>8490.164703925182</v>
      </c>
      <c r="D22" s="258">
        <f t="shared" si="4"/>
        <v>10068.336495948923</v>
      </c>
      <c r="E22" s="258">
        <f t="shared" si="4"/>
        <v>11938.170416625151</v>
      </c>
      <c r="F22" s="258">
        <f t="shared" si="4"/>
        <v>14153.204445733914</v>
      </c>
      <c r="G22" s="258">
        <f t="shared" si="4"/>
        <v>16138.755339925247</v>
      </c>
      <c r="H22" s="258">
        <f t="shared" si="4"/>
        <v>17672.69422401187</v>
      </c>
      <c r="I22" s="258">
        <f t="shared" si="4"/>
        <v>18553.036843641548</v>
      </c>
      <c r="J22" s="258">
        <f t="shared" si="4"/>
        <v>18638.207025182248</v>
      </c>
      <c r="K22" s="258" t="str">
        <f t="shared" si="4"/>
        <v xml:space="preserve"> </v>
      </c>
      <c r="L22" s="258" t="str">
        <f t="shared" si="4"/>
        <v xml:space="preserve"> </v>
      </c>
      <c r="M22" s="259">
        <f ca="1">Terminal_Ebit*(1-Marginal_TaxRate)</f>
        <v>18234.438944146328</v>
      </c>
      <c r="N22" s="147"/>
      <c r="O22" s="147"/>
      <c r="P22" s="147"/>
      <c r="Q22" s="147"/>
    </row>
    <row r="23" spans="1:19">
      <c r="A23" s="139" t="s">
        <v>190</v>
      </c>
      <c r="B23" s="29"/>
      <c r="C23" s="29">
        <f>IF(Model_Year&gt;Model_CAP_Length," ",IF(Model_Year&gt;$C$9,$M$23+(($C$6-$M$23)/($C$8-$C$9))*($C$8-Model_Year),$C$6))</f>
        <v>3.7230599290242634</v>
      </c>
      <c r="D23" s="29">
        <f t="shared" ref="D23:L23" si="5">IF(Model_Year&gt;Model_CAP_Length," ",IF(D15&gt;$C$9,$M$23+(($C$6-$M$23)/($C$8-$C$9))*($C$8-D15),$C$6))</f>
        <v>3.7230599290242634</v>
      </c>
      <c r="E23" s="29">
        <f t="shared" si="5"/>
        <v>3.7230599290242634</v>
      </c>
      <c r="F23" s="29">
        <f t="shared" si="5"/>
        <v>3.7230599290242634</v>
      </c>
      <c r="G23" s="29">
        <f t="shared" si="5"/>
        <v>2.8214116134348641</v>
      </c>
      <c r="H23" s="29">
        <f t="shared" si="5"/>
        <v>1.9197632978454651</v>
      </c>
      <c r="I23" s="29">
        <f t="shared" si="5"/>
        <v>1.0181149822560658</v>
      </c>
      <c r="J23" s="29">
        <f t="shared" si="5"/>
        <v>0.11646666666666666</v>
      </c>
      <c r="K23" s="29" t="str">
        <f t="shared" si="5"/>
        <v xml:space="preserve"> </v>
      </c>
      <c r="L23" s="29" t="str">
        <f t="shared" si="5"/>
        <v xml:space="preserve"> </v>
      </c>
      <c r="M23" s="29">
        <f>C7</f>
        <v>0.11646666666666666</v>
      </c>
      <c r="N23" s="148"/>
      <c r="O23" s="148"/>
      <c r="P23" s="148"/>
      <c r="Q23" s="148"/>
    </row>
    <row r="24" spans="1:19">
      <c r="A24" s="264" t="s">
        <v>545</v>
      </c>
      <c r="B24" s="164">
        <f>Adj!C62</f>
        <v>8895</v>
      </c>
      <c r="C24" s="164">
        <f t="shared" ref="C24:L24" si="6">IF(Model_Year&gt;Model_CAP_Length," ",(C17-B17)*Adj_WCSalesRatio)</f>
        <v>549.63859426730232</v>
      </c>
      <c r="D24" s="164">
        <f t="shared" si="6"/>
        <v>659.73771885346071</v>
      </c>
      <c r="E24" s="164">
        <f t="shared" si="6"/>
        <v>791.68526262415219</v>
      </c>
      <c r="F24" s="164">
        <f t="shared" si="6"/>
        <v>950.02231514898301</v>
      </c>
      <c r="G24" s="164">
        <f t="shared" si="6"/>
        <v>879.9154184025632</v>
      </c>
      <c r="H24" s="164">
        <f t="shared" si="6"/>
        <v>715.48166164635109</v>
      </c>
      <c r="I24" s="164">
        <f t="shared" si="6"/>
        <v>460.36624309391919</v>
      </c>
      <c r="J24" s="164">
        <f t="shared" si="6"/>
        <v>135.49552432922317</v>
      </c>
      <c r="K24" s="164" t="str">
        <f t="shared" si="6"/>
        <v xml:space="preserve"> </v>
      </c>
      <c r="L24" s="164" t="str">
        <f t="shared" si="6"/>
        <v xml:space="preserve"> </v>
      </c>
      <c r="M24" s="265">
        <f ca="1">(Terminal_Sales-INDIRECT(ADDRESS(ROW(A17),C8+2)))*Adj_WCSalesRatio</f>
        <v>137.86263113925307</v>
      </c>
      <c r="N24" s="148"/>
      <c r="O24" s="148"/>
      <c r="P24" s="148"/>
      <c r="Q24" s="148"/>
    </row>
    <row r="25" spans="1:19" ht="16.5" thickBot="1">
      <c r="A25" s="128" t="s">
        <v>534</v>
      </c>
      <c r="B25" s="189">
        <f>'Master Inputs'!U14-'Master Inputs'!V14</f>
        <v>-76</v>
      </c>
      <c r="C25" s="189">
        <f>IF(Model_Year&gt;Model_CAP_Length," ",C22*C23-C24+NetCapex_Adj)</f>
        <v>34668.753405732692</v>
      </c>
      <c r="D25" s="189">
        <f t="shared" ref="D25:L25" si="7">IF(Model_Year&gt;Model_CAP_Length," ",D22*D23-D24)</f>
        <v>36825.282441146541</v>
      </c>
      <c r="E25" s="189">
        <f t="shared" si="7"/>
        <v>43654.838641375842</v>
      </c>
      <c r="F25" s="189">
        <f t="shared" si="7"/>
        <v>51743.206024051011</v>
      </c>
      <c r="G25" s="189">
        <f t="shared" si="7"/>
        <v>44654.15632404646</v>
      </c>
      <c r="H25" s="189">
        <f t="shared" si="7"/>
        <v>33211.908083657181</v>
      </c>
      <c r="I25" s="189">
        <f t="shared" si="7"/>
        <v>18428.758533766329</v>
      </c>
      <c r="J25" s="189">
        <f t="shared" si="7"/>
        <v>2035.2343205370028</v>
      </c>
      <c r="K25" s="189" t="str">
        <f t="shared" si="7"/>
        <v xml:space="preserve"> </v>
      </c>
      <c r="L25" s="189" t="str">
        <f t="shared" si="7"/>
        <v xml:space="preserve"> </v>
      </c>
      <c r="M25" s="257">
        <f ca="1">M22*M23-M24</f>
        <v>1985.8416912223224</v>
      </c>
      <c r="N25" s="148"/>
      <c r="O25" s="148"/>
      <c r="P25" s="148"/>
      <c r="Q25" s="148"/>
    </row>
    <row r="26" spans="1:19" ht="16.5" thickTop="1">
      <c r="A26" s="127" t="s">
        <v>340</v>
      </c>
      <c r="B26" s="190">
        <f>B22-B25-B24</f>
        <v>-495.30911379883946</v>
      </c>
      <c r="C26" s="190">
        <f t="shared" ref="C26:L26" si="8">IF(Model_Year&gt;Model_CAP_Length," ",C22-C25-C24)</f>
        <v>-26728.227296074809</v>
      </c>
      <c r="D26" s="190">
        <f t="shared" si="8"/>
        <v>-27416.683664051077</v>
      </c>
      <c r="E26" s="190">
        <f t="shared" si="8"/>
        <v>-32508.353487374843</v>
      </c>
      <c r="F26" s="190">
        <f t="shared" si="8"/>
        <v>-38540.023893466081</v>
      </c>
      <c r="G26" s="190">
        <f t="shared" si="8"/>
        <v>-29395.316402523778</v>
      </c>
      <c r="H26" s="190">
        <f t="shared" si="8"/>
        <v>-16254.695521291662</v>
      </c>
      <c r="I26" s="190">
        <f t="shared" si="8"/>
        <v>-336.08793321870036</v>
      </c>
      <c r="J26" s="190">
        <f t="shared" si="8"/>
        <v>16467.477180316022</v>
      </c>
      <c r="K26" s="190" t="str">
        <f t="shared" si="8"/>
        <v xml:space="preserve"> </v>
      </c>
      <c r="L26" s="190" t="str">
        <f t="shared" si="8"/>
        <v xml:space="preserve"> </v>
      </c>
      <c r="M26" s="191">
        <f ca="1">M22-M25-M24</f>
        <v>16110.734621784753</v>
      </c>
      <c r="N26" s="147"/>
      <c r="O26" s="147"/>
      <c r="P26" s="147"/>
      <c r="Q26" s="147"/>
    </row>
    <row r="27" spans="1:19">
      <c r="A27" s="139" t="s">
        <v>203</v>
      </c>
      <c r="B27" s="29"/>
      <c r="C27" s="29">
        <f t="shared" ref="C27:L27" si="9">IF(C15&gt;$C$8," ",IF(C15&gt;$C9,$M$27+((WACC_CAP-$M$27)/($C$8-$C$9))*($C$8-C15),WACC_CAP))</f>
        <v>0.09</v>
      </c>
      <c r="D27" s="29">
        <f t="shared" si="9"/>
        <v>0.09</v>
      </c>
      <c r="E27" s="29">
        <f t="shared" si="9"/>
        <v>0.09</v>
      </c>
      <c r="F27" s="29">
        <f t="shared" si="9"/>
        <v>0.09</v>
      </c>
      <c r="G27" s="29">
        <f t="shared" si="9"/>
        <v>7.9367499999999994E-2</v>
      </c>
      <c r="H27" s="29">
        <f t="shared" si="9"/>
        <v>6.8734999999999991E-2</v>
      </c>
      <c r="I27" s="29">
        <f t="shared" si="9"/>
        <v>5.8102500000000001E-2</v>
      </c>
      <c r="J27" s="29">
        <f t="shared" si="9"/>
        <v>4.7469999999999998E-2</v>
      </c>
      <c r="K27" s="29" t="str">
        <f t="shared" si="9"/>
        <v xml:space="preserve"> </v>
      </c>
      <c r="L27" s="29" t="str">
        <f t="shared" si="9"/>
        <v xml:space="preserve"> </v>
      </c>
      <c r="M27" s="165">
        <f>WACC!C18</f>
        <v>4.7469999999999998E-2</v>
      </c>
      <c r="N27" s="147"/>
      <c r="O27" s="147"/>
      <c r="P27" s="147"/>
      <c r="Q27" s="147"/>
    </row>
    <row r="28" spans="1:19" ht="16.5" thickBot="1">
      <c r="A28" s="269" t="s">
        <v>563</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1.5236153134316754</v>
      </c>
      <c r="H28" s="30">
        <f>IF(H15&gt;$C$8," ",(1+C27)*(1+D27)*(1+E27)*(1+F27)*(1+G27)*(1+H27))</f>
        <v>1.6283410120004016</v>
      </c>
      <c r="I28" s="30">
        <f>IF(I15&gt;$C$8," ",(1+C27)*(1+D27)*(1+E27)*(1+F27)*(1+G27)*(1+H27)*(1+I27))</f>
        <v>1.7229516956501549</v>
      </c>
      <c r="J28" s="30">
        <f>IF(J15&gt;$C$8," ",(1+C27)*(1+D27)*(1+E27)*(1+F27)*(1+G27)*(1+H27)*(1+I27)*(1+J27))</f>
        <v>1.8047402126426677</v>
      </c>
      <c r="K28" s="30" t="str">
        <f>IF(K15&gt;$C$8," ",(1+C27)*(1+D27)*(1+E27)*(1+F27)*(1+G27)*(1+H27)*(1+I27)*(1+J27)*(1+K27))</f>
        <v xml:space="preserve"> </v>
      </c>
      <c r="L28" s="30" t="str">
        <f>IF(L15&gt;$C$8," ",(1+C27)*(1+D27)*(1+E27)*(1+F27)*(1+G27)*(1+H27)*(1+I27)*(1+J27)*(1+K27)*(1+L27))</f>
        <v xml:space="preserve"> </v>
      </c>
      <c r="M28" s="30"/>
      <c r="N28" s="140"/>
      <c r="O28" s="140"/>
      <c r="P28" s="140"/>
      <c r="Q28" s="140"/>
    </row>
    <row r="29" spans="1:19" ht="16.5" thickTop="1">
      <c r="A29" s="127" t="s">
        <v>341</v>
      </c>
      <c r="B29" s="191"/>
      <c r="C29" s="191">
        <f t="shared" ref="C29:L29" si="10">IF(Model_Year&gt;Model_CAP_Length," ",C26/C28)</f>
        <v>-24521.309445940191</v>
      </c>
      <c r="D29" s="191">
        <f t="shared" si="10"/>
        <v>-23076.074121749916</v>
      </c>
      <c r="E29" s="191">
        <f t="shared" si="10"/>
        <v>-25102.413526936336</v>
      </c>
      <c r="F29" s="191">
        <f t="shared" si="10"/>
        <v>-27302.724561186424</v>
      </c>
      <c r="G29" s="191">
        <f t="shared" si="10"/>
        <v>-19293.135310064587</v>
      </c>
      <c r="H29" s="191">
        <f t="shared" si="10"/>
        <v>-9982.3657338968096</v>
      </c>
      <c r="I29" s="191">
        <f t="shared" si="10"/>
        <v>-195.06520935392663</v>
      </c>
      <c r="J29" s="191">
        <f t="shared" si="10"/>
        <v>9124.5693230289453</v>
      </c>
      <c r="K29" s="191" t="str">
        <f t="shared" si="10"/>
        <v xml:space="preserve"> </v>
      </c>
      <c r="L29" s="191" t="str">
        <f t="shared" si="10"/>
        <v xml:space="preserve"> </v>
      </c>
      <c r="M29" s="193"/>
      <c r="N29" s="119"/>
    </row>
    <row r="30" spans="1:19">
      <c r="M30" s="119"/>
    </row>
    <row r="31" spans="1:19">
      <c r="A31" s="21" t="s">
        <v>490</v>
      </c>
      <c r="C31" s="195" t="s">
        <v>422</v>
      </c>
      <c r="D31" s="321" t="s">
        <v>421</v>
      </c>
      <c r="E31" s="321"/>
      <c r="G31" s="267"/>
      <c r="H31" s="109"/>
      <c r="I31" s="109"/>
      <c r="J31" s="109"/>
    </row>
    <row r="32" spans="1:19">
      <c r="A32" s="15" t="s">
        <v>419</v>
      </c>
      <c r="C32" s="29">
        <f ca="1">D32/D34</f>
        <v>-0.61618977754474868</v>
      </c>
      <c r="D32" s="318">
        <f>SUM(C29:L29)</f>
        <v>-120348.51858609924</v>
      </c>
      <c r="E32" s="318"/>
      <c r="F32" s="194"/>
      <c r="G32" s="109"/>
      <c r="H32" s="137"/>
      <c r="I32" s="137"/>
      <c r="J32" s="137"/>
    </row>
    <row r="33" spans="1:17" ht="16.5" thickBot="1">
      <c r="A33" s="15" t="s">
        <v>420</v>
      </c>
      <c r="C33" s="30">
        <f ca="1">1-C32</f>
        <v>1.6161897775447487</v>
      </c>
      <c r="D33" s="319">
        <f ca="1">IF(C8=0,(M26/(M27-M19)),(M26/(M27-M19))/INDIRECT(ADDRESS(ROW(A28),C8+2)))</f>
        <v>297563.31888148282</v>
      </c>
      <c r="E33" s="319"/>
      <c r="F33" s="194"/>
      <c r="G33" s="105"/>
      <c r="H33" s="116"/>
      <c r="I33" s="297"/>
      <c r="J33" s="297"/>
    </row>
    <row r="34" spans="1:17" ht="16.5" thickTop="1">
      <c r="A34" s="114" t="s">
        <v>198</v>
      </c>
      <c r="D34" s="320">
        <f ca="1">D32+D33+Cash+NonOperating_Assets</f>
        <v>195310.80029538358</v>
      </c>
      <c r="E34" s="320"/>
      <c r="F34" s="194"/>
      <c r="G34" s="105"/>
      <c r="H34" s="297"/>
      <c r="I34" s="297"/>
      <c r="J34" s="297"/>
    </row>
    <row r="35" spans="1:17">
      <c r="F35" s="109"/>
      <c r="G35" s="137"/>
      <c r="H35" s="116"/>
      <c r="I35" s="109"/>
      <c r="J35" s="109"/>
    </row>
    <row r="36" spans="1:17" ht="16.5" thickBot="1">
      <c r="A36" s="123" t="s">
        <v>354</v>
      </c>
      <c r="C36" s="105"/>
      <c r="D36" s="319">
        <f ca="1">MV_Debt</f>
        <v>57001</v>
      </c>
      <c r="E36" s="319"/>
      <c r="G36" s="105"/>
      <c r="H36" s="116"/>
      <c r="I36" s="109"/>
      <c r="J36" s="109"/>
    </row>
    <row r="37" spans="1:17" ht="16.5" thickTop="1">
      <c r="A37" s="114" t="s">
        <v>353</v>
      </c>
      <c r="C37" s="105"/>
      <c r="D37" s="322">
        <f ca="1">D34-MV_Debt</f>
        <v>138309.80029538358</v>
      </c>
      <c r="E37" s="322"/>
      <c r="G37" s="105"/>
      <c r="H37" s="161"/>
      <c r="I37" s="109"/>
    </row>
    <row r="38" spans="1:17">
      <c r="A38" s="123" t="s">
        <v>445</v>
      </c>
      <c r="D38" s="318">
        <f>MI*PB_Company</f>
        <v>2120.3914094492711</v>
      </c>
      <c r="E38" s="318"/>
      <c r="G38" s="109"/>
      <c r="H38" s="116"/>
      <c r="I38" s="105"/>
    </row>
    <row r="39" spans="1:17" ht="16.5" thickBot="1">
      <c r="A39" s="123" t="s">
        <v>446</v>
      </c>
      <c r="D39" s="319">
        <v>0</v>
      </c>
      <c r="E39" s="319"/>
      <c r="G39" s="109"/>
      <c r="H39" s="116"/>
      <c r="I39" s="105"/>
    </row>
    <row r="40" spans="1:17" ht="16.5" thickTop="1">
      <c r="A40" s="114" t="s">
        <v>199</v>
      </c>
      <c r="D40" s="320">
        <f ca="1">D37-D38-D39</f>
        <v>136189.4088859343</v>
      </c>
      <c r="E40" s="320"/>
      <c r="F40" s="120" t="str">
        <f>CF_Currency</f>
        <v>RMB</v>
      </c>
      <c r="H40" s="116"/>
      <c r="I40" s="105"/>
    </row>
    <row r="41" spans="1:17">
      <c r="A41" s="114" t="s">
        <v>200</v>
      </c>
      <c r="E41" s="251">
        <f ca="1">IF(Is_Listed="Listed",(D40*'Master Inputs'!C10)/Num_of_Shares,D40*'Master Inputs'!C10)</f>
        <v>215.2473795749209</v>
      </c>
      <c r="F41" s="120" t="str">
        <f>CF_Currency</f>
        <v>RMB</v>
      </c>
      <c r="H41" s="162"/>
      <c r="I41" s="109"/>
    </row>
    <row r="42" spans="1:17">
      <c r="D42" s="223" t="str">
        <f>IF(F41&lt;&gt;D44,"=&gt;","")</f>
        <v>=&gt;</v>
      </c>
      <c r="E42" s="224">
        <f ca="1">IF(Price_Currency&lt;&gt;CF_Currency,E41*Exchange_Rate,"")</f>
        <v>255.43459054516478</v>
      </c>
      <c r="F42" s="225" t="str">
        <f>IF(CF_Currency&lt;&gt;Price_Currency,Price_Currency,"")</f>
        <v>HKD</v>
      </c>
      <c r="G42" s="109"/>
      <c r="H42" s="105"/>
      <c r="I42" s="109"/>
      <c r="N42" s="117"/>
      <c r="O42" s="117"/>
      <c r="P42" s="117"/>
      <c r="Q42" s="117"/>
    </row>
    <row r="43" spans="1:17">
      <c r="D43" s="223"/>
      <c r="E43" s="224"/>
      <c r="F43" s="225"/>
      <c r="G43" s="109"/>
      <c r="H43" s="105"/>
      <c r="I43" s="109"/>
      <c r="N43" s="117"/>
      <c r="O43" s="117"/>
      <c r="P43" s="117"/>
      <c r="Q43" s="117"/>
    </row>
    <row r="44" spans="1:17">
      <c r="A44" s="15" t="s">
        <v>425</v>
      </c>
      <c r="B44" s="114" t="s">
        <v>423</v>
      </c>
      <c r="D44" s="120" t="str">
        <f>Price_Currency</f>
        <v>HKD</v>
      </c>
      <c r="E44" s="222">
        <f>Current_Price</f>
        <v>333</v>
      </c>
      <c r="F44" s="117" t="s">
        <v>424</v>
      </c>
      <c r="G44" s="34">
        <f ca="1">Current_Price/IF(Price_Currency&lt;&gt;CF_Currency,E42,E41)-1</f>
        <v>0.30366055470126496</v>
      </c>
      <c r="H44" s="114" t="str">
        <f ca="1">IF(G44&gt;=0," overvalued by the market."," undervalued by the market.")</f>
        <v xml:space="preserve"> overvalued by the market.</v>
      </c>
      <c r="I44" s="163"/>
      <c r="N44" s="121"/>
      <c r="O44" s="121"/>
      <c r="P44" s="121"/>
      <c r="Q44" s="121"/>
    </row>
    <row r="45" spans="1:17">
      <c r="N45" s="121"/>
      <c r="O45" s="121"/>
      <c r="P45" s="121"/>
      <c r="Q45" s="121"/>
    </row>
    <row r="46" spans="1:17">
      <c r="A46" s="125" t="s">
        <v>204</v>
      </c>
      <c r="B46" s="126" t="s">
        <v>28</v>
      </c>
      <c r="C46" s="126">
        <v>1</v>
      </c>
      <c r="D46" s="126">
        <v>2</v>
      </c>
      <c r="E46" s="126">
        <v>3</v>
      </c>
      <c r="F46" s="126">
        <v>4</v>
      </c>
      <c r="G46" s="126">
        <v>5</v>
      </c>
      <c r="H46" s="126">
        <v>6</v>
      </c>
      <c r="I46" s="126">
        <v>7</v>
      </c>
      <c r="J46" s="126">
        <v>8</v>
      </c>
      <c r="K46" s="126">
        <v>9</v>
      </c>
      <c r="L46" s="126">
        <v>10</v>
      </c>
      <c r="M46" s="126" t="s">
        <v>197</v>
      </c>
      <c r="O46" s="147"/>
      <c r="P46" s="147"/>
      <c r="Q46" s="147"/>
    </row>
    <row r="47" spans="1:17">
      <c r="A47" s="125" t="s">
        <v>343</v>
      </c>
      <c r="B47" s="33">
        <f>B17/'Master Inputs'!Q14</f>
        <v>0.13046728173586195</v>
      </c>
      <c r="C47" s="33">
        <f t="shared" ref="C47:L47" si="11">IF(C15&gt;$C$8," ",(C17-B17)/(C25+C24))</f>
        <v>0.10404385569663004</v>
      </c>
      <c r="D47" s="33">
        <f t="shared" si="11"/>
        <v>0.11733357592578847</v>
      </c>
      <c r="E47" s="33">
        <f t="shared" si="11"/>
        <v>0.11874723346706294</v>
      </c>
      <c r="F47" s="33">
        <f t="shared" si="11"/>
        <v>0.12019537046056376</v>
      </c>
      <c r="G47" s="33">
        <f t="shared" si="11"/>
        <v>0.12882886517442196</v>
      </c>
      <c r="H47" s="33">
        <f t="shared" si="11"/>
        <v>0.140590766932469</v>
      </c>
      <c r="I47" s="33">
        <f t="shared" si="11"/>
        <v>0.16248017436215709</v>
      </c>
      <c r="J47" s="33">
        <f t="shared" si="11"/>
        <v>0.41612893362316206</v>
      </c>
      <c r="K47" s="33" t="str">
        <f t="shared" si="11"/>
        <v xml:space="preserve"> </v>
      </c>
      <c r="L47" s="33" t="str">
        <f t="shared" si="11"/>
        <v xml:space="preserve"> </v>
      </c>
      <c r="M47" s="33"/>
    </row>
    <row r="48" spans="1:17">
      <c r="A48" s="125" t="s">
        <v>205</v>
      </c>
      <c r="B48" s="33">
        <f>Adj!C27</f>
        <v>154948</v>
      </c>
      <c r="C48" s="33">
        <f t="shared" ref="C48:L48" si="12">IF(C15&gt;$C$8," ",B48+C25+C24)</f>
        <v>190166.39199999999</v>
      </c>
      <c r="D48" s="33">
        <f t="shared" si="12"/>
        <v>227651.41216000001</v>
      </c>
      <c r="E48" s="33">
        <f t="shared" si="12"/>
        <v>272097.93606400001</v>
      </c>
      <c r="F48" s="33">
        <f t="shared" si="12"/>
        <v>324791.16440319997</v>
      </c>
      <c r="G48" s="33">
        <f t="shared" si="12"/>
        <v>370325.23614564905</v>
      </c>
      <c r="H48" s="33">
        <f t="shared" si="12"/>
        <v>404252.62589095259</v>
      </c>
      <c r="I48" s="33">
        <f t="shared" si="12"/>
        <v>423141.75066781283</v>
      </c>
      <c r="J48" s="33">
        <f t="shared" si="12"/>
        <v>425312.48051267909</v>
      </c>
      <c r="K48" s="33" t="str">
        <f t="shared" si="12"/>
        <v xml:space="preserve"> </v>
      </c>
      <c r="L48" s="33" t="str">
        <f t="shared" si="12"/>
        <v xml:space="preserve"> </v>
      </c>
      <c r="M48" s="120"/>
    </row>
    <row r="49" spans="1:13">
      <c r="A49" s="125" t="s">
        <v>206</v>
      </c>
      <c r="B49" s="29">
        <f>B22/B48</f>
        <v>5.3719253466977056E-2</v>
      </c>
      <c r="C49" s="29">
        <f t="shared" ref="C49:L49" si="13">IF(C15&gt;$C$8," ",C22/C48)</f>
        <v>4.4645978790643422E-2</v>
      </c>
      <c r="D49" s="29">
        <f t="shared" si="13"/>
        <v>4.4226988975902354E-2</v>
      </c>
      <c r="E49" s="29">
        <f t="shared" si="13"/>
        <v>4.3874534990288129E-2</v>
      </c>
      <c r="F49" s="29">
        <f t="shared" si="13"/>
        <v>4.3576322255379898E-2</v>
      </c>
      <c r="G49" s="29">
        <f t="shared" si="13"/>
        <v>4.3579950175412482E-2</v>
      </c>
      <c r="H49" s="29">
        <f t="shared" si="13"/>
        <v>4.3716955913550674E-2</v>
      </c>
      <c r="I49" s="29">
        <f t="shared" si="13"/>
        <v>4.3845914080472288E-2</v>
      </c>
      <c r="J49" s="29">
        <f t="shared" si="13"/>
        <v>4.3822384433006595E-2</v>
      </c>
      <c r="K49" s="29" t="str">
        <f t="shared" si="13"/>
        <v xml:space="preserve"> </v>
      </c>
      <c r="L49" s="29" t="str">
        <f t="shared" si="13"/>
        <v xml:space="preserve"> </v>
      </c>
      <c r="M49" s="29">
        <f>Scenarios!D30</f>
        <v>0.15</v>
      </c>
    </row>
  </sheetData>
  <sheetProtection formatCells="0" formatColumns="0" formatRows="0" insertColumns="0" insertRows="0" insertHyperlinks="0" deleteColumns="0" deleteRows="0" sort="0" autoFilter="0" pivotTables="0"/>
  <mergeCells count="9">
    <mergeCell ref="D31:E31"/>
    <mergeCell ref="D36:E36"/>
    <mergeCell ref="D37:E37"/>
    <mergeCell ref="D40:E40"/>
    <mergeCell ref="D38:E38"/>
    <mergeCell ref="D39:E39"/>
    <mergeCell ref="D34:E34"/>
    <mergeCell ref="D32:E32"/>
    <mergeCell ref="D33:E33"/>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41918017-536D-4C0A-AA20-8EFD66436456}">
          <x14:formula1>
            <xm:f>Readme!$C$53:$C$55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125"/>
  <sheetViews>
    <sheetView topLeftCell="A43" workbookViewId="0">
      <selection activeCell="F60" sqref="F60"/>
    </sheetView>
  </sheetViews>
  <sheetFormatPr defaultColWidth="8.875" defaultRowHeight="15.75"/>
  <cols>
    <col min="1" max="6" width="20.625" style="1" customWidth="1"/>
    <col min="7" max="16384" width="8.875" style="1"/>
  </cols>
  <sheetData>
    <row r="1" spans="1:9">
      <c r="A1" s="5" t="s">
        <v>2</v>
      </c>
      <c r="B1" s="8" t="s">
        <v>3</v>
      </c>
    </row>
    <row r="2" spans="1:9">
      <c r="A2" s="1" t="s">
        <v>5</v>
      </c>
      <c r="B2" s="17" t="s">
        <v>526</v>
      </c>
    </row>
    <row r="3" spans="1:9">
      <c r="A3" s="5" t="s">
        <v>4</v>
      </c>
      <c r="B3" s="132">
        <v>8.1999999999999993</v>
      </c>
    </row>
    <row r="5" spans="1:9">
      <c r="A5" s="323" t="s">
        <v>324</v>
      </c>
      <c r="B5" s="323"/>
      <c r="C5" s="323"/>
      <c r="D5" s="323"/>
      <c r="E5" s="323"/>
      <c r="G5" s="5"/>
    </row>
    <row r="6" spans="1:9">
      <c r="A6" s="111" t="s">
        <v>322</v>
      </c>
      <c r="B6" t="s">
        <v>323</v>
      </c>
      <c r="G6" s="5"/>
    </row>
    <row r="7" spans="1:9">
      <c r="A7"/>
      <c r="B7" t="s">
        <v>362</v>
      </c>
      <c r="G7" s="5"/>
    </row>
    <row r="8" spans="1:9">
      <c r="A8" s="111" t="s">
        <v>21</v>
      </c>
      <c r="B8" t="s">
        <v>325</v>
      </c>
      <c r="G8" s="5"/>
    </row>
    <row r="9" spans="1:9">
      <c r="A9"/>
      <c r="B9" t="s">
        <v>326</v>
      </c>
    </row>
    <row r="10" spans="1:9">
      <c r="A10"/>
      <c r="B10" t="s">
        <v>327</v>
      </c>
      <c r="E10" s="4"/>
      <c r="F10" s="5"/>
      <c r="H10" s="11"/>
      <c r="I10" s="11"/>
    </row>
    <row r="11" spans="1:9">
      <c r="A11"/>
      <c r="B11" t="s">
        <v>328</v>
      </c>
      <c r="E11" s="4"/>
      <c r="F11" s="5"/>
    </row>
    <row r="12" spans="1:9">
      <c r="A12"/>
      <c r="B12" t="s">
        <v>329</v>
      </c>
      <c r="E12" s="4"/>
      <c r="F12" s="5"/>
    </row>
    <row r="13" spans="1:9">
      <c r="A13"/>
      <c r="B13" t="s">
        <v>335</v>
      </c>
    </row>
    <row r="14" spans="1:9">
      <c r="A14" s="111" t="s">
        <v>334</v>
      </c>
      <c r="B14" t="s">
        <v>330</v>
      </c>
    </row>
    <row r="15" spans="1:9">
      <c r="A15"/>
      <c r="B15" t="s">
        <v>331</v>
      </c>
    </row>
    <row r="16" spans="1:9">
      <c r="A16"/>
      <c r="B16" t="s">
        <v>363</v>
      </c>
    </row>
    <row r="17" spans="1:7">
      <c r="A17"/>
      <c r="B17" t="s">
        <v>332</v>
      </c>
    </row>
    <row r="18" spans="1:7">
      <c r="A18"/>
      <c r="B18" t="s">
        <v>333</v>
      </c>
    </row>
    <row r="19" spans="1:7">
      <c r="A19" s="111" t="s">
        <v>25</v>
      </c>
      <c r="B19" t="s">
        <v>365</v>
      </c>
    </row>
    <row r="20" spans="1:7">
      <c r="A20" s="111" t="s">
        <v>336</v>
      </c>
      <c r="B20" t="s">
        <v>364</v>
      </c>
    </row>
    <row r="21" spans="1:7">
      <c r="A21"/>
      <c r="B21" t="s">
        <v>366</v>
      </c>
    </row>
    <row r="23" spans="1:7">
      <c r="A23" s="3" t="s">
        <v>1</v>
      </c>
      <c r="B23" s="4"/>
      <c r="C23" s="4"/>
      <c r="D23" s="4"/>
    </row>
    <row r="24" spans="1:7">
      <c r="A24" s="6" t="s">
        <v>313</v>
      </c>
      <c r="B24" s="4"/>
      <c r="C24" s="4"/>
      <c r="D24" s="4"/>
    </row>
    <row r="25" spans="1:7">
      <c r="A25" s="7" t="s">
        <v>314</v>
      </c>
      <c r="B25" s="4"/>
      <c r="C25" s="4"/>
      <c r="D25" s="4"/>
    </row>
    <row r="27" spans="1:7">
      <c r="A27" s="10" t="s">
        <v>6</v>
      </c>
      <c r="B27" s="9"/>
      <c r="C27" s="9"/>
      <c r="D27" s="9"/>
      <c r="E27" s="9"/>
      <c r="F27" s="9"/>
      <c r="G27" s="11"/>
    </row>
    <row r="28" spans="1:7">
      <c r="A28" s="12" t="s">
        <v>8</v>
      </c>
      <c r="C28" s="13" t="s">
        <v>13</v>
      </c>
      <c r="E28" s="13" t="s">
        <v>233</v>
      </c>
    </row>
    <row r="29" spans="1:7">
      <c r="A29" s="5" t="s">
        <v>9</v>
      </c>
      <c r="C29" s="1" t="s">
        <v>14</v>
      </c>
      <c r="E29" s="1" t="s">
        <v>234</v>
      </c>
    </row>
    <row r="30" spans="1:7">
      <c r="A30" s="5" t="s">
        <v>10</v>
      </c>
      <c r="C30" s="1" t="s">
        <v>15</v>
      </c>
      <c r="E30" s="1" t="s">
        <v>33</v>
      </c>
    </row>
    <row r="31" spans="1:7">
      <c r="A31" s="5" t="s">
        <v>11</v>
      </c>
      <c r="C31" s="1" t="s">
        <v>16</v>
      </c>
      <c r="E31" s="1" t="s">
        <v>34</v>
      </c>
    </row>
    <row r="32" spans="1:7">
      <c r="E32" s="1" t="s">
        <v>37</v>
      </c>
    </row>
    <row r="33" spans="1:5">
      <c r="A33" s="13" t="s">
        <v>372</v>
      </c>
      <c r="C33" s="13" t="s">
        <v>18</v>
      </c>
      <c r="E33" s="1" t="s">
        <v>43</v>
      </c>
    </row>
    <row r="34" spans="1:5">
      <c r="A34" s="1" t="s">
        <v>144</v>
      </c>
      <c r="C34" s="1" t="s">
        <v>17</v>
      </c>
      <c r="E34" s="1" t="s">
        <v>46</v>
      </c>
    </row>
    <row r="35" spans="1:5">
      <c r="A35" s="1" t="s">
        <v>145</v>
      </c>
      <c r="C35" s="1" t="s">
        <v>19</v>
      </c>
      <c r="E35" s="1" t="s">
        <v>235</v>
      </c>
    </row>
    <row r="36" spans="1:5">
      <c r="A36" s="1" t="s">
        <v>371</v>
      </c>
      <c r="E36" s="1" t="s">
        <v>236</v>
      </c>
    </row>
    <row r="37" spans="1:5">
      <c r="C37" s="13" t="s">
        <v>184</v>
      </c>
      <c r="E37" s="1" t="s">
        <v>237</v>
      </c>
    </row>
    <row r="38" spans="1:5">
      <c r="A38" s="41" t="s">
        <v>317</v>
      </c>
      <c r="C38" s="1" t="s">
        <v>185</v>
      </c>
      <c r="E38" s="1" t="s">
        <v>55</v>
      </c>
    </row>
    <row r="39" spans="1:5">
      <c r="A39" s="40">
        <v>0</v>
      </c>
      <c r="C39" s="1" t="s">
        <v>186</v>
      </c>
      <c r="E39" s="1" t="s">
        <v>238</v>
      </c>
    </row>
    <row r="40" spans="1:5">
      <c r="A40" s="40">
        <v>1</v>
      </c>
      <c r="C40" s="1" t="s">
        <v>187</v>
      </c>
      <c r="E40" s="1" t="s">
        <v>239</v>
      </c>
    </row>
    <row r="41" spans="1:5">
      <c r="A41" s="40">
        <v>2</v>
      </c>
      <c r="E41" s="1" t="s">
        <v>240</v>
      </c>
    </row>
    <row r="42" spans="1:5">
      <c r="A42" s="40">
        <v>3</v>
      </c>
      <c r="C42" s="12" t="s">
        <v>305</v>
      </c>
      <c r="E42" s="1" t="s">
        <v>57</v>
      </c>
    </row>
    <row r="43" spans="1:5">
      <c r="A43" s="40">
        <v>4</v>
      </c>
      <c r="C43" s="5" t="s">
        <v>7</v>
      </c>
      <c r="E43" s="1" t="s">
        <v>241</v>
      </c>
    </row>
    <row r="44" spans="1:5">
      <c r="A44" s="40">
        <v>5</v>
      </c>
      <c r="C44" s="1" t="s">
        <v>303</v>
      </c>
      <c r="E44" s="1" t="s">
        <v>58</v>
      </c>
    </row>
    <row r="45" spans="1:5">
      <c r="A45" s="13"/>
      <c r="C45" s="1" t="s">
        <v>306</v>
      </c>
      <c r="E45" s="1" t="s">
        <v>61</v>
      </c>
    </row>
    <row r="46" spans="1:5">
      <c r="A46" s="104" t="s">
        <v>319</v>
      </c>
      <c r="C46" s="1" t="s">
        <v>307</v>
      </c>
      <c r="E46" s="1" t="s">
        <v>62</v>
      </c>
    </row>
    <row r="47" spans="1:5">
      <c r="A47" s="40" t="s">
        <v>452</v>
      </c>
      <c r="C47" s="1" t="s">
        <v>308</v>
      </c>
      <c r="E47" s="1" t="s">
        <v>63</v>
      </c>
    </row>
    <row r="48" spans="1:5">
      <c r="A48" s="1" t="s">
        <v>320</v>
      </c>
      <c r="C48" s="1" t="s">
        <v>309</v>
      </c>
      <c r="E48" s="1" t="s">
        <v>242</v>
      </c>
    </row>
    <row r="49" spans="1:5">
      <c r="A49" s="1" t="s">
        <v>461</v>
      </c>
      <c r="C49" s="1" t="s">
        <v>310</v>
      </c>
      <c r="E49" s="1" t="s">
        <v>243</v>
      </c>
    </row>
    <row r="50" spans="1:5">
      <c r="A50" s="1" t="s">
        <v>321</v>
      </c>
      <c r="C50" s="1" t="s">
        <v>311</v>
      </c>
      <c r="E50" s="1" t="s">
        <v>244</v>
      </c>
    </row>
    <row r="51" spans="1:5">
      <c r="A51" s="1" t="s">
        <v>450</v>
      </c>
      <c r="E51" s="1" t="s">
        <v>245</v>
      </c>
    </row>
    <row r="52" spans="1:5">
      <c r="C52" s="13" t="s">
        <v>495</v>
      </c>
      <c r="E52" s="1" t="s">
        <v>246</v>
      </c>
    </row>
    <row r="53" spans="1:5">
      <c r="A53" s="131" t="s">
        <v>367</v>
      </c>
      <c r="C53" s="1" t="s">
        <v>496</v>
      </c>
      <c r="E53" s="1" t="s">
        <v>247</v>
      </c>
    </row>
    <row r="54" spans="1:5">
      <c r="A54" s="40">
        <v>6</v>
      </c>
      <c r="C54" s="1" t="s">
        <v>497</v>
      </c>
      <c r="E54" s="1" t="s">
        <v>248</v>
      </c>
    </row>
    <row r="55" spans="1:5">
      <c r="A55" s="40">
        <v>12</v>
      </c>
      <c r="C55" s="1" t="s">
        <v>498</v>
      </c>
      <c r="E55" s="1" t="s">
        <v>249</v>
      </c>
    </row>
    <row r="56" spans="1:5">
      <c r="E56" s="1" t="s">
        <v>75</v>
      </c>
    </row>
    <row r="57" spans="1:5">
      <c r="A57" s="13" t="s">
        <v>384</v>
      </c>
      <c r="C57" s="13" t="s">
        <v>203</v>
      </c>
      <c r="E57" s="1" t="s">
        <v>250</v>
      </c>
    </row>
    <row r="58" spans="1:5">
      <c r="A58" s="1" t="s">
        <v>385</v>
      </c>
      <c r="C58" s="1" t="s">
        <v>509</v>
      </c>
      <c r="E58" s="1" t="s">
        <v>251</v>
      </c>
    </row>
    <row r="59" spans="1:5">
      <c r="A59" s="1" t="s">
        <v>386</v>
      </c>
      <c r="C59" s="1" t="s">
        <v>510</v>
      </c>
      <c r="E59" s="1" t="s">
        <v>252</v>
      </c>
    </row>
    <row r="60" spans="1:5">
      <c r="E60" s="1" t="s">
        <v>77</v>
      </c>
    </row>
    <row r="61" spans="1:5">
      <c r="A61" s="13" t="s">
        <v>412</v>
      </c>
      <c r="C61" s="13" t="s">
        <v>528</v>
      </c>
      <c r="E61" s="1" t="s">
        <v>253</v>
      </c>
    </row>
    <row r="62" spans="1:5">
      <c r="A62" s="1" t="s">
        <v>411</v>
      </c>
      <c r="C62" s="242">
        <f>C63-(C64-C63)</f>
        <v>0.16666666666666663</v>
      </c>
      <c r="E62" s="1" t="s">
        <v>254</v>
      </c>
    </row>
    <row r="63" spans="1:5">
      <c r="A63" s="1" t="s">
        <v>413</v>
      </c>
      <c r="C63" s="242">
        <f>1/3</f>
        <v>0.33333333333333331</v>
      </c>
      <c r="E63" s="1" t="s">
        <v>255</v>
      </c>
    </row>
    <row r="64" spans="1:5">
      <c r="C64" s="242">
        <v>0.5</v>
      </c>
      <c r="E64" s="1" t="s">
        <v>80</v>
      </c>
    </row>
    <row r="65" spans="1:5">
      <c r="A65" s="13" t="s">
        <v>517</v>
      </c>
      <c r="C65" s="242">
        <f>C64+(C64-C63)</f>
        <v>0.66666666666666674</v>
      </c>
      <c r="E65" s="1" t="s">
        <v>81</v>
      </c>
    </row>
    <row r="66" spans="1:5">
      <c r="A66" s="1" t="s">
        <v>500</v>
      </c>
      <c r="C66" s="242">
        <f>C65+(C64-C63)</f>
        <v>0.83333333333333348</v>
      </c>
      <c r="E66" s="1" t="s">
        <v>256</v>
      </c>
    </row>
    <row r="67" spans="1:5">
      <c r="A67" s="1" t="s">
        <v>501</v>
      </c>
      <c r="E67" s="1" t="s">
        <v>257</v>
      </c>
    </row>
    <row r="68" spans="1:5">
      <c r="A68" s="1" t="s">
        <v>502</v>
      </c>
      <c r="E68" s="1" t="s">
        <v>258</v>
      </c>
    </row>
    <row r="69" spans="1:5">
      <c r="A69" s="1" t="s">
        <v>516</v>
      </c>
      <c r="E69" s="1" t="s">
        <v>259</v>
      </c>
    </row>
    <row r="70" spans="1:5">
      <c r="A70" s="1" t="s">
        <v>518</v>
      </c>
      <c r="E70" s="1" t="s">
        <v>260</v>
      </c>
    </row>
    <row r="71" spans="1:5">
      <c r="A71" s="1" t="s">
        <v>519</v>
      </c>
      <c r="E71" s="1" t="s">
        <v>89</v>
      </c>
    </row>
    <row r="72" spans="1:5">
      <c r="E72" s="1" t="s">
        <v>261</v>
      </c>
    </row>
    <row r="73" spans="1:5">
      <c r="E73" s="1" t="s">
        <v>90</v>
      </c>
    </row>
    <row r="74" spans="1:5">
      <c r="E74" s="1" t="s">
        <v>91</v>
      </c>
    </row>
    <row r="75" spans="1:5">
      <c r="E75" s="1" t="s">
        <v>262</v>
      </c>
    </row>
    <row r="76" spans="1:5">
      <c r="E76" s="1" t="s">
        <v>263</v>
      </c>
    </row>
    <row r="77" spans="1:5">
      <c r="E77" s="1" t="s">
        <v>94</v>
      </c>
    </row>
    <row r="78" spans="1:5">
      <c r="E78" s="1" t="s">
        <v>264</v>
      </c>
    </row>
    <row r="79" spans="1:5">
      <c r="E79" s="1" t="s">
        <v>265</v>
      </c>
    </row>
    <row r="80" spans="1:5">
      <c r="E80" s="1" t="s">
        <v>100</v>
      </c>
    </row>
    <row r="81" spans="5:5">
      <c r="E81" s="1" t="s">
        <v>266</v>
      </c>
    </row>
    <row r="82" spans="5:5">
      <c r="E82" s="1" t="s">
        <v>267</v>
      </c>
    </row>
    <row r="83" spans="5:5">
      <c r="E83" s="1" t="s">
        <v>268</v>
      </c>
    </row>
    <row r="84" spans="5:5">
      <c r="E84" s="1" t="s">
        <v>269</v>
      </c>
    </row>
    <row r="85" spans="5:5">
      <c r="E85" s="1" t="s">
        <v>270</v>
      </c>
    </row>
    <row r="86" spans="5:5">
      <c r="E86" s="1" t="s">
        <v>271</v>
      </c>
    </row>
    <row r="87" spans="5:5">
      <c r="E87" s="1" t="s">
        <v>112</v>
      </c>
    </row>
    <row r="88" spans="5:5">
      <c r="E88" s="1" t="s">
        <v>272</v>
      </c>
    </row>
    <row r="89" spans="5:5">
      <c r="E89" s="1" t="s">
        <v>273</v>
      </c>
    </row>
    <row r="90" spans="5:5">
      <c r="E90" s="1" t="s">
        <v>274</v>
      </c>
    </row>
    <row r="91" spans="5:5">
      <c r="E91" s="1" t="s">
        <v>275</v>
      </c>
    </row>
    <row r="92" spans="5:5">
      <c r="E92" s="1" t="s">
        <v>118</v>
      </c>
    </row>
    <row r="93" spans="5:5">
      <c r="E93" s="1" t="s">
        <v>276</v>
      </c>
    </row>
    <row r="94" spans="5:5">
      <c r="E94" s="1" t="s">
        <v>277</v>
      </c>
    </row>
    <row r="95" spans="5:5">
      <c r="E95" s="1" t="s">
        <v>278</v>
      </c>
    </row>
    <row r="96" spans="5:5">
      <c r="E96" s="1" t="s">
        <v>120</v>
      </c>
    </row>
    <row r="97" spans="5:5">
      <c r="E97" s="1" t="s">
        <v>279</v>
      </c>
    </row>
    <row r="98" spans="5:5">
      <c r="E98" s="1" t="s">
        <v>280</v>
      </c>
    </row>
    <row r="99" spans="5:5">
      <c r="E99" s="1" t="s">
        <v>281</v>
      </c>
    </row>
    <row r="100" spans="5:5">
      <c r="E100" s="1" t="s">
        <v>282</v>
      </c>
    </row>
    <row r="101" spans="5:5">
      <c r="E101" s="1" t="s">
        <v>283</v>
      </c>
    </row>
    <row r="102" spans="5:5">
      <c r="E102" s="1" t="s">
        <v>284</v>
      </c>
    </row>
    <row r="103" spans="5:5">
      <c r="E103" s="1" t="s">
        <v>285</v>
      </c>
    </row>
    <row r="104" spans="5:5">
      <c r="E104" s="1" t="s">
        <v>286</v>
      </c>
    </row>
    <row r="105" spans="5:5">
      <c r="E105" s="1" t="s">
        <v>122</v>
      </c>
    </row>
    <row r="106" spans="5:5">
      <c r="E106" s="1" t="s">
        <v>287</v>
      </c>
    </row>
    <row r="107" spans="5:5">
      <c r="E107" s="1" t="s">
        <v>126</v>
      </c>
    </row>
    <row r="108" spans="5:5">
      <c r="E108" s="1" t="s">
        <v>288</v>
      </c>
    </row>
    <row r="109" spans="5:5">
      <c r="E109" s="1" t="s">
        <v>289</v>
      </c>
    </row>
    <row r="110" spans="5:5">
      <c r="E110" s="1" t="s">
        <v>128</v>
      </c>
    </row>
    <row r="111" spans="5:5">
      <c r="E111" s="1" t="s">
        <v>290</v>
      </c>
    </row>
    <row r="112" spans="5:5">
      <c r="E112" s="1" t="s">
        <v>291</v>
      </c>
    </row>
    <row r="113" spans="5:5">
      <c r="E113" s="1" t="s">
        <v>292</v>
      </c>
    </row>
    <row r="114" spans="5:5">
      <c r="E114" s="1" t="s">
        <v>293</v>
      </c>
    </row>
    <row r="115" spans="5:5">
      <c r="E115" s="1" t="s">
        <v>294</v>
      </c>
    </row>
    <row r="116" spans="5:5">
      <c r="E116" s="1" t="s">
        <v>131</v>
      </c>
    </row>
    <row r="117" spans="5:5">
      <c r="E117" s="1" t="s">
        <v>132</v>
      </c>
    </row>
    <row r="118" spans="5:5">
      <c r="E118" s="1" t="s">
        <v>136</v>
      </c>
    </row>
    <row r="119" spans="5:5">
      <c r="E119" s="1" t="s">
        <v>295</v>
      </c>
    </row>
    <row r="120" spans="5:5">
      <c r="E120" s="1" t="s">
        <v>296</v>
      </c>
    </row>
    <row r="121" spans="5:5">
      <c r="E121" s="1" t="s">
        <v>297</v>
      </c>
    </row>
    <row r="122" spans="5:5">
      <c r="E122" s="1" t="s">
        <v>298</v>
      </c>
    </row>
    <row r="123" spans="5:5">
      <c r="E123" s="1" t="s">
        <v>299</v>
      </c>
    </row>
    <row r="124" spans="5:5">
      <c r="E124" s="1" t="s">
        <v>300</v>
      </c>
    </row>
    <row r="125" spans="5:5">
      <c r="E125" s="1" t="s">
        <v>301</v>
      </c>
    </row>
  </sheetData>
  <mergeCells count="1">
    <mergeCell ref="A5:E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60</vt:i4>
      </vt:variant>
    </vt:vector>
  </HeadingPairs>
  <TitlesOfParts>
    <vt:vector size="66" baseType="lpstr">
      <vt:lpstr>Master Inputs</vt:lpstr>
      <vt:lpstr>Adj</vt:lpstr>
      <vt:lpstr>Scenarios</vt:lpstr>
      <vt:lpstr>WACC</vt:lpstr>
      <vt:lpstr>Base Model</vt:lpstr>
      <vt:lpstr>Readme</vt:lpstr>
      <vt:lpstr>Adj_Ebit</vt:lpstr>
      <vt:lpstr>Adj_Effective_T</vt:lpstr>
      <vt:lpstr>Adj_WCSalesRatio</vt:lpstr>
      <vt:lpstr>Base_Ebit_g</vt:lpstr>
      <vt:lpstr>Base_ReinvestRate</vt:lpstr>
      <vt:lpstr>Base_ROC</vt:lpstr>
      <vt:lpstr>Bear_Ebit_g</vt:lpstr>
      <vt:lpstr>Bear_ReinvestRate</vt:lpstr>
      <vt:lpstr>Bear_ROC</vt:lpstr>
      <vt:lpstr>Bull_Ebit_g</vt:lpstr>
      <vt:lpstr>Bull_ReinvestRate</vt:lpstr>
      <vt:lpstr>Bull_ROC</vt:lpstr>
      <vt:lpstr>Cash</vt:lpstr>
      <vt:lpstr>CF_Currency</vt:lpstr>
      <vt:lpstr>Cur_BvEbit</vt:lpstr>
      <vt:lpstr>Cur_Effective_T</vt:lpstr>
      <vt:lpstr>Cur_InterestExpense</vt:lpstr>
      <vt:lpstr>Cur_Op_Assets</vt:lpstr>
      <vt:lpstr>Cur_Sales</vt:lpstr>
      <vt:lpstr>Cur_WC_Change</vt:lpstr>
      <vt:lpstr>Current_Asset</vt:lpstr>
      <vt:lpstr>Current_Liabilities</vt:lpstr>
      <vt:lpstr>Current_Price</vt:lpstr>
      <vt:lpstr>Exchange_Rate</vt:lpstr>
      <vt:lpstr>In_Capex</vt:lpstr>
      <vt:lpstr>In_Cash</vt:lpstr>
      <vt:lpstr>In_Debt</vt:lpstr>
      <vt:lpstr>In_Dep</vt:lpstr>
      <vt:lpstr>In_EBIT</vt:lpstr>
      <vt:lpstr>In_Equity</vt:lpstr>
      <vt:lpstr>In_NetCapex</vt:lpstr>
      <vt:lpstr>In_Sales</vt:lpstr>
      <vt:lpstr>In_WCInv</vt:lpstr>
      <vt:lpstr>Is_Listed</vt:lpstr>
      <vt:lpstr>M_beyond10K</vt:lpstr>
      <vt:lpstr>Marginal_TaxRate</vt:lpstr>
      <vt:lpstr>MI</vt:lpstr>
      <vt:lpstr>Model_CAP_Length</vt:lpstr>
      <vt:lpstr>Model_Ebit</vt:lpstr>
      <vt:lpstr>Model_Ebit_g</vt:lpstr>
      <vt:lpstr>Model_EbitGrowth_Total</vt:lpstr>
      <vt:lpstr>Model_EbitMargin</vt:lpstr>
      <vt:lpstr>Model_ReinvestRate</vt:lpstr>
      <vt:lpstr>Model_Sales</vt:lpstr>
      <vt:lpstr>Model_Year</vt:lpstr>
      <vt:lpstr>MV_Debt</vt:lpstr>
      <vt:lpstr>NetCapex_Adj</vt:lpstr>
      <vt:lpstr>NonCash_WC</vt:lpstr>
      <vt:lpstr>NonOperating_Assets</vt:lpstr>
      <vt:lpstr>Num_of_Shares</vt:lpstr>
      <vt:lpstr>PB_Company</vt:lpstr>
      <vt:lpstr>Price_Currency</vt:lpstr>
      <vt:lpstr>Riskfree_rate</vt:lpstr>
      <vt:lpstr>Stable_WACC</vt:lpstr>
      <vt:lpstr>Terminal_Ebit</vt:lpstr>
      <vt:lpstr>Terminal_Ebit_g</vt:lpstr>
      <vt:lpstr>Terminal_EbitMargin</vt:lpstr>
      <vt:lpstr>Terminal_Sales</vt:lpstr>
      <vt:lpstr>WACC_CAP</vt:lpstr>
      <vt:lpstr>WACC_Stable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User</cp:lastModifiedBy>
  <dcterms:created xsi:type="dcterms:W3CDTF">2020-02-11T08:54:29Z</dcterms:created>
  <dcterms:modified xsi:type="dcterms:W3CDTF">2021-04-08T09:25:43Z</dcterms:modified>
</cp:coreProperties>
</file>