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erry\PycharmProjects\Company_Analysis_v1\financial_analysis\Opportunities\"/>
    </mc:Choice>
  </mc:AlternateContent>
  <xr:revisionPtr revIDLastSave="0" documentId="13_ncr:1_{4D844922-2523-430B-A170-B9E56A65CDBC}" xr6:coauthVersionLast="47" xr6:coauthVersionMax="47" xr10:uidLastSave="{00000000-0000-0000-0000-000000000000}"/>
  <bookViews>
    <workbookView xWindow="-98" yWindow="-98" windowWidth="17115" windowHeight="10755" activeTab="3" xr2:uid="{00000000-000D-0000-FFFF-FFFF00000000}"/>
  </bookViews>
  <sheets>
    <sheet name="摘要" sheetId="1" r:id="rId1"/>
    <sheet name="PL" sheetId="5" r:id="rId2"/>
    <sheet name="BS" sheetId="4" r:id="rId3"/>
    <sheet name="股东" sheetId="6" r:id="rId4"/>
    <sheet name="IPO资料" sheetId="3" r:id="rId5"/>
  </sheets>
  <definedNames>
    <definedName name="common_shares">摘要!$C$7</definedName>
    <definedName name="exchange_rate">摘要!$C$20</definedName>
    <definedName name="market_cap">摘要!$C$8</definedName>
    <definedName name="Market_currency">摘要!$D$6</definedName>
    <definedName name="scaling_factor">PL!$B$1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9" i="6"/>
  <c r="B34" i="6"/>
  <c r="E16" i="3"/>
  <c r="C17" i="3"/>
  <c r="E17" i="3" s="1"/>
  <c r="E18" i="3" s="1"/>
  <c r="E11" i="3"/>
  <c r="E9" i="3"/>
  <c r="C9" i="3"/>
  <c r="C19" i="6"/>
  <c r="E12" i="6" s="1"/>
  <c r="C18" i="6"/>
  <c r="D17" i="6"/>
  <c r="C17" i="6" s="1"/>
  <c r="D10" i="6"/>
  <c r="D11" i="6"/>
  <c r="D9" i="6"/>
  <c r="C4" i="6"/>
  <c r="G4" i="4"/>
  <c r="C72" i="4"/>
  <c r="C70" i="4"/>
  <c r="C60" i="4"/>
  <c r="C59" i="4"/>
  <c r="C58" i="4"/>
  <c r="C63" i="4"/>
  <c r="D63" i="4" s="1"/>
  <c r="B45" i="4"/>
  <c r="H1" i="4"/>
  <c r="G34" i="4"/>
  <c r="G33" i="4"/>
  <c r="C49" i="4" s="1"/>
  <c r="D43" i="5"/>
  <c r="E43" i="5"/>
  <c r="F43" i="5"/>
  <c r="G43" i="5"/>
  <c r="H43" i="5"/>
  <c r="I43" i="5"/>
  <c r="J43" i="5"/>
  <c r="K43" i="5"/>
  <c r="L43" i="5"/>
  <c r="M43" i="5"/>
  <c r="N43" i="5"/>
  <c r="D44" i="5"/>
  <c r="E44" i="5"/>
  <c r="F44" i="5"/>
  <c r="G44" i="5"/>
  <c r="H44" i="5"/>
  <c r="I44" i="5"/>
  <c r="J44" i="5"/>
  <c r="K44" i="5"/>
  <c r="L44" i="5"/>
  <c r="M44" i="5"/>
  <c r="N44" i="5"/>
  <c r="I42" i="5"/>
  <c r="I45" i="5"/>
  <c r="L53" i="5"/>
  <c r="L54" i="5" s="1"/>
  <c r="L59" i="5" s="1"/>
  <c r="M53" i="5"/>
  <c r="M54" i="5" s="1"/>
  <c r="M59" i="5" s="1"/>
  <c r="N53" i="5"/>
  <c r="N54" i="5" s="1"/>
  <c r="N59" i="5" s="1"/>
  <c r="L35" i="5"/>
  <c r="M35" i="5"/>
  <c r="N35" i="5"/>
  <c r="L38" i="5"/>
  <c r="M38" i="5"/>
  <c r="N38" i="5"/>
  <c r="L39" i="5"/>
  <c r="M39" i="5"/>
  <c r="N39" i="5"/>
  <c r="L40" i="5"/>
  <c r="M40" i="5"/>
  <c r="N40" i="5"/>
  <c r="L47" i="5"/>
  <c r="M47" i="5"/>
  <c r="N47" i="5"/>
  <c r="L49" i="5"/>
  <c r="M49" i="5"/>
  <c r="N49" i="5"/>
  <c r="K28" i="5"/>
  <c r="L28" i="5"/>
  <c r="M28" i="5"/>
  <c r="L18" i="5"/>
  <c r="L45" i="5" s="1"/>
  <c r="M18" i="5"/>
  <c r="M45" i="5" s="1"/>
  <c r="N18" i="5"/>
  <c r="N45" i="5" s="1"/>
  <c r="M16" i="5"/>
  <c r="L16" i="5"/>
  <c r="L12" i="5"/>
  <c r="L42" i="5" s="1"/>
  <c r="M12" i="5"/>
  <c r="M42" i="5" s="1"/>
  <c r="N12" i="5"/>
  <c r="N42" i="5" s="1"/>
  <c r="L6" i="5"/>
  <c r="M6" i="5"/>
  <c r="N6" i="5"/>
  <c r="N36" i="5" s="1"/>
  <c r="L7" i="5"/>
  <c r="L37" i="5" s="1"/>
  <c r="M7" i="5"/>
  <c r="M37" i="5" s="1"/>
  <c r="N7" i="5"/>
  <c r="N37" i="5" s="1"/>
  <c r="J53" i="5"/>
  <c r="J54" i="5" s="1"/>
  <c r="J59" i="5" s="1"/>
  <c r="K53" i="5"/>
  <c r="K54" i="5" s="1"/>
  <c r="K59" i="5" s="1"/>
  <c r="J35" i="5"/>
  <c r="K35" i="5"/>
  <c r="J38" i="5"/>
  <c r="K38" i="5"/>
  <c r="J39" i="5"/>
  <c r="K39" i="5"/>
  <c r="J40" i="5"/>
  <c r="K40" i="5"/>
  <c r="J47" i="5"/>
  <c r="K47" i="5"/>
  <c r="J49" i="5"/>
  <c r="K49" i="5"/>
  <c r="I28" i="5"/>
  <c r="J28" i="5"/>
  <c r="K16" i="5"/>
  <c r="J18" i="5"/>
  <c r="J45" i="5" s="1"/>
  <c r="K18" i="5"/>
  <c r="K45" i="5" s="1"/>
  <c r="J12" i="5"/>
  <c r="J42" i="5" s="1"/>
  <c r="K12" i="5"/>
  <c r="K42" i="5" s="1"/>
  <c r="J6" i="5"/>
  <c r="J36" i="5" s="1"/>
  <c r="K6" i="5"/>
  <c r="K29" i="5" s="1"/>
  <c r="J7" i="5"/>
  <c r="J37" i="5" s="1"/>
  <c r="K7" i="5"/>
  <c r="H53" i="5"/>
  <c r="H54" i="5" s="1"/>
  <c r="H59" i="5" s="1"/>
  <c r="I53" i="5"/>
  <c r="I54" i="5" s="1"/>
  <c r="I59" i="5" s="1"/>
  <c r="H35" i="5"/>
  <c r="I35" i="5"/>
  <c r="H38" i="5"/>
  <c r="I38" i="5"/>
  <c r="H39" i="5"/>
  <c r="I39" i="5"/>
  <c r="H40" i="5"/>
  <c r="I40" i="5"/>
  <c r="H47" i="5"/>
  <c r="I47" i="5"/>
  <c r="H49" i="5"/>
  <c r="I49" i="5"/>
  <c r="H28" i="5"/>
  <c r="H18" i="5"/>
  <c r="H45" i="5" s="1"/>
  <c r="I18" i="5"/>
  <c r="H12" i="5"/>
  <c r="H42" i="5" s="1"/>
  <c r="I12" i="5"/>
  <c r="H7" i="5"/>
  <c r="H37" i="5" s="1"/>
  <c r="I7" i="5"/>
  <c r="I37" i="5" s="1"/>
  <c r="E28" i="5"/>
  <c r="F28" i="5"/>
  <c r="G28" i="5"/>
  <c r="D28" i="5"/>
  <c r="H6" i="5"/>
  <c r="H36" i="5" s="1"/>
  <c r="I6" i="5"/>
  <c r="I36" i="5" s="1"/>
  <c r="C17" i="1"/>
  <c r="B2" i="5"/>
  <c r="C16" i="1"/>
  <c r="F1" i="4" s="1"/>
  <c r="E13" i="6" l="1"/>
  <c r="D13" i="6"/>
  <c r="C13" i="6"/>
  <c r="J60" i="5"/>
  <c r="K61" i="5"/>
  <c r="M11" i="5"/>
  <c r="M41" i="5" s="1"/>
  <c r="K60" i="5"/>
  <c r="L11" i="5"/>
  <c r="L41" i="5" s="1"/>
  <c r="H60" i="5"/>
  <c r="K11" i="5"/>
  <c r="K41" i="5" s="1"/>
  <c r="K30" i="5"/>
  <c r="J61" i="5"/>
  <c r="L60" i="5"/>
  <c r="J11" i="5"/>
  <c r="J30" i="5"/>
  <c r="H30" i="5"/>
  <c r="I30" i="5"/>
  <c r="I29" i="5"/>
  <c r="M21" i="5"/>
  <c r="M46" i="5" s="1"/>
  <c r="M29" i="5"/>
  <c r="J29" i="5"/>
  <c r="K36" i="5"/>
  <c r="L29" i="5"/>
  <c r="M36" i="5"/>
  <c r="L36" i="5"/>
  <c r="N61" i="5"/>
  <c r="N11" i="5"/>
  <c r="M61" i="5"/>
  <c r="H29" i="5"/>
  <c r="I61" i="5"/>
  <c r="L61" i="5"/>
  <c r="H11" i="5"/>
  <c r="H41" i="5" s="1"/>
  <c r="H61" i="5"/>
  <c r="M30" i="5"/>
  <c r="N60" i="5"/>
  <c r="I11" i="5"/>
  <c r="I41" i="5" s="1"/>
  <c r="I60" i="5"/>
  <c r="L30" i="5"/>
  <c r="M60" i="5"/>
  <c r="K37" i="5"/>
  <c r="E53" i="5"/>
  <c r="E61" i="5" s="1"/>
  <c r="F53" i="5"/>
  <c r="F60" i="5" s="1"/>
  <c r="G53" i="5"/>
  <c r="G60" i="5" s="1"/>
  <c r="D53" i="5"/>
  <c r="D61" i="5" s="1"/>
  <c r="E55" i="5"/>
  <c r="D55" i="5"/>
  <c r="E54" i="5"/>
  <c r="D54" i="5"/>
  <c r="F35" i="5"/>
  <c r="G35" i="5"/>
  <c r="F38" i="5"/>
  <c r="G38" i="5"/>
  <c r="F39" i="5"/>
  <c r="G39" i="5"/>
  <c r="F40" i="5"/>
  <c r="G40" i="5"/>
  <c r="F47" i="5"/>
  <c r="G47" i="5"/>
  <c r="F49" i="5"/>
  <c r="G49" i="5"/>
  <c r="F18" i="5"/>
  <c r="F45" i="5" s="1"/>
  <c r="G18" i="5"/>
  <c r="G45" i="5" s="1"/>
  <c r="E12" i="5"/>
  <c r="E42" i="5" s="1"/>
  <c r="F12" i="5"/>
  <c r="F42" i="5" s="1"/>
  <c r="G12" i="5"/>
  <c r="G42" i="5" s="1"/>
  <c r="G17" i="5"/>
  <c r="F17" i="5"/>
  <c r="F7" i="5"/>
  <c r="G7" i="5"/>
  <c r="F6" i="5"/>
  <c r="G6" i="5"/>
  <c r="D49" i="5"/>
  <c r="E49" i="5"/>
  <c r="E35" i="5"/>
  <c r="E38" i="5"/>
  <c r="E39" i="5"/>
  <c r="E40" i="5"/>
  <c r="E47" i="5"/>
  <c r="D47" i="5"/>
  <c r="D38" i="5"/>
  <c r="D39" i="5"/>
  <c r="D40" i="5"/>
  <c r="D35" i="5"/>
  <c r="G41" i="4"/>
  <c r="H22" i="4"/>
  <c r="D22" i="4"/>
  <c r="D10" i="4"/>
  <c r="C10" i="4"/>
  <c r="G10" i="4"/>
  <c r="C11" i="4" s="1"/>
  <c r="H10" i="4"/>
  <c r="D17" i="5"/>
  <c r="E18" i="5"/>
  <c r="E45" i="5" s="1"/>
  <c r="D18" i="5"/>
  <c r="D45" i="5" s="1"/>
  <c r="C1" i="5"/>
  <c r="C2" i="5" s="1"/>
  <c r="D6" i="5"/>
  <c r="E6" i="5"/>
  <c r="D7" i="5"/>
  <c r="E7" i="5"/>
  <c r="D12" i="5"/>
  <c r="D42" i="5" s="1"/>
  <c r="E17" i="5"/>
  <c r="D2" i="5"/>
  <c r="E1" i="5"/>
  <c r="F1" i="5" s="1"/>
  <c r="E73" i="4"/>
  <c r="E72" i="4"/>
  <c r="E71" i="4"/>
  <c r="E70" i="4"/>
  <c r="C57" i="4"/>
  <c r="D64" i="4" s="1"/>
  <c r="D66" i="4" s="1"/>
  <c r="D65" i="4" s="1"/>
  <c r="B46" i="4"/>
  <c r="C38" i="4"/>
  <c r="C40" i="4" s="1"/>
  <c r="G39" i="4"/>
  <c r="G32" i="4"/>
  <c r="G22" i="4"/>
  <c r="G38" i="4"/>
  <c r="D23" i="4" l="1"/>
  <c r="J21" i="5"/>
  <c r="J46" i="5" s="1"/>
  <c r="J41" i="5"/>
  <c r="M31" i="5"/>
  <c r="N41" i="5"/>
  <c r="K31" i="5"/>
  <c r="K21" i="5"/>
  <c r="L21" i="5"/>
  <c r="L46" i="5" s="1"/>
  <c r="L31" i="5"/>
  <c r="J31" i="5"/>
  <c r="G37" i="5"/>
  <c r="G30" i="5"/>
  <c r="H31" i="5"/>
  <c r="H21" i="5"/>
  <c r="H46" i="5" s="1"/>
  <c r="I31" i="5"/>
  <c r="I21" i="5"/>
  <c r="I46" i="5" s="1"/>
  <c r="N21" i="5"/>
  <c r="N46" i="5" s="1"/>
  <c r="M23" i="5"/>
  <c r="M48" i="5" s="1"/>
  <c r="F30" i="5"/>
  <c r="E37" i="5"/>
  <c r="E30" i="5"/>
  <c r="D37" i="5"/>
  <c r="D30" i="5"/>
  <c r="E36" i="5"/>
  <c r="E29" i="5"/>
  <c r="F36" i="5"/>
  <c r="F29" i="5"/>
  <c r="D36" i="5"/>
  <c r="D29" i="5"/>
  <c r="G36" i="5"/>
  <c r="G29" i="5"/>
  <c r="F54" i="5"/>
  <c r="F59" i="5" s="1"/>
  <c r="G54" i="5"/>
  <c r="G59" i="5" s="1"/>
  <c r="D60" i="5"/>
  <c r="G61" i="5"/>
  <c r="F61" i="5"/>
  <c r="E60" i="5"/>
  <c r="E59" i="5"/>
  <c r="D59" i="5"/>
  <c r="F11" i="5"/>
  <c r="F41" i="5" s="1"/>
  <c r="G11" i="5"/>
  <c r="F37" i="5"/>
  <c r="D11" i="4"/>
  <c r="H27" i="4"/>
  <c r="H37" i="4"/>
  <c r="G27" i="4"/>
  <c r="H28" i="4"/>
  <c r="D71" i="4"/>
  <c r="C22" i="4"/>
  <c r="C23" i="4" s="1"/>
  <c r="H40" i="4"/>
  <c r="D70" i="4"/>
  <c r="D57" i="4"/>
  <c r="C71" i="4" s="1"/>
  <c r="C73" i="4" s="1"/>
  <c r="E11" i="5"/>
  <c r="D11" i="5"/>
  <c r="D41" i="5" s="1"/>
  <c r="G1" i="5"/>
  <c r="H1" i="5" s="1"/>
  <c r="F2" i="5"/>
  <c r="E2" i="5"/>
  <c r="D72" i="4"/>
  <c r="C64" i="4"/>
  <c r="J23" i="5" l="1"/>
  <c r="J48" i="5" s="1"/>
  <c r="E31" i="5"/>
  <c r="E41" i="5"/>
  <c r="K23" i="5"/>
  <c r="K48" i="5" s="1"/>
  <c r="K46" i="5"/>
  <c r="G31" i="5"/>
  <c r="G41" i="5"/>
  <c r="L23" i="5"/>
  <c r="L48" i="5" s="1"/>
  <c r="J25" i="5"/>
  <c r="J50" i="5" s="1"/>
  <c r="N23" i="5"/>
  <c r="N48" i="5" s="1"/>
  <c r="H23" i="5"/>
  <c r="H48" i="5" s="1"/>
  <c r="M25" i="5"/>
  <c r="M50" i="5" s="1"/>
  <c r="D31" i="5"/>
  <c r="I23" i="5"/>
  <c r="I48" i="5" s="1"/>
  <c r="F21" i="5"/>
  <c r="F31" i="5"/>
  <c r="G21" i="5"/>
  <c r="G46" i="5" s="1"/>
  <c r="D21" i="5"/>
  <c r="D46" i="5" s="1"/>
  <c r="E21" i="5"/>
  <c r="E46" i="5" s="1"/>
  <c r="G28" i="4"/>
  <c r="G37" i="4"/>
  <c r="H26" i="4"/>
  <c r="H29" i="4" s="1"/>
  <c r="H30" i="4" s="1"/>
  <c r="D45" i="4" s="1"/>
  <c r="D46" i="4" s="1"/>
  <c r="D73" i="4"/>
  <c r="I1" i="5"/>
  <c r="H2" i="5"/>
  <c r="G2" i="5"/>
  <c r="K25" i="5" l="1"/>
  <c r="K50" i="5" s="1"/>
  <c r="L32" i="5"/>
  <c r="K32" i="5"/>
  <c r="F23" i="5"/>
  <c r="F48" i="5" s="1"/>
  <c r="F46" i="5"/>
  <c r="L25" i="5"/>
  <c r="L50" i="5" s="1"/>
  <c r="J32" i="5"/>
  <c r="I25" i="5"/>
  <c r="I50" i="5" s="1"/>
  <c r="I32" i="5"/>
  <c r="N25" i="5"/>
  <c r="N50" i="5" s="1"/>
  <c r="M32" i="5"/>
  <c r="H32" i="5"/>
  <c r="H25" i="5"/>
  <c r="H50" i="5" s="1"/>
  <c r="F25" i="5"/>
  <c r="F50" i="5" s="1"/>
  <c r="G23" i="5"/>
  <c r="G48" i="5" s="1"/>
  <c r="E23" i="5"/>
  <c r="D23" i="5"/>
  <c r="J1" i="5"/>
  <c r="I2" i="5"/>
  <c r="D48" i="5" l="1"/>
  <c r="E32" i="5"/>
  <c r="E48" i="5"/>
  <c r="F32" i="5"/>
  <c r="G32" i="5"/>
  <c r="D32" i="5"/>
  <c r="G25" i="5"/>
  <c r="G50" i="5" s="1"/>
  <c r="D25" i="5"/>
  <c r="D50" i="5" s="1"/>
  <c r="E25" i="5"/>
  <c r="E50" i="5" s="1"/>
  <c r="J2" i="5"/>
  <c r="K1" i="5"/>
  <c r="B4" i="1"/>
  <c r="D8" i="1"/>
  <c r="C8" i="1"/>
  <c r="C10" i="1" s="1"/>
  <c r="C9" i="1" l="1"/>
  <c r="K2" i="5"/>
  <c r="L1" i="5"/>
  <c r="M1" i="5" l="1"/>
  <c r="L2" i="5"/>
  <c r="M2" i="5" l="1"/>
  <c r="N1" i="5"/>
  <c r="N2" i="5" s="1"/>
  <c r="G40" i="4"/>
  <c r="G26" i="4" l="1"/>
  <c r="G29" i="4" l="1"/>
  <c r="C50" i="4" s="1"/>
  <c r="G30" i="4" l="1"/>
  <c r="C45" i="4" s="1"/>
  <c r="C53" i="4"/>
  <c r="C29" i="4"/>
  <c r="C31" i="4" s="1"/>
  <c r="C11" i="1" l="1"/>
  <c r="C46" i="4"/>
</calcChain>
</file>

<file path=xl/sharedStrings.xml><?xml version="1.0" encoding="utf-8"?>
<sst xmlns="http://schemas.openxmlformats.org/spreadsheetml/2006/main" count="306" uniqueCount="225">
  <si>
    <t>HKD</t>
    <phoneticPr fontId="1" type="noConversion"/>
  </si>
  <si>
    <t>8406.HK</t>
  </si>
  <si>
    <t>行业：</t>
  </si>
  <si>
    <t>非必需性消費 - 家庭電器及用品 - 玩具及消閒用品</t>
  </si>
  <si>
    <t>股票名称及代码：</t>
  </si>
  <si>
    <t>股</t>
  </si>
  <si>
    <t>总股本：</t>
  </si>
  <si>
    <t>Most Recent Quarter</t>
    <phoneticPr fontId="2" type="noConversion"/>
  </si>
  <si>
    <t>Book</t>
    <phoneticPr fontId="2" type="noConversion"/>
  </si>
  <si>
    <t>Valued @</t>
    <phoneticPr fontId="2" type="noConversion"/>
  </si>
  <si>
    <t>Balance Sheet Analysis</t>
    <phoneticPr fontId="2" type="noConversion"/>
  </si>
  <si>
    <t>Asset Value Stress Test</t>
    <phoneticPr fontId="2" type="noConversion"/>
  </si>
  <si>
    <t>Stress Test</t>
    <phoneticPr fontId="2" type="noConversion"/>
  </si>
  <si>
    <t>Notes</t>
    <phoneticPr fontId="2" type="noConversion"/>
  </si>
  <si>
    <t>Leverage %</t>
    <phoneticPr fontId="2" type="noConversion"/>
  </si>
  <si>
    <t>Normalized</t>
    <phoneticPr fontId="2" type="noConversion"/>
  </si>
  <si>
    <t>Latest</t>
    <phoneticPr fontId="2" type="noConversion"/>
  </si>
  <si>
    <t>Debt/EBIT</t>
    <phoneticPr fontId="2" type="noConversion"/>
  </si>
  <si>
    <t>NCI %</t>
    <phoneticPr fontId="2" type="noConversion"/>
  </si>
  <si>
    <t>Est. of NCI Ownership Percentage</t>
    <phoneticPr fontId="2" type="noConversion"/>
  </si>
  <si>
    <t>Rough Estimate only</t>
    <phoneticPr fontId="2" type="noConversion"/>
  </si>
  <si>
    <t>Non-operating Assets Analysis</t>
    <phoneticPr fontId="2" type="noConversion"/>
  </si>
  <si>
    <t>Non-Operating</t>
    <phoneticPr fontId="2" type="noConversion"/>
  </si>
  <si>
    <t>Cash</t>
    <phoneticPr fontId="2" type="noConversion"/>
  </si>
  <si>
    <t>Non-Operating Cash is the Excess cash not required for operations</t>
    <phoneticPr fontId="2" type="noConversion"/>
  </si>
  <si>
    <t>Cash Management Analysis</t>
    <phoneticPr fontId="2" type="noConversion"/>
  </si>
  <si>
    <t>Monthly Operating Expenses</t>
    <phoneticPr fontId="2" type="noConversion"/>
  </si>
  <si>
    <t>Variable + Fixed Costs &amp; Dividends</t>
    <phoneticPr fontId="2" type="noConversion"/>
  </si>
  <si>
    <t>Operating Expenses Multiple (months)</t>
    <phoneticPr fontId="2" type="noConversion"/>
  </si>
  <si>
    <t>Companies typically need cash to cover 1 to 2 months of operating expenses</t>
    <phoneticPr fontId="2" type="noConversion"/>
  </si>
  <si>
    <t>Operating Cash Requirement</t>
    <phoneticPr fontId="2" type="noConversion"/>
  </si>
  <si>
    <t>1x for stable businesses, 2x for for volatile ones, 6x for cash hoarders</t>
    <phoneticPr fontId="2" type="noConversion"/>
  </si>
  <si>
    <t>Operating Cash Multiple (months)</t>
    <phoneticPr fontId="2" type="noConversion"/>
  </si>
  <si>
    <t>Rough Estimate</t>
    <phoneticPr fontId="2" type="noConversion"/>
  </si>
  <si>
    <t>Other Non-operating Assets</t>
    <phoneticPr fontId="2" type="noConversion"/>
  </si>
  <si>
    <t>Non-FCF Value of the Equity Value</t>
    <phoneticPr fontId="2" type="noConversion"/>
  </si>
  <si>
    <t>Non-FCF Value</t>
    <phoneticPr fontId="2" type="noConversion"/>
  </si>
  <si>
    <t>Per-Share</t>
    <phoneticPr fontId="2" type="noConversion"/>
  </si>
  <si>
    <t>Interest-bearing Debt</t>
    <phoneticPr fontId="2" type="noConversion"/>
  </si>
  <si>
    <t>Non-operating Cash</t>
    <phoneticPr fontId="2" type="noConversion"/>
  </si>
  <si>
    <t>Total Non-FCF Value</t>
    <phoneticPr fontId="2" type="noConversion"/>
  </si>
  <si>
    <t>收入</t>
  </si>
  <si>
    <t>毛利</t>
  </si>
  <si>
    <t>销售成本</t>
  </si>
  <si>
    <t>其他收入</t>
  </si>
  <si>
    <t>运营费用</t>
  </si>
  <si>
    <t>其中：销售费用</t>
  </si>
  <si>
    <t>其中：行政及其他开支</t>
  </si>
  <si>
    <t>研发费用</t>
  </si>
  <si>
    <t>投资收益</t>
  </si>
  <si>
    <t>其中：合营公司业绩</t>
  </si>
  <si>
    <t>减值亏损</t>
  </si>
  <si>
    <t>所得税开支</t>
  </si>
  <si>
    <t>税前利润</t>
  </si>
  <si>
    <t>运营利润</t>
  </si>
  <si>
    <t>净融资成本</t>
  </si>
  <si>
    <t>其中：融资成本</t>
  </si>
  <si>
    <t>其中：融资收入</t>
  </si>
  <si>
    <t>税后利润</t>
  </si>
  <si>
    <t>少数股东权益</t>
  </si>
  <si>
    <t>归母税后利润</t>
  </si>
  <si>
    <t>銷售紗線及聚酯</t>
  </si>
  <si>
    <t>收入构成</t>
  </si>
  <si>
    <t>流动运营资产</t>
  </si>
  <si>
    <t>流动非运营资产</t>
  </si>
  <si>
    <t>流动资产</t>
  </si>
  <si>
    <t>流动资产总计</t>
  </si>
  <si>
    <t>应收款</t>
  </si>
  <si>
    <t>预付款、合约资产等</t>
  </si>
  <si>
    <t>存货</t>
  </si>
  <si>
    <t>金融资产</t>
  </si>
  <si>
    <t>可收回税项</t>
  </si>
  <si>
    <t>其他流动资产</t>
  </si>
  <si>
    <t>现金及银行结余</t>
  </si>
  <si>
    <t>投资物业</t>
  </si>
  <si>
    <t>商誉</t>
  </si>
  <si>
    <t>分类为持作出售之资产</t>
  </si>
  <si>
    <t>非流动运营资产</t>
  </si>
  <si>
    <t>非流动非运营资产</t>
  </si>
  <si>
    <t>账面</t>
  </si>
  <si>
    <t>银行存款</t>
  </si>
  <si>
    <t>物业、厂房及设备</t>
  </si>
  <si>
    <t>使用权资产</t>
  </si>
  <si>
    <t>无形资产</t>
  </si>
  <si>
    <t>其他非流动资产</t>
  </si>
  <si>
    <t>合营或联营资产</t>
  </si>
  <si>
    <t>收入%</t>
  </si>
  <si>
    <t>流动负债</t>
  </si>
  <si>
    <t>非流动负债</t>
  </si>
  <si>
    <t>中國口腔產業集團</t>
  </si>
  <si>
    <t>人民币</t>
  </si>
  <si>
    <t>财务信息</t>
  </si>
  <si>
    <t>充氣產品業務</t>
  </si>
  <si>
    <t>牙醫診所業務</t>
  </si>
  <si>
    <t>紗線及聚酯業務</t>
  </si>
  <si>
    <t>上一个财年：</t>
  </si>
  <si>
    <t>报表货币：</t>
  </si>
  <si>
    <t>最新财报：</t>
  </si>
  <si>
    <t>市值：</t>
  </si>
  <si>
    <t>PE倍数：</t>
  </si>
  <si>
    <t>PS倍数：</t>
  </si>
  <si>
    <t>PB倍数：</t>
  </si>
  <si>
    <t>收入YoY %</t>
  </si>
  <si>
    <t>其他</t>
  </si>
  <si>
    <t>CNY/HKD</t>
  </si>
  <si>
    <t>汇率：</t>
  </si>
  <si>
    <t>公司摘要</t>
  </si>
  <si>
    <t>更新时间：</t>
  </si>
  <si>
    <t>损益表</t>
  </si>
  <si>
    <t>其中：行政及其他费用</t>
  </si>
  <si>
    <t>租赁负债</t>
  </si>
  <si>
    <t>金融负债</t>
  </si>
  <si>
    <t>应付股东借款</t>
  </si>
  <si>
    <t>其他流动负债</t>
  </si>
  <si>
    <t>其他非流动负债</t>
  </si>
  <si>
    <t>资产负债表摘要</t>
  </si>
  <si>
    <t>总资产</t>
  </si>
  <si>
    <t>非流动资产</t>
  </si>
  <si>
    <t>借贷</t>
  </si>
  <si>
    <t>资产摘要</t>
  </si>
  <si>
    <t>权益总额</t>
  </si>
  <si>
    <t>股东权益</t>
  </si>
  <si>
    <t>总负债</t>
  </si>
  <si>
    <t>有息借贷</t>
  </si>
  <si>
    <t>运营资产</t>
  </si>
  <si>
    <t>有息借贷+租赁负债</t>
  </si>
  <si>
    <t>现金及存款</t>
  </si>
  <si>
    <t>非运营资产</t>
  </si>
  <si>
    <t>Liabilities/Equity</t>
  </si>
  <si>
    <t>受限制存款</t>
  </si>
  <si>
    <t>Non-operating Assets</t>
  </si>
  <si>
    <t>Securities</t>
  </si>
  <si>
    <t>JV or associate</t>
  </si>
  <si>
    <t>Properties</t>
  </si>
  <si>
    <t>资产负债表</t>
  </si>
  <si>
    <t>股票名称</t>
  </si>
  <si>
    <t>合寶豐年控股有限公司（旧名）</t>
  </si>
  <si>
    <t>股票代码</t>
  </si>
  <si>
    <t>行业</t>
  </si>
  <si>
    <t>发售市值</t>
  </si>
  <si>
    <t>6300万港元</t>
  </si>
  <si>
    <t>面值</t>
  </si>
  <si>
    <t>0.01 港元</t>
  </si>
  <si>
    <t>发行市盈率</t>
  </si>
  <si>
    <t>每手股数</t>
  </si>
  <si>
    <t>10,000股</t>
  </si>
  <si>
    <t>发行首日涨跌</t>
  </si>
  <si>
    <t>3,200港元</t>
  </si>
  <si>
    <t>上市地点</t>
  </si>
  <si>
    <t>香港GEM板</t>
  </si>
  <si>
    <t>发行时间</t>
  </si>
  <si>
    <t>发行首日收盘价</t>
  </si>
  <si>
    <t>每手金额</t>
  </si>
  <si>
    <t>发行结果</t>
  </si>
  <si>
    <t>基本信息</t>
  </si>
  <si>
    <t>IPO资料</t>
  </si>
  <si>
    <t>绿鞋(超额配售选择权)</t>
  </si>
  <si>
    <t>否</t>
  </si>
  <si>
    <t>是否执行绿鞋</t>
  </si>
  <si>
    <t>公开发售有效认购股数(股)</t>
  </si>
  <si>
    <t>公开发售认购倍数</t>
  </si>
  <si>
    <t>专业机构</t>
  </si>
  <si>
    <t>主承销商</t>
  </si>
  <si>
    <t>富比資本有限公司,平安证券有限公司</t>
  </si>
  <si>
    <t>保荐人</t>
  </si>
  <si>
    <t>富比資本有限公司</t>
  </si>
  <si>
    <t>公司律师</t>
  </si>
  <si>
    <t>陳馮吳律師事務所(香港法律)；廣東華商律師事務所(中国法律)</t>
  </si>
  <si>
    <t>保荐人律师</t>
  </si>
  <si>
    <t>梁延達律師事務所(香港法律)；北京市盈科（深圳）律師事務所(中国法律)</t>
  </si>
  <si>
    <t>审计师</t>
  </si>
  <si>
    <t>國衛會計師事務所有限公司</t>
  </si>
  <si>
    <t>其中：金融资产收益</t>
  </si>
  <si>
    <t>其中：投资性房地产收益</t>
  </si>
  <si>
    <t>嚴萍</t>
  </si>
  <si>
    <t>是否董事</t>
  </si>
  <si>
    <t>陳榮任</t>
  </si>
  <si>
    <t>占股本%</t>
  </si>
  <si>
    <t>持有股数</t>
  </si>
  <si>
    <t>注册股本：</t>
  </si>
  <si>
    <t>发行股本：</t>
  </si>
  <si>
    <t>面值：</t>
  </si>
  <si>
    <t>Cuie Lin及關連人士</t>
  </si>
  <si>
    <t>是</t>
  </si>
  <si>
    <t>备注</t>
  </si>
  <si>
    <t>控股股東</t>
  </si>
  <si>
    <t>大股东</t>
  </si>
  <si>
    <t>股本情况</t>
  </si>
  <si>
    <t>25年1月现金认购新股</t>
  </si>
  <si>
    <t>24年1月因收购获得新股</t>
  </si>
  <si>
    <t>变动日期</t>
  </si>
  <si>
    <t>股东名称</t>
  </si>
  <si>
    <t>变动后股数</t>
  </si>
  <si>
    <t>变动股数</t>
  </si>
  <si>
    <t>-</t>
  </si>
  <si>
    <t>IPO</t>
  </si>
  <si>
    <t>收購</t>
  </si>
  <si>
    <t>認購</t>
  </si>
  <si>
    <t>配售</t>
  </si>
  <si>
    <t>上市后股本变化</t>
  </si>
  <si>
    <t>IPO发行股份 (股)</t>
  </si>
  <si>
    <t>IPO待售股份 (股)</t>
  </si>
  <si>
    <t>IPO发售总数 (股)</t>
  </si>
  <si>
    <t>发售价</t>
  </si>
  <si>
    <t>配售股数(股)</t>
  </si>
  <si>
    <t>公开发售股数(股)</t>
  </si>
  <si>
    <t>实际募集资金总额 (港元)</t>
  </si>
  <si>
    <t>实际募集资金净额 (港元)</t>
  </si>
  <si>
    <t>实际发行费用 (港元)</t>
  </si>
  <si>
    <t>实际发行费用占比</t>
  </si>
  <si>
    <t>卖出4亿股</t>
  </si>
  <si>
    <t>嚴萍 (现控股股东)</t>
  </si>
  <si>
    <t>多次买卖</t>
  </si>
  <si>
    <t>当时股份占比</t>
  </si>
  <si>
    <t>卖出0.75亿股</t>
  </si>
  <si>
    <t>李景新 (原IPO控股股东)</t>
  </si>
  <si>
    <t>收购获得1.8亿股</t>
  </si>
  <si>
    <t>最高曾持股</t>
  </si>
  <si>
    <t>总计</t>
  </si>
  <si>
    <t>na</t>
  </si>
  <si>
    <t>22年11月配售获得新股</t>
  </si>
  <si>
    <t>不少于6名承配人</t>
  </si>
  <si>
    <t>买入6亿股</t>
  </si>
  <si>
    <t>卖出1亿股</t>
  </si>
  <si>
    <t>前收市价：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</si>
</sst>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yyyy\-mm\-dd"/>
    <numFmt numFmtId="165" formatCode="#,##0&quot;mm&quot;"/>
    <numFmt numFmtId="166" formatCode="#,##0.000"/>
    <numFmt numFmtId="167" formatCode="yyyy\-mm\-dd;@"/>
    <numFmt numFmtId="168" formatCode="&quot;in &quot;#,##0&quot;s&quot;"/>
    <numFmt numFmtId="169" formatCode="#,##0_);\(#,##0\)"/>
    <numFmt numFmtId="170" formatCode="0.00\x"/>
    <numFmt numFmtId="171" formatCode="0.0\x"/>
    <numFmt numFmtId="172" formatCode="0\x"/>
    <numFmt numFmtId="173" formatCode="#,##0.00_);\(#,##0.00\)"/>
    <numFmt numFmtId="174" formatCode="#,##0;[Red]#,##0"/>
    <numFmt numFmtId="175" formatCode="0.0%"/>
  </numFmts>
  <fonts count="4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Microsoft YaHei"/>
      <family val="2"/>
    </font>
    <font>
      <b/>
      <sz val="9"/>
      <color theme="1"/>
      <name val="Microsoft YaHei"/>
      <family val="2"/>
    </font>
    <font>
      <sz val="9"/>
      <color rgb="FF0000FF"/>
      <name val="Microsoft YaHei"/>
      <family val="2"/>
    </font>
    <font>
      <b/>
      <sz val="9"/>
      <color rgb="FF000000"/>
      <name val="Microsoft YaHei"/>
      <family val="2"/>
    </font>
    <font>
      <b/>
      <sz val="9"/>
      <name val="Microsoft YaHei"/>
      <family val="2"/>
    </font>
    <font>
      <sz val="11"/>
      <color theme="1"/>
      <name val="Microsoft YaHei"/>
      <family val="2"/>
    </font>
    <font>
      <sz val="10"/>
      <color theme="0"/>
      <name val="Microsoft YaHei"/>
      <family val="2"/>
    </font>
    <font>
      <sz val="9"/>
      <name val="Microsoft YaHei"/>
      <family val="2"/>
    </font>
    <font>
      <sz val="9"/>
      <color theme="1"/>
      <name val="Microsoft YaHei"/>
      <family val="2"/>
    </font>
    <font>
      <sz val="10"/>
      <color rgb="FF000000"/>
      <name val="Calibri"/>
      <family val="2"/>
      <scheme val="minor"/>
    </font>
    <font>
      <b/>
      <sz val="9"/>
      <color rgb="FF002060"/>
      <name val="Calibri Light"/>
      <family val="2"/>
      <scheme val="major"/>
    </font>
    <font>
      <sz val="9"/>
      <color rgb="FF0000FF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name val="Calibri Light"/>
      <family val="2"/>
      <scheme val="major"/>
    </font>
    <font>
      <i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i/>
      <u/>
      <sz val="9"/>
      <color rgb="FF000000"/>
      <name val="Calibri Light"/>
      <family val="2"/>
      <scheme val="major"/>
    </font>
    <font>
      <i/>
      <u/>
      <sz val="9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B05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b/>
      <i/>
      <u/>
      <sz val="9"/>
      <color rgb="FF00000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9"/>
      <name val="Calibri Light"/>
      <family val="2"/>
      <scheme val="major"/>
    </font>
    <font>
      <b/>
      <sz val="9"/>
      <color rgb="FF0000FF"/>
      <name val="Calibri Light"/>
      <family val="2"/>
      <scheme val="major"/>
    </font>
    <font>
      <b/>
      <i/>
      <u/>
      <sz val="9"/>
      <name val="Calibri Light"/>
      <family val="2"/>
      <scheme val="major"/>
    </font>
    <font>
      <i/>
      <sz val="9"/>
      <color rgb="FF000000"/>
      <name val="Calibri Light"/>
      <family val="2"/>
      <scheme val="major"/>
    </font>
    <font>
      <i/>
      <sz val="9"/>
      <color rgb="FF00B050"/>
      <name val="Calibri Light"/>
      <family val="2"/>
      <scheme val="major"/>
    </font>
    <font>
      <u/>
      <sz val="9"/>
      <color rgb="FF000000"/>
      <name val="Calibri Light"/>
      <family val="2"/>
      <scheme val="major"/>
    </font>
    <font>
      <sz val="9"/>
      <color rgb="FF000000"/>
      <name val="Calibri"/>
      <family val="2"/>
      <scheme val="minor"/>
    </font>
    <font>
      <i/>
      <sz val="11"/>
      <color rgb="FF000000"/>
      <name val="Microsoft YaHei"/>
      <family val="2"/>
    </font>
    <font>
      <b/>
      <sz val="11"/>
      <color rgb="FF0000FF"/>
      <name val="Microsoft YaHei"/>
      <family val="2"/>
    </font>
    <font>
      <b/>
      <sz val="11"/>
      <name val="Microsoft YaHei"/>
      <family val="2"/>
    </font>
    <font>
      <sz val="11"/>
      <color rgb="FF000000"/>
      <name val="Microsoft YaHei"/>
      <family val="2"/>
    </font>
    <font>
      <sz val="11"/>
      <color theme="0"/>
      <name val="Microsoft YaHei"/>
      <family val="2"/>
    </font>
    <font>
      <b/>
      <sz val="11"/>
      <color rgb="FF000000"/>
      <name val="Microsoft YaHei"/>
      <family val="2"/>
    </font>
    <font>
      <i/>
      <sz val="11"/>
      <color rgb="FF0000FF"/>
      <name val="Microsoft YaHei"/>
      <family val="2"/>
    </font>
    <font>
      <sz val="11"/>
      <name val="Microsoft YaHei"/>
      <family val="2"/>
    </font>
    <font>
      <sz val="11"/>
      <color rgb="FF0000FF"/>
      <name val="Microsoft YaHei"/>
      <family val="2"/>
    </font>
    <font>
      <i/>
      <sz val="11"/>
      <name val="Microsoft YaHei"/>
      <family val="2"/>
    </font>
    <font>
      <i/>
      <sz val="11"/>
      <color theme="0"/>
      <name val="Microsoft YaHei"/>
      <family val="2"/>
    </font>
    <font>
      <b/>
      <sz val="10"/>
      <color theme="1"/>
      <name val="Microsoft YaHei"/>
      <family val="2"/>
    </font>
    <font>
      <b/>
      <sz val="11"/>
      <color theme="1"/>
      <name val="Microsoft YaHei"/>
      <family val="2"/>
    </font>
    <font>
      <sz val="10"/>
      <color theme="1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rgb="FF003871"/>
        <bgColor indexed="64"/>
      </patternFill>
    </fill>
    <fill>
      <patternFill patternType="solid">
        <fgColor rgb="FF003871"/>
        <bgColor rgb="FF1C4587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52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11" fillId="0" borderId="2" xfId="0" applyFont="1" applyBorder="1"/>
    <xf numFmtId="0" fontId="5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166" fontId="5" fillId="0" borderId="2" xfId="0" applyNumberFormat="1" applyFont="1" applyBorder="1" applyAlignment="1">
      <alignment horizontal="left"/>
    </xf>
    <xf numFmtId="3" fontId="5" fillId="0" borderId="2" xfId="0" applyNumberFormat="1" applyFont="1" applyBorder="1" applyAlignment="1">
      <alignment horizontal="left"/>
    </xf>
    <xf numFmtId="3" fontId="10" fillId="0" borderId="2" xfId="0" applyNumberFormat="1" applyFont="1" applyBorder="1" applyAlignment="1">
      <alignment horizontal="left"/>
    </xf>
    <xf numFmtId="0" fontId="13" fillId="0" borderId="1" xfId="1" applyFont="1" applyBorder="1" applyAlignment="1">
      <alignment horizontal="left"/>
    </xf>
    <xf numFmtId="167" fontId="14" fillId="0" borderId="1" xfId="1" applyNumberFormat="1" applyFont="1" applyBorder="1" applyAlignment="1">
      <alignment horizontal="right"/>
    </xf>
    <xf numFmtId="0" fontId="15" fillId="0" borderId="0" xfId="1" applyFont="1"/>
    <xf numFmtId="0" fontId="16" fillId="0" borderId="1" xfId="1" applyFont="1" applyBorder="1" applyAlignment="1">
      <alignment horizontal="left"/>
    </xf>
    <xf numFmtId="168" fontId="17" fillId="0" borderId="1" xfId="1" applyNumberFormat="1" applyFont="1" applyBorder="1" applyAlignment="1">
      <alignment horizontal="right"/>
    </xf>
    <xf numFmtId="167" fontId="18" fillId="3" borderId="0" xfId="1" applyNumberFormat="1" applyFont="1" applyFill="1" applyAlignment="1">
      <alignment horizontal="left"/>
    </xf>
    <xf numFmtId="167" fontId="18" fillId="3" borderId="0" xfId="1" applyNumberFormat="1" applyFont="1" applyFill="1" applyAlignment="1">
      <alignment horizontal="center"/>
    </xf>
    <xf numFmtId="0" fontId="19" fillId="0" borderId="1" xfId="1" applyFont="1" applyBorder="1"/>
    <xf numFmtId="0" fontId="20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22" fillId="0" borderId="0" xfId="1" applyFont="1"/>
    <xf numFmtId="3" fontId="14" fillId="0" borderId="0" xfId="1" applyNumberFormat="1" applyFont="1"/>
    <xf numFmtId="10" fontId="23" fillId="0" borderId="0" xfId="1" applyNumberFormat="1" applyFont="1" applyAlignment="1">
      <alignment horizontal="right"/>
    </xf>
    <xf numFmtId="0" fontId="24" fillId="0" borderId="0" xfId="1" applyFont="1" applyAlignment="1">
      <alignment horizontal="left"/>
    </xf>
    <xf numFmtId="0" fontId="19" fillId="0" borderId="0" xfId="1" applyFont="1" applyAlignment="1">
      <alignment horizontal="left" indent="1"/>
    </xf>
    <xf numFmtId="3" fontId="19" fillId="0" borderId="0" xfId="1" applyNumberFormat="1" applyFont="1"/>
    <xf numFmtId="3" fontId="15" fillId="0" borderId="0" xfId="1" applyNumberFormat="1" applyFont="1"/>
    <xf numFmtId="0" fontId="25" fillId="0" borderId="3" xfId="1" applyFont="1" applyBorder="1"/>
    <xf numFmtId="0" fontId="20" fillId="0" borderId="4" xfId="1" applyFont="1" applyBorder="1" applyAlignment="1">
      <alignment horizontal="right"/>
    </xf>
    <xf numFmtId="0" fontId="21" fillId="0" borderId="5" xfId="1" applyFont="1" applyBorder="1" applyAlignment="1">
      <alignment horizontal="right"/>
    </xf>
    <xf numFmtId="0" fontId="26" fillId="0" borderId="6" xfId="1" applyFont="1" applyBorder="1"/>
    <xf numFmtId="3" fontId="27" fillId="0" borderId="0" xfId="1" applyNumberFormat="1" applyFont="1"/>
    <xf numFmtId="169" fontId="15" fillId="0" borderId="7" xfId="1" applyNumberFormat="1" applyFont="1" applyBorder="1"/>
    <xf numFmtId="0" fontId="22" fillId="0" borderId="6" xfId="1" applyFont="1" applyBorder="1" applyAlignment="1">
      <alignment horizontal="left" indent="1"/>
    </xf>
    <xf numFmtId="169" fontId="14" fillId="0" borderId="0" xfId="1" applyNumberFormat="1" applyFont="1" applyAlignment="1">
      <alignment horizontal="right"/>
    </xf>
    <xf numFmtId="0" fontId="15" fillId="0" borderId="6" xfId="1" applyFont="1" applyBorder="1" applyAlignment="1">
      <alignment horizontal="left" indent="1"/>
    </xf>
    <xf numFmtId="3" fontId="16" fillId="0" borderId="0" xfId="1" applyNumberFormat="1" applyFont="1" applyAlignment="1">
      <alignment horizontal="right"/>
    </xf>
    <xf numFmtId="3" fontId="16" fillId="0" borderId="0" xfId="1" applyNumberFormat="1" applyFont="1"/>
    <xf numFmtId="0" fontId="19" fillId="0" borderId="6" xfId="1" applyFont="1" applyBorder="1" applyAlignment="1">
      <alignment horizontal="left"/>
    </xf>
    <xf numFmtId="0" fontId="26" fillId="0" borderId="0" xfId="1" applyFont="1" applyAlignment="1">
      <alignment horizontal="left" indent="1"/>
    </xf>
    <xf numFmtId="3" fontId="28" fillId="0" borderId="0" xfId="1" applyNumberFormat="1" applyFont="1"/>
    <xf numFmtId="0" fontId="15" fillId="0" borderId="6" xfId="1" applyFont="1" applyBorder="1"/>
    <xf numFmtId="0" fontId="15" fillId="0" borderId="7" xfId="1" applyFont="1" applyBorder="1"/>
    <xf numFmtId="0" fontId="25" fillId="0" borderId="6" xfId="1" applyFont="1" applyBorder="1"/>
    <xf numFmtId="0" fontId="21" fillId="0" borderId="7" xfId="1" applyFont="1" applyBorder="1" applyAlignment="1">
      <alignment horizontal="right"/>
    </xf>
    <xf numFmtId="0" fontId="19" fillId="0" borderId="6" xfId="1" applyFont="1" applyBorder="1"/>
    <xf numFmtId="3" fontId="15" fillId="0" borderId="7" xfId="1" applyNumberFormat="1" applyFont="1" applyBorder="1"/>
    <xf numFmtId="0" fontId="15" fillId="0" borderId="8" xfId="1" applyFont="1" applyBorder="1" applyAlignment="1">
      <alignment horizontal="left" indent="1"/>
    </xf>
    <xf numFmtId="3" fontId="15" fillId="0" borderId="1" xfId="1" applyNumberFormat="1" applyFont="1" applyBorder="1"/>
    <xf numFmtId="0" fontId="25" fillId="0" borderId="0" xfId="1" applyFont="1" applyAlignment="1">
      <alignment horizontal="right"/>
    </xf>
    <xf numFmtId="0" fontId="20" fillId="0" borderId="0" xfId="1" applyFont="1"/>
    <xf numFmtId="169" fontId="15" fillId="0" borderId="0" xfId="1" applyNumberFormat="1" applyFont="1"/>
    <xf numFmtId="0" fontId="16" fillId="0" borderId="0" xfId="1" applyFont="1"/>
    <xf numFmtId="0" fontId="29" fillId="0" borderId="0" xfId="1" quotePrefix="1" applyFont="1" applyAlignment="1">
      <alignment horizontal="left" wrapText="1"/>
    </xf>
    <xf numFmtId="0" fontId="15" fillId="0" borderId="0" xfId="1" quotePrefix="1" applyFont="1"/>
    <xf numFmtId="170" fontId="16" fillId="0" borderId="0" xfId="1" quotePrefix="1" applyNumberFormat="1" applyFont="1" applyAlignment="1">
      <alignment horizontal="right" wrapText="1"/>
    </xf>
    <xf numFmtId="10" fontId="15" fillId="0" borderId="0" xfId="1" applyNumberFormat="1" applyFont="1"/>
    <xf numFmtId="0" fontId="15" fillId="0" borderId="0" xfId="1" applyFont="1" applyAlignment="1">
      <alignment horizontal="left"/>
    </xf>
    <xf numFmtId="0" fontId="25" fillId="0" borderId="0" xfId="1" applyFont="1"/>
    <xf numFmtId="0" fontId="30" fillId="0" borderId="0" xfId="1" applyFont="1" applyAlignment="1">
      <alignment horizontal="left"/>
    </xf>
    <xf numFmtId="171" fontId="30" fillId="0" borderId="0" xfId="1" applyNumberFormat="1" applyFont="1"/>
    <xf numFmtId="169" fontId="27" fillId="4" borderId="0" xfId="1" applyNumberFormat="1" applyFont="1" applyFill="1"/>
    <xf numFmtId="169" fontId="27" fillId="0" borderId="0" xfId="1" applyNumberFormat="1" applyFont="1"/>
    <xf numFmtId="0" fontId="30" fillId="0" borderId="0" xfId="1" applyFont="1" applyAlignment="1">
      <alignment horizontal="left" indent="1"/>
    </xf>
    <xf numFmtId="0" fontId="30" fillId="4" borderId="0" xfId="1" applyFont="1" applyFill="1"/>
    <xf numFmtId="172" fontId="31" fillId="0" borderId="0" xfId="1" applyNumberFormat="1" applyFont="1"/>
    <xf numFmtId="0" fontId="32" fillId="0" borderId="0" xfId="1" applyFont="1" applyAlignment="1">
      <alignment horizontal="right"/>
    </xf>
    <xf numFmtId="0" fontId="33" fillId="0" borderId="0" xfId="1" quotePrefix="1" applyFont="1"/>
    <xf numFmtId="173" fontId="15" fillId="0" borderId="0" xfId="1" applyNumberFormat="1" applyFont="1"/>
    <xf numFmtId="0" fontId="15" fillId="0" borderId="0" xfId="1" applyFont="1" applyAlignment="1">
      <alignment horizontal="right"/>
    </xf>
    <xf numFmtId="169" fontId="19" fillId="0" borderId="0" xfId="1" applyNumberFormat="1" applyFont="1"/>
    <xf numFmtId="173" fontId="19" fillId="0" borderId="0" xfId="1" applyNumberFormat="1" applyFont="1"/>
    <xf numFmtId="0" fontId="19" fillId="0" borderId="0" xfId="1" applyFont="1"/>
    <xf numFmtId="167" fontId="35" fillId="0" borderId="0" xfId="1" applyNumberFormat="1" applyFont="1" applyAlignment="1">
      <alignment horizontal="center"/>
    </xf>
    <xf numFmtId="167" fontId="36" fillId="0" borderId="0" xfId="1" applyNumberFormat="1" applyFont="1" applyAlignment="1">
      <alignment horizontal="center"/>
    </xf>
    <xf numFmtId="0" fontId="37" fillId="0" borderId="0" xfId="1" applyFont="1"/>
    <xf numFmtId="167" fontId="38" fillId="3" borderId="0" xfId="1" applyNumberFormat="1" applyFont="1" applyFill="1" applyAlignment="1">
      <alignment horizontal="center"/>
    </xf>
    <xf numFmtId="0" fontId="39" fillId="0" borderId="1" xfId="1" applyFont="1" applyBorder="1"/>
    <xf numFmtId="0" fontId="41" fillId="0" borderId="0" xfId="1" applyFont="1" applyAlignment="1">
      <alignment horizontal="left"/>
    </xf>
    <xf numFmtId="169" fontId="42" fillId="0" borderId="0" xfId="1" applyNumberFormat="1" applyFont="1" applyAlignment="1">
      <alignment horizontal="right"/>
    </xf>
    <xf numFmtId="0" fontId="41" fillId="0" borderId="0" xfId="1" quotePrefix="1" applyFont="1" applyAlignment="1">
      <alignment horizontal="left"/>
    </xf>
    <xf numFmtId="0" fontId="36" fillId="0" borderId="0" xfId="1" quotePrefix="1" applyFont="1" applyAlignment="1">
      <alignment horizontal="left" indent="1"/>
    </xf>
    <xf numFmtId="169" fontId="36" fillId="0" borderId="0" xfId="1" applyNumberFormat="1" applyFont="1" applyAlignment="1">
      <alignment horizontal="right"/>
    </xf>
    <xf numFmtId="169" fontId="41" fillId="0" borderId="0" xfId="1" applyNumberFormat="1" applyFont="1" applyAlignment="1">
      <alignment horizontal="right"/>
    </xf>
    <xf numFmtId="0" fontId="43" fillId="0" borderId="0" xfId="1" quotePrefix="1" applyFont="1" applyAlignment="1">
      <alignment horizontal="left" indent="1"/>
    </xf>
    <xf numFmtId="169" fontId="40" fillId="0" borderId="0" xfId="1" applyNumberFormat="1" applyFont="1" applyAlignment="1">
      <alignment horizontal="right"/>
    </xf>
    <xf numFmtId="169" fontId="35" fillId="0" borderId="0" xfId="1" applyNumberFormat="1" applyFont="1" applyAlignment="1">
      <alignment horizontal="right"/>
    </xf>
    <xf numFmtId="0" fontId="39" fillId="0" borderId="0" xfId="1" applyFont="1"/>
    <xf numFmtId="0" fontId="34" fillId="0" borderId="0" xfId="1" applyFont="1" applyAlignment="1">
      <alignment horizontal="left" indent="1"/>
    </xf>
    <xf numFmtId="0" fontId="34" fillId="0" borderId="0" xfId="1" applyFont="1"/>
    <xf numFmtId="0" fontId="19" fillId="0" borderId="1" xfId="1" applyFont="1" applyBorder="1" applyAlignment="1">
      <alignment horizontal="left" indent="1"/>
    </xf>
    <xf numFmtId="3" fontId="19" fillId="0" borderId="1" xfId="1" applyNumberFormat="1" applyFont="1" applyBorder="1"/>
    <xf numFmtId="0" fontId="15" fillId="0" borderId="9" xfId="1" applyFont="1" applyBorder="1"/>
    <xf numFmtId="10" fontId="37" fillId="0" borderId="0" xfId="1" applyNumberFormat="1" applyFont="1"/>
    <xf numFmtId="10" fontId="39" fillId="0" borderId="0" xfId="1" applyNumberFormat="1" applyFont="1"/>
    <xf numFmtId="175" fontId="37" fillId="0" borderId="0" xfId="1" applyNumberFormat="1" applyFont="1"/>
    <xf numFmtId="168" fontId="40" fillId="0" borderId="1" xfId="1" applyNumberFormat="1" applyFont="1" applyBorder="1" applyAlignment="1">
      <alignment horizontal="left"/>
    </xf>
    <xf numFmtId="168" fontId="43" fillId="0" borderId="0" xfId="1" applyNumberFormat="1" applyFont="1" applyAlignment="1">
      <alignment horizontal="right"/>
    </xf>
    <xf numFmtId="174" fontId="40" fillId="0" borderId="0" xfId="1" applyNumberFormat="1" applyFont="1"/>
    <xf numFmtId="0" fontId="11" fillId="0" borderId="10" xfId="0" applyFont="1" applyBorder="1"/>
    <xf numFmtId="49" fontId="5" fillId="0" borderId="0" xfId="0" applyNumberFormat="1" applyFont="1" applyAlignment="1">
      <alignment horizontal="left"/>
    </xf>
    <xf numFmtId="0" fontId="3" fillId="0" borderId="10" xfId="0" applyFont="1" applyBorder="1"/>
    <xf numFmtId="3" fontId="10" fillId="0" borderId="12" xfId="0" applyNumberFormat="1" applyFont="1" applyBorder="1" applyAlignment="1">
      <alignment horizontal="left"/>
    </xf>
    <xf numFmtId="0" fontId="10" fillId="0" borderId="12" xfId="0" applyFont="1" applyBorder="1"/>
    <xf numFmtId="0" fontId="10" fillId="0" borderId="11" xfId="0" applyFont="1" applyBorder="1"/>
    <xf numFmtId="0" fontId="44" fillId="2" borderId="0" xfId="1" applyFont="1" applyFill="1"/>
    <xf numFmtId="14" fontId="10" fillId="0" borderId="2" xfId="0" applyNumberFormat="1" applyFont="1" applyBorder="1" applyAlignment="1">
      <alignment horizontal="left"/>
    </xf>
    <xf numFmtId="0" fontId="10" fillId="0" borderId="5" xfId="0" applyFont="1" applyBorder="1"/>
    <xf numFmtId="170" fontId="10" fillId="0" borderId="10" xfId="0" applyNumberFormat="1" applyFont="1" applyBorder="1" applyAlignment="1">
      <alignment horizontal="left"/>
    </xf>
    <xf numFmtId="170" fontId="10" fillId="0" borderId="3" xfId="0" applyNumberFormat="1" applyFont="1" applyBorder="1" applyAlignment="1">
      <alignment horizontal="left"/>
    </xf>
    <xf numFmtId="4" fontId="5" fillId="0" borderId="2" xfId="0" applyNumberFormat="1" applyFont="1" applyBorder="1" applyAlignment="1">
      <alignment horizontal="left"/>
    </xf>
    <xf numFmtId="166" fontId="15" fillId="0" borderId="0" xfId="1" applyNumberFormat="1" applyFont="1"/>
    <xf numFmtId="0" fontId="4" fillId="0" borderId="2" xfId="0" applyFont="1" applyBorder="1"/>
    <xf numFmtId="0" fontId="11" fillId="0" borderId="2" xfId="0" applyFont="1" applyBorder="1" applyAlignment="1">
      <alignment horizontal="left"/>
    </xf>
    <xf numFmtId="0" fontId="45" fillId="0" borderId="0" xfId="0" applyFont="1"/>
    <xf numFmtId="0" fontId="46" fillId="0" borderId="0" xfId="0" applyFont="1"/>
    <xf numFmtId="0" fontId="46" fillId="0" borderId="2" xfId="0" applyFont="1" applyBorder="1"/>
    <xf numFmtId="0" fontId="8" fillId="0" borderId="2" xfId="0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167" fontId="8" fillId="0" borderId="2" xfId="0" applyNumberFormat="1" applyFont="1" applyBorder="1" applyAlignment="1">
      <alignment horizontal="right"/>
    </xf>
    <xf numFmtId="170" fontId="8" fillId="0" borderId="2" xfId="0" applyNumberFormat="1" applyFont="1" applyBorder="1"/>
    <xf numFmtId="0" fontId="8" fillId="0" borderId="2" xfId="0" applyFont="1" applyBorder="1"/>
    <xf numFmtId="10" fontId="8" fillId="0" borderId="2" xfId="0" applyNumberFormat="1" applyFont="1" applyBorder="1"/>
    <xf numFmtId="10" fontId="8" fillId="0" borderId="2" xfId="0" applyNumberFormat="1" applyFont="1" applyBorder="1" applyAlignment="1">
      <alignment horizontal="right"/>
    </xf>
    <xf numFmtId="10" fontId="11" fillId="0" borderId="2" xfId="0" applyNumberFormat="1" applyFont="1" applyBorder="1" applyAlignment="1">
      <alignment horizontal="right"/>
    </xf>
    <xf numFmtId="3" fontId="8" fillId="0" borderId="2" xfId="0" applyNumberFormat="1" applyFont="1" applyBorder="1"/>
    <xf numFmtId="4" fontId="8" fillId="0" borderId="2" xfId="0" applyNumberFormat="1" applyFont="1" applyBorder="1"/>
    <xf numFmtId="0" fontId="46" fillId="0" borderId="2" xfId="0" applyFont="1" applyBorder="1" applyAlignment="1">
      <alignment horizontal="center"/>
    </xf>
    <xf numFmtId="167" fontId="8" fillId="0" borderId="2" xfId="0" applyNumberFormat="1" applyFont="1" applyBorder="1" applyAlignment="1">
      <alignment horizontal="center"/>
    </xf>
    <xf numFmtId="3" fontId="8" fillId="0" borderId="0" xfId="0" applyNumberFormat="1" applyFont="1"/>
    <xf numFmtId="0" fontId="47" fillId="0" borderId="2" xfId="0" applyFont="1" applyBorder="1" applyAlignment="1">
      <alignment horizontal="left"/>
    </xf>
    <xf numFmtId="3" fontId="47" fillId="0" borderId="2" xfId="0" applyNumberFormat="1" applyFont="1" applyBorder="1"/>
    <xf numFmtId="175" fontId="47" fillId="0" borderId="2" xfId="0" applyNumberFormat="1" applyFont="1" applyBorder="1" applyAlignment="1">
      <alignment horizontal="right"/>
    </xf>
    <xf numFmtId="3" fontId="47" fillId="0" borderId="2" xfId="0" applyNumberFormat="1" applyFont="1" applyBorder="1" applyAlignment="1">
      <alignment horizontal="right"/>
    </xf>
    <xf numFmtId="0" fontId="47" fillId="0" borderId="2" xfId="0" applyFont="1" applyBorder="1" applyAlignment="1">
      <alignment horizontal="center"/>
    </xf>
    <xf numFmtId="0" fontId="47" fillId="0" borderId="2" xfId="0" applyFont="1" applyBorder="1" applyAlignment="1">
      <alignment horizontal="right"/>
    </xf>
    <xf numFmtId="164" fontId="5" fillId="0" borderId="10" xfId="0" applyNumberFormat="1" applyFont="1" applyBorder="1" applyAlignment="1">
      <alignment horizontal="left"/>
    </xf>
    <xf numFmtId="164" fontId="5" fillId="0" borderId="11" xfId="0" applyNumberFormat="1" applyFont="1" applyBorder="1" applyAlignment="1">
      <alignment horizontal="left"/>
    </xf>
    <xf numFmtId="0" fontId="8" fillId="0" borderId="2" xfId="0" applyFont="1" applyBorder="1"/>
    <xf numFmtId="0" fontId="45" fillId="0" borderId="0" xfId="0" applyFont="1" applyAlignment="1">
      <alignment horizontal="left" indent="1"/>
    </xf>
    <xf numFmtId="3" fontId="45" fillId="0" borderId="0" xfId="0" applyNumberFormat="1" applyFont="1"/>
    <xf numFmtId="10" fontId="45" fillId="0" borderId="0" xfId="0" applyNumberFormat="1" applyFont="1"/>
    <xf numFmtId="0" fontId="47" fillId="0" borderId="0" xfId="0" applyFont="1"/>
  </cellXfs>
  <cellStyles count="2">
    <cellStyle name="常规" xfId="0" builtinId="0"/>
    <cellStyle name="常规 2" xfId="1" xr:uid="{F4A14CDE-3166-48A2-A6FE-96B158C74F08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63</xdr:row>
      <xdr:rowOff>0</xdr:rowOff>
    </xdr:from>
    <xdr:to>
      <xdr:col>6</xdr:col>
      <xdr:colOff>836501</xdr:colOff>
      <xdr:row>77</xdr:row>
      <xdr:rowOff>93393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5570955-B339-B1BF-D9DA-64125F27E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5410200"/>
          <a:ext cx="4589351" cy="2760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0"/>
  <sheetViews>
    <sheetView showGridLines="0" zoomScaleNormal="100" workbookViewId="0">
      <selection activeCell="B22" sqref="B22"/>
    </sheetView>
  </sheetViews>
  <sheetFormatPr defaultRowHeight="15"/>
  <cols>
    <col min="1" max="1" width="2.59765625" style="5" customWidth="1"/>
    <col min="2" max="2" width="23.46484375" style="5" customWidth="1"/>
    <col min="3" max="4" width="25.59765625" style="5" customWidth="1"/>
    <col min="5" max="16384" width="9.06640625" style="5"/>
  </cols>
  <sheetData>
    <row r="1" spans="1:4">
      <c r="A1" s="1"/>
      <c r="B1" s="2" t="s">
        <v>107</v>
      </c>
      <c r="C1" s="3">
        <v>45777</v>
      </c>
      <c r="D1" s="4"/>
    </row>
    <row r="2" spans="1:4">
      <c r="A2" s="6" t="s">
        <v>106</v>
      </c>
      <c r="B2" s="6"/>
      <c r="C2" s="6"/>
      <c r="D2" s="6"/>
    </row>
    <row r="4" spans="1:4">
      <c r="B4" s="12" t="str">
        <f>D5&amp;"股票信息"</f>
        <v>8406.HK股票信息</v>
      </c>
      <c r="C4" s="7"/>
      <c r="D4" s="7"/>
    </row>
    <row r="5" spans="1:4">
      <c r="B5" s="13" t="s">
        <v>4</v>
      </c>
      <c r="C5" s="14" t="s">
        <v>89</v>
      </c>
      <c r="D5" s="15" t="s">
        <v>1</v>
      </c>
    </row>
    <row r="6" spans="1:4">
      <c r="B6" s="13" t="s">
        <v>224</v>
      </c>
      <c r="C6" s="16">
        <v>8.2000000000000003E-2</v>
      </c>
      <c r="D6" s="14" t="s">
        <v>0</v>
      </c>
    </row>
    <row r="7" spans="1:4">
      <c r="B7" s="13" t="s">
        <v>6</v>
      </c>
      <c r="C7" s="17">
        <v>1368000000</v>
      </c>
      <c r="D7" s="18" t="s">
        <v>5</v>
      </c>
    </row>
    <row r="8" spans="1:4">
      <c r="B8" s="13" t="s">
        <v>98</v>
      </c>
      <c r="C8" s="111">
        <f>C6*C7</f>
        <v>112176000</v>
      </c>
      <c r="D8" s="112" t="str">
        <f>Market_currency</f>
        <v>HKD</v>
      </c>
    </row>
    <row r="9" spans="1:4">
      <c r="B9" s="108" t="s">
        <v>99</v>
      </c>
      <c r="C9" s="117" t="str">
        <f>IF(market_cap/(PL!D23*scaling_factor*exchange_rate)&lt;0,"亏损",market_cap/(PL!D23*scaling_factor*exchange_rate))</f>
        <v>亏损</v>
      </c>
      <c r="D9" s="113"/>
    </row>
    <row r="10" spans="1:4">
      <c r="B10" s="108" t="s">
        <v>100</v>
      </c>
      <c r="C10" s="117">
        <f>market_cap/(PL!D4*scaling_factor*exchange_rate)</f>
        <v>0.45820433537701333</v>
      </c>
      <c r="D10" s="113"/>
    </row>
    <row r="11" spans="1:4">
      <c r="B11" s="108" t="s">
        <v>101</v>
      </c>
      <c r="C11" s="118">
        <f>market_cap/(BS!C45*scaling_factor)</f>
        <v>0.98775798590919772</v>
      </c>
      <c r="D11" s="116"/>
    </row>
    <row r="12" spans="1:4">
      <c r="B12" s="110" t="s">
        <v>2</v>
      </c>
      <c r="C12" s="145" t="s">
        <v>3</v>
      </c>
      <c r="D12" s="146"/>
    </row>
    <row r="13" spans="1:4">
      <c r="B13" s="8"/>
      <c r="C13" s="10"/>
      <c r="D13" s="11"/>
    </row>
    <row r="14" spans="1:4">
      <c r="B14" s="12" t="s">
        <v>91</v>
      </c>
    </row>
    <row r="15" spans="1:4">
      <c r="B15" s="108" t="s">
        <v>96</v>
      </c>
      <c r="C15" s="14" t="s">
        <v>90</v>
      </c>
      <c r="D15" s="109"/>
    </row>
    <row r="16" spans="1:4">
      <c r="B16" s="108" t="s">
        <v>95</v>
      </c>
      <c r="C16" s="115">
        <f>PL!D1</f>
        <v>45657</v>
      </c>
      <c r="D16" s="9"/>
    </row>
    <row r="17" spans="2:4">
      <c r="B17" s="108" t="s">
        <v>97</v>
      </c>
      <c r="C17" s="115">
        <f>BS!C1</f>
        <v>45657</v>
      </c>
    </row>
    <row r="19" spans="2:4">
      <c r="B19" s="12" t="s">
        <v>103</v>
      </c>
    </row>
    <row r="20" spans="2:4">
      <c r="B20" s="108" t="s">
        <v>105</v>
      </c>
      <c r="C20" s="119">
        <v>1.06</v>
      </c>
      <c r="D20" s="14" t="s">
        <v>104</v>
      </c>
    </row>
  </sheetData>
  <mergeCells count="1">
    <mergeCell ref="C12:D12"/>
  </mergeCells>
  <phoneticPr fontId="1" type="noConversion"/>
  <pageMargins left="0.7" right="0.7" top="0.75" bottom="0.75" header="0.3" footer="0.3"/>
  <pageSetup paperSize="9" scale="8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195E-A1DE-4F3F-9678-91E036DE42D0}">
  <sheetPr>
    <pageSetUpPr fitToPage="1"/>
  </sheetPr>
  <dimension ref="A1:N61"/>
  <sheetViews>
    <sheetView showGridLines="0" zoomScale="93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8.796875" defaultRowHeight="15" outlineLevelRow="1"/>
  <cols>
    <col min="1" max="1" width="3" style="84" customWidth="1"/>
    <col min="2" max="2" width="29.06640625" style="84" customWidth="1"/>
    <col min="3" max="3" width="27.33203125" style="84" hidden="1" customWidth="1"/>
    <col min="4" max="14" width="20.6640625" style="84" customWidth="1"/>
    <col min="15" max="16384" width="8.796875" style="84"/>
  </cols>
  <sheetData>
    <row r="1" spans="1:14" ht="15.75">
      <c r="B1" s="105">
        <v>1000</v>
      </c>
      <c r="C1" s="83">
        <f>EOMONTH(EDATE(D1,6),0)</f>
        <v>45838</v>
      </c>
      <c r="D1" s="82">
        <v>45657</v>
      </c>
      <c r="E1" s="83">
        <f>EOMONTH(EDATE(D1,-12),0)</f>
        <v>45291</v>
      </c>
      <c r="F1" s="83">
        <f t="shared" ref="F1:N1" si="0">EOMONTH(EDATE(E1,-12),0)</f>
        <v>44926</v>
      </c>
      <c r="G1" s="83">
        <f t="shared" si="0"/>
        <v>44561</v>
      </c>
      <c r="H1" s="83">
        <f t="shared" si="0"/>
        <v>44196</v>
      </c>
      <c r="I1" s="83">
        <f t="shared" si="0"/>
        <v>43830</v>
      </c>
      <c r="J1" s="83">
        <f t="shared" si="0"/>
        <v>43465</v>
      </c>
      <c r="K1" s="83">
        <f t="shared" si="0"/>
        <v>43100</v>
      </c>
      <c r="L1" s="83">
        <f t="shared" si="0"/>
        <v>42735</v>
      </c>
      <c r="M1" s="83">
        <f t="shared" si="0"/>
        <v>42369</v>
      </c>
      <c r="N1" s="83">
        <f t="shared" si="0"/>
        <v>42004</v>
      </c>
    </row>
    <row r="2" spans="1:14">
      <c r="B2" s="114" t="str">
        <f>摘要!C15&amp;"，"&amp;PL!B1&amp;"元"</f>
        <v>人民币，1000元</v>
      </c>
      <c r="C2" s="85" t="str">
        <f>YEAR(C1)&amp;"年"&amp;MONTH(C1)&amp;"月中报"</f>
        <v>2025年6月中报</v>
      </c>
      <c r="D2" s="85" t="str">
        <f>YEAR(D1)&amp;"年"&amp;MONTH(D1)&amp;"月年报"</f>
        <v>2024年12月年报</v>
      </c>
      <c r="E2" s="85" t="str">
        <f t="shared" ref="E2:N2" si="1">YEAR(E1)&amp;"年"&amp;MONTH(E1)&amp;"月年报"</f>
        <v>2023年12月年报</v>
      </c>
      <c r="F2" s="85" t="str">
        <f t="shared" si="1"/>
        <v>2022年12月年报</v>
      </c>
      <c r="G2" s="85" t="str">
        <f t="shared" si="1"/>
        <v>2021年12月年报</v>
      </c>
      <c r="H2" s="85" t="str">
        <f t="shared" si="1"/>
        <v>2020年12月年报</v>
      </c>
      <c r="I2" s="85" t="str">
        <f t="shared" si="1"/>
        <v>2019年12月年报</v>
      </c>
      <c r="J2" s="85" t="str">
        <f t="shared" si="1"/>
        <v>2018年12月年报</v>
      </c>
      <c r="K2" s="85" t="str">
        <f t="shared" si="1"/>
        <v>2017年12月年报</v>
      </c>
      <c r="L2" s="85" t="str">
        <f t="shared" si="1"/>
        <v>2016年12月年报</v>
      </c>
      <c r="M2" s="85" t="str">
        <f t="shared" si="1"/>
        <v>2015年12月年报</v>
      </c>
      <c r="N2" s="85" t="str">
        <f t="shared" si="1"/>
        <v>2014年12月年报</v>
      </c>
    </row>
    <row r="3" spans="1:14" ht="15.75">
      <c r="A3" s="114"/>
      <c r="B3" s="86" t="s">
        <v>108</v>
      </c>
      <c r="C3" s="96"/>
    </row>
    <row r="4" spans="1:14">
      <c r="B4" s="87" t="s">
        <v>41</v>
      </c>
      <c r="C4" s="88"/>
      <c r="D4" s="88">
        <v>230959</v>
      </c>
      <c r="E4" s="88">
        <v>166917</v>
      </c>
      <c r="F4" s="88">
        <v>212519</v>
      </c>
      <c r="G4" s="88">
        <v>294917</v>
      </c>
      <c r="H4" s="88">
        <v>260735</v>
      </c>
      <c r="I4" s="88">
        <v>223831</v>
      </c>
      <c r="J4" s="88">
        <v>192977</v>
      </c>
      <c r="K4" s="88">
        <v>176810</v>
      </c>
      <c r="L4" s="88">
        <v>172347</v>
      </c>
      <c r="M4" s="88">
        <v>168802</v>
      </c>
      <c r="N4" s="88">
        <v>174809</v>
      </c>
    </row>
    <row r="5" spans="1:14">
      <c r="B5" s="89" t="s">
        <v>43</v>
      </c>
      <c r="C5" s="88"/>
      <c r="D5" s="88">
        <v>-193708</v>
      </c>
      <c r="E5" s="88">
        <v>-139882</v>
      </c>
      <c r="F5" s="88">
        <v>-194948</v>
      </c>
      <c r="G5" s="88">
        <v>-235060</v>
      </c>
      <c r="H5" s="88">
        <v>-185824</v>
      </c>
      <c r="I5" s="88">
        <v>-171437</v>
      </c>
      <c r="J5" s="88">
        <v>-144139</v>
      </c>
      <c r="K5" s="88">
        <v>-135790</v>
      </c>
      <c r="L5" s="88">
        <v>-133426</v>
      </c>
      <c r="M5" s="88">
        <v>-136775</v>
      </c>
      <c r="N5" s="88">
        <v>-144476</v>
      </c>
    </row>
    <row r="6" spans="1:14" ht="15.75">
      <c r="B6" s="90" t="s">
        <v>42</v>
      </c>
      <c r="C6" s="91"/>
      <c r="D6" s="91">
        <f>D4+D5</f>
        <v>37251</v>
      </c>
      <c r="E6" s="91">
        <f>E4+E5</f>
        <v>27035</v>
      </c>
      <c r="F6" s="91">
        <f t="shared" ref="F6:G6" si="2">F4+F5</f>
        <v>17571</v>
      </c>
      <c r="G6" s="91">
        <f t="shared" si="2"/>
        <v>59857</v>
      </c>
      <c r="H6" s="91">
        <f t="shared" ref="H6" si="3">H4+H5</f>
        <v>74911</v>
      </c>
      <c r="I6" s="91">
        <f t="shared" ref="I6" si="4">I4+I5</f>
        <v>52394</v>
      </c>
      <c r="J6" s="91">
        <f t="shared" ref="J6" si="5">J4+J5</f>
        <v>48838</v>
      </c>
      <c r="K6" s="91">
        <f t="shared" ref="K6" si="6">K4+K5</f>
        <v>41020</v>
      </c>
      <c r="L6" s="91">
        <f t="shared" ref="L6" si="7">L4+L5</f>
        <v>38921</v>
      </c>
      <c r="M6" s="91">
        <f t="shared" ref="M6" si="8">M4+M5</f>
        <v>32027</v>
      </c>
      <c r="N6" s="91">
        <f t="shared" ref="N6" si="9">N4+N5</f>
        <v>30333</v>
      </c>
    </row>
    <row r="7" spans="1:14">
      <c r="B7" s="89" t="s">
        <v>45</v>
      </c>
      <c r="C7" s="92"/>
      <c r="D7" s="92">
        <f>D8+D9</f>
        <v>-46689</v>
      </c>
      <c r="E7" s="92">
        <f>E8+E9</f>
        <v>-39767</v>
      </c>
      <c r="F7" s="92">
        <f t="shared" ref="F7:G7" si="10">F8+F9</f>
        <v>-47626</v>
      </c>
      <c r="G7" s="92">
        <f t="shared" si="10"/>
        <v>-53243</v>
      </c>
      <c r="H7" s="92">
        <f t="shared" ref="H7" si="11">H8+H9</f>
        <v>-45517</v>
      </c>
      <c r="I7" s="92">
        <f t="shared" ref="I7" si="12">I8+I9</f>
        <v>-28010</v>
      </c>
      <c r="J7" s="92">
        <f t="shared" ref="J7" si="13">J8+J9</f>
        <v>-23283</v>
      </c>
      <c r="K7" s="92">
        <f t="shared" ref="K7" si="14">K8+K9</f>
        <v>-25698</v>
      </c>
      <c r="L7" s="92">
        <f t="shared" ref="L7" si="15">L8+L9</f>
        <v>-21537</v>
      </c>
      <c r="M7" s="92">
        <f t="shared" ref="M7" si="16">M8+M9</f>
        <v>-22026</v>
      </c>
      <c r="N7" s="92">
        <f t="shared" ref="N7" si="17">N8+N9</f>
        <v>-23196</v>
      </c>
    </row>
    <row r="8" spans="1:14" outlineLevel="1">
      <c r="B8" s="93" t="s">
        <v>46</v>
      </c>
      <c r="C8" s="94"/>
      <c r="D8" s="94">
        <v>-26296</v>
      </c>
      <c r="E8" s="94">
        <v>-20174</v>
      </c>
      <c r="F8" s="94">
        <v>-23461</v>
      </c>
      <c r="G8" s="94">
        <v>-31653</v>
      </c>
      <c r="H8" s="94">
        <v>-25487</v>
      </c>
      <c r="I8" s="94">
        <v>-13385</v>
      </c>
      <c r="J8" s="94">
        <v>-8347</v>
      </c>
      <c r="K8" s="94">
        <v>-10596</v>
      </c>
      <c r="L8" s="94">
        <v>-9269</v>
      </c>
      <c r="M8" s="94">
        <v>-9599</v>
      </c>
      <c r="N8" s="94">
        <v>-9485</v>
      </c>
    </row>
    <row r="9" spans="1:14" outlineLevel="1">
      <c r="B9" s="93" t="s">
        <v>47</v>
      </c>
      <c r="C9" s="94"/>
      <c r="D9" s="94">
        <v>-20393</v>
      </c>
      <c r="E9" s="94">
        <v>-19593</v>
      </c>
      <c r="F9" s="94">
        <v>-24165</v>
      </c>
      <c r="G9" s="94">
        <v>-21590</v>
      </c>
      <c r="H9" s="94">
        <v>-20030</v>
      </c>
      <c r="I9" s="94">
        <v>-14625</v>
      </c>
      <c r="J9" s="94">
        <v>-14936</v>
      </c>
      <c r="K9" s="94">
        <v>-15102</v>
      </c>
      <c r="L9" s="94">
        <v>-12268</v>
      </c>
      <c r="M9" s="94">
        <v>-12427</v>
      </c>
      <c r="N9" s="94">
        <v>-13711</v>
      </c>
    </row>
    <row r="10" spans="1:14">
      <c r="B10" s="89" t="s">
        <v>48</v>
      </c>
      <c r="C10" s="88"/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</row>
    <row r="11" spans="1:14" ht="15.75">
      <c r="B11" s="90" t="s">
        <v>54</v>
      </c>
      <c r="C11" s="91"/>
      <c r="D11" s="91">
        <f>D6+D7</f>
        <v>-9438</v>
      </c>
      <c r="E11" s="91">
        <f>E6+E7</f>
        <v>-12732</v>
      </c>
      <c r="F11" s="91">
        <f t="shared" ref="F11:I11" si="18">F6+F7</f>
        <v>-30055</v>
      </c>
      <c r="G11" s="91">
        <f t="shared" si="18"/>
        <v>6614</v>
      </c>
      <c r="H11" s="91">
        <f t="shared" si="18"/>
        <v>29394</v>
      </c>
      <c r="I11" s="91">
        <f t="shared" si="18"/>
        <v>24384</v>
      </c>
      <c r="J11" s="91">
        <f t="shared" ref="J11:K11" si="19">J6+J7</f>
        <v>25555</v>
      </c>
      <c r="K11" s="91">
        <f t="shared" si="19"/>
        <v>15322</v>
      </c>
      <c r="L11" s="91">
        <f t="shared" ref="L11:N11" si="20">L6+L7</f>
        <v>17384</v>
      </c>
      <c r="M11" s="91">
        <f t="shared" si="20"/>
        <v>10001</v>
      </c>
      <c r="N11" s="91">
        <f t="shared" si="20"/>
        <v>7137</v>
      </c>
    </row>
    <row r="12" spans="1:14">
      <c r="B12" s="89" t="s">
        <v>49</v>
      </c>
      <c r="C12" s="92"/>
      <c r="D12" s="92">
        <f>D13+D14+D15</f>
        <v>0</v>
      </c>
      <c r="E12" s="92">
        <f t="shared" ref="E12:G12" si="21">E13+E14+E15</f>
        <v>0</v>
      </c>
      <c r="F12" s="92">
        <f t="shared" si="21"/>
        <v>0</v>
      </c>
      <c r="G12" s="92">
        <f t="shared" si="21"/>
        <v>0</v>
      </c>
      <c r="H12" s="92">
        <f t="shared" ref="H12" si="22">H13+H14+H15</f>
        <v>0</v>
      </c>
      <c r="I12" s="92">
        <f t="shared" ref="I12" si="23">I13+I14+I15</f>
        <v>0</v>
      </c>
      <c r="J12" s="92">
        <f t="shared" ref="J12" si="24">J13+J14+J15</f>
        <v>0</v>
      </c>
      <c r="K12" s="92">
        <f t="shared" ref="K12" si="25">K13+K14+K15</f>
        <v>0</v>
      </c>
      <c r="L12" s="92">
        <f t="shared" ref="L12" si="26">L13+L14+L15</f>
        <v>0</v>
      </c>
      <c r="M12" s="92">
        <f t="shared" ref="M12" si="27">M13+M14+M15</f>
        <v>0</v>
      </c>
      <c r="N12" s="92">
        <f t="shared" ref="N12" si="28">N13+N14+N15</f>
        <v>0</v>
      </c>
    </row>
    <row r="13" spans="1:14" outlineLevel="1">
      <c r="B13" s="93" t="s">
        <v>50</v>
      </c>
      <c r="C13" s="88"/>
      <c r="D13" s="88">
        <v>0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</row>
    <row r="14" spans="1:14" outlineLevel="1">
      <c r="B14" s="93" t="s">
        <v>172</v>
      </c>
      <c r="C14" s="88"/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</row>
    <row r="15" spans="1:14" outlineLevel="1">
      <c r="B15" s="93" t="s">
        <v>173</v>
      </c>
      <c r="C15" s="88"/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0</v>
      </c>
      <c r="M15" s="88">
        <v>0</v>
      </c>
      <c r="N15" s="88">
        <v>0</v>
      </c>
    </row>
    <row r="16" spans="1:14">
      <c r="B16" s="89" t="s">
        <v>44</v>
      </c>
      <c r="C16" s="88"/>
      <c r="D16" s="88">
        <v>2586</v>
      </c>
      <c r="E16" s="88">
        <v>5468</v>
      </c>
      <c r="F16" s="88">
        <v>8813</v>
      </c>
      <c r="G16" s="88">
        <v>2210</v>
      </c>
      <c r="H16" s="88">
        <v>1189</v>
      </c>
      <c r="I16" s="88">
        <v>1205</v>
      </c>
      <c r="J16" s="88">
        <v>1443</v>
      </c>
      <c r="K16" s="88">
        <f>490-1840</f>
        <v>-1350</v>
      </c>
      <c r="L16" s="88">
        <f>2647-5348</f>
        <v>-2701</v>
      </c>
      <c r="M16" s="88">
        <f>3995-2736</f>
        <v>1259</v>
      </c>
      <c r="N16" s="88">
        <v>2522</v>
      </c>
    </row>
    <row r="17" spans="2:14">
      <c r="B17" s="89" t="s">
        <v>51</v>
      </c>
      <c r="C17" s="88"/>
      <c r="D17" s="88">
        <f>-1634-7200</f>
        <v>-8834</v>
      </c>
      <c r="E17" s="88">
        <f>94-10223</f>
        <v>-10129</v>
      </c>
      <c r="F17" s="88">
        <f>-547-12372</f>
        <v>-12919</v>
      </c>
      <c r="G17" s="88">
        <f>-242-3800</f>
        <v>-4042</v>
      </c>
      <c r="H17" s="88">
        <v>165</v>
      </c>
      <c r="I17" s="88">
        <v>139</v>
      </c>
      <c r="J17" s="88">
        <v>-2149</v>
      </c>
      <c r="K17" s="88">
        <v>0</v>
      </c>
      <c r="L17" s="88">
        <v>0</v>
      </c>
      <c r="M17" s="88">
        <v>0</v>
      </c>
      <c r="N17" s="88">
        <v>0</v>
      </c>
    </row>
    <row r="18" spans="2:14">
      <c r="B18" s="89" t="s">
        <v>55</v>
      </c>
      <c r="C18" s="92"/>
      <c r="D18" s="92">
        <f>D19+D20</f>
        <v>-753</v>
      </c>
      <c r="E18" s="92">
        <f>E19+E20</f>
        <v>-1015</v>
      </c>
      <c r="F18" s="92">
        <f t="shared" ref="F18:G18" si="29">F19+F20</f>
        <v>-1607</v>
      </c>
      <c r="G18" s="92">
        <f t="shared" si="29"/>
        <v>-1947</v>
      </c>
      <c r="H18" s="92">
        <f t="shared" ref="H18" si="30">H19+H20</f>
        <v>-2191</v>
      </c>
      <c r="I18" s="92">
        <f t="shared" ref="I18" si="31">I19+I20</f>
        <v>-1650</v>
      </c>
      <c r="J18" s="92">
        <f t="shared" ref="J18" si="32">J19+J20</f>
        <v>0</v>
      </c>
      <c r="K18" s="92">
        <f t="shared" ref="K18" si="33">K19+K20</f>
        <v>0</v>
      </c>
      <c r="L18" s="92">
        <f t="shared" ref="L18" si="34">L19+L20</f>
        <v>0</v>
      </c>
      <c r="M18" s="92">
        <f t="shared" ref="M18" si="35">M19+M20</f>
        <v>-724</v>
      </c>
      <c r="N18" s="92">
        <f t="shared" ref="N18" si="36">N19+N20</f>
        <v>-1479</v>
      </c>
    </row>
    <row r="19" spans="2:14" outlineLevel="1">
      <c r="B19" s="93" t="s">
        <v>56</v>
      </c>
      <c r="C19" s="88"/>
      <c r="D19" s="88">
        <v>-753</v>
      </c>
      <c r="E19" s="88">
        <v>-1015</v>
      </c>
      <c r="F19" s="88">
        <v>-1607</v>
      </c>
      <c r="G19" s="88">
        <v>-1947</v>
      </c>
      <c r="H19" s="88">
        <v>-2191</v>
      </c>
      <c r="I19" s="88">
        <v>-1650</v>
      </c>
      <c r="J19" s="88">
        <v>0</v>
      </c>
      <c r="K19" s="88">
        <v>0</v>
      </c>
      <c r="L19" s="88">
        <v>0</v>
      </c>
      <c r="M19" s="88">
        <v>-724</v>
      </c>
      <c r="N19" s="88">
        <v>-1479</v>
      </c>
    </row>
    <row r="20" spans="2:14" outlineLevel="1">
      <c r="B20" s="93" t="s">
        <v>57</v>
      </c>
      <c r="C20" s="88"/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</row>
    <row r="21" spans="2:14" ht="15.75">
      <c r="B21" s="90" t="s">
        <v>53</v>
      </c>
      <c r="C21" s="88"/>
      <c r="D21" s="91">
        <f>D11+D12+D17+D16+D18</f>
        <v>-16439</v>
      </c>
      <c r="E21" s="91">
        <f>E11+E12+E17+E16+E18</f>
        <v>-18408</v>
      </c>
      <c r="F21" s="91">
        <f t="shared" ref="F21:N21" si="37">F11+F12+F17+F16+F18</f>
        <v>-35768</v>
      </c>
      <c r="G21" s="91">
        <f t="shared" si="37"/>
        <v>2835</v>
      </c>
      <c r="H21" s="91">
        <f t="shared" si="37"/>
        <v>28557</v>
      </c>
      <c r="I21" s="91">
        <f t="shared" si="37"/>
        <v>24078</v>
      </c>
      <c r="J21" s="91">
        <f t="shared" si="37"/>
        <v>24849</v>
      </c>
      <c r="K21" s="91">
        <f t="shared" si="37"/>
        <v>13972</v>
      </c>
      <c r="L21" s="91">
        <f t="shared" si="37"/>
        <v>14683</v>
      </c>
      <c r="M21" s="91">
        <f t="shared" si="37"/>
        <v>10536</v>
      </c>
      <c r="N21" s="91">
        <f t="shared" si="37"/>
        <v>8180</v>
      </c>
    </row>
    <row r="22" spans="2:14">
      <c r="B22" s="89" t="s">
        <v>52</v>
      </c>
      <c r="C22" s="88"/>
      <c r="D22" s="88">
        <v>0</v>
      </c>
      <c r="E22" s="88">
        <v>-218</v>
      </c>
      <c r="F22" s="88">
        <v>917</v>
      </c>
      <c r="G22" s="88">
        <v>-4968</v>
      </c>
      <c r="H22" s="88">
        <v>-4997</v>
      </c>
      <c r="I22" s="88">
        <v>-5196</v>
      </c>
      <c r="J22" s="88">
        <v>-3577</v>
      </c>
      <c r="K22" s="88">
        <v>-4423</v>
      </c>
      <c r="L22" s="88">
        <v>-5258</v>
      </c>
      <c r="M22" s="88">
        <v>-3174</v>
      </c>
      <c r="N22" s="88">
        <v>-2411</v>
      </c>
    </row>
    <row r="23" spans="2:14" ht="15.75">
      <c r="B23" s="90" t="s">
        <v>58</v>
      </c>
      <c r="C23" s="95"/>
      <c r="D23" s="91">
        <f>D21+D22</f>
        <v>-16439</v>
      </c>
      <c r="E23" s="91">
        <f>E21+E22</f>
        <v>-18626</v>
      </c>
      <c r="F23" s="91">
        <f t="shared" ref="F23:G23" si="38">F21+F22</f>
        <v>-34851</v>
      </c>
      <c r="G23" s="91">
        <f t="shared" si="38"/>
        <v>-2133</v>
      </c>
      <c r="H23" s="91">
        <f t="shared" ref="H23" si="39">H21+H22</f>
        <v>23560</v>
      </c>
      <c r="I23" s="91">
        <f t="shared" ref="I23" si="40">I21+I22</f>
        <v>18882</v>
      </c>
      <c r="J23" s="91">
        <f t="shared" ref="J23" si="41">J21+J22</f>
        <v>21272</v>
      </c>
      <c r="K23" s="91">
        <f t="shared" ref="K23" si="42">K21+K22</f>
        <v>9549</v>
      </c>
      <c r="L23" s="91">
        <f t="shared" ref="L23" si="43">L21+L22</f>
        <v>9425</v>
      </c>
      <c r="M23" s="91">
        <f t="shared" ref="M23" si="44">M21+M22</f>
        <v>7362</v>
      </c>
      <c r="N23" s="91">
        <f t="shared" ref="N23" si="45">N21+N22</f>
        <v>5769</v>
      </c>
    </row>
    <row r="24" spans="2:14">
      <c r="B24" s="89" t="s">
        <v>59</v>
      </c>
      <c r="C24" s="88"/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8">
        <v>0</v>
      </c>
      <c r="M24" s="88">
        <v>0</v>
      </c>
      <c r="N24" s="88">
        <v>0</v>
      </c>
    </row>
    <row r="25" spans="2:14" ht="15.75">
      <c r="B25" s="90" t="s">
        <v>60</v>
      </c>
      <c r="C25" s="88"/>
      <c r="D25" s="91">
        <f>D23+D24</f>
        <v>-16439</v>
      </c>
      <c r="E25" s="91">
        <f>E23+E24</f>
        <v>-18626</v>
      </c>
      <c r="F25" s="91">
        <f t="shared" ref="F25:G25" si="46">F23+F24</f>
        <v>-34851</v>
      </c>
      <c r="G25" s="91">
        <f t="shared" si="46"/>
        <v>-2133</v>
      </c>
      <c r="H25" s="91">
        <f t="shared" ref="H25" si="47">H23+H24</f>
        <v>23560</v>
      </c>
      <c r="I25" s="91">
        <f t="shared" ref="I25" si="48">I23+I24</f>
        <v>18882</v>
      </c>
      <c r="J25" s="91">
        <f t="shared" ref="J25" si="49">J23+J24</f>
        <v>21272</v>
      </c>
      <c r="K25" s="91">
        <f t="shared" ref="K25" si="50">K23+K24</f>
        <v>9549</v>
      </c>
      <c r="L25" s="91">
        <f t="shared" ref="L25" si="51">L23+L24</f>
        <v>9425</v>
      </c>
      <c r="M25" s="91">
        <f t="shared" ref="M25" si="52">M23+M24</f>
        <v>7362</v>
      </c>
      <c r="N25" s="91">
        <f t="shared" ref="N25" si="53">N23+N24</f>
        <v>5769</v>
      </c>
    </row>
    <row r="27" spans="2:14" ht="15.75">
      <c r="B27" s="86" t="s">
        <v>102</v>
      </c>
    </row>
    <row r="28" spans="2:14">
      <c r="B28" s="87" t="s">
        <v>41</v>
      </c>
      <c r="D28" s="102">
        <f>D4/E4-1</f>
        <v>0.3836757190699569</v>
      </c>
      <c r="E28" s="102">
        <f t="shared" ref="E28:G28" si="54">E4/F4-1</f>
        <v>-0.21457846121993795</v>
      </c>
      <c r="F28" s="102">
        <f t="shared" si="54"/>
        <v>-0.27939386335816518</v>
      </c>
      <c r="G28" s="102">
        <f t="shared" si="54"/>
        <v>0.13109862504075021</v>
      </c>
      <c r="H28" s="102">
        <f t="shared" ref="H28:J28" si="55">H4/I4-1</f>
        <v>0.16487439184027242</v>
      </c>
      <c r="I28" s="102">
        <f t="shared" si="55"/>
        <v>0.15988433854811723</v>
      </c>
      <c r="J28" s="102">
        <f t="shared" si="55"/>
        <v>9.1437135908602363E-2</v>
      </c>
      <c r="K28" s="102">
        <f t="shared" ref="K28:M28" si="56">K4/L4-1</f>
        <v>2.5895431890314402E-2</v>
      </c>
      <c r="L28" s="102">
        <f t="shared" si="56"/>
        <v>2.1000936007867121E-2</v>
      </c>
      <c r="M28" s="102">
        <f t="shared" si="56"/>
        <v>-3.4363219285048263E-2</v>
      </c>
    </row>
    <row r="29" spans="2:14" ht="15.75">
      <c r="B29" s="90" t="s">
        <v>42</v>
      </c>
      <c r="D29" s="102">
        <f>D6/E6-1</f>
        <v>0.37788052524505278</v>
      </c>
      <c r="E29" s="102">
        <f t="shared" ref="E29:G29" si="57">E6/F6-1</f>
        <v>0.53861476296169819</v>
      </c>
      <c r="F29" s="102">
        <f t="shared" si="57"/>
        <v>-0.70645037338991257</v>
      </c>
      <c r="G29" s="102">
        <f t="shared" si="57"/>
        <v>-0.20095847071858608</v>
      </c>
      <c r="H29" s="102">
        <f t="shared" ref="H29:J29" si="58">H6/I6-1</f>
        <v>0.42976294995610176</v>
      </c>
      <c r="I29" s="102">
        <f t="shared" si="58"/>
        <v>7.2812154469880097E-2</v>
      </c>
      <c r="J29" s="102">
        <f t="shared" si="58"/>
        <v>0.19058995611896634</v>
      </c>
      <c r="K29" s="102">
        <f t="shared" ref="K29:M29" si="59">K6/L6-1</f>
        <v>5.3929755145037284E-2</v>
      </c>
      <c r="L29" s="102">
        <f t="shared" si="59"/>
        <v>0.21525587785306155</v>
      </c>
      <c r="M29" s="102">
        <f t="shared" si="59"/>
        <v>5.5846767546896103E-2</v>
      </c>
    </row>
    <row r="30" spans="2:14">
      <c r="B30" s="89" t="s">
        <v>45</v>
      </c>
      <c r="D30" s="102">
        <f>D7/E7-1</f>
        <v>0.1740639223476752</v>
      </c>
      <c r="E30" s="102">
        <f t="shared" ref="E30:F30" si="60">E7/F7-1</f>
        <v>-0.16501490782345773</v>
      </c>
      <c r="F30" s="102">
        <f t="shared" si="60"/>
        <v>-0.1054974362827038</v>
      </c>
      <c r="G30" s="102">
        <f t="shared" ref="G30:H30" si="61">G7/H7-1</f>
        <v>0.1697387789177669</v>
      </c>
      <c r="H30" s="102">
        <f t="shared" si="61"/>
        <v>0.62502677615137459</v>
      </c>
      <c r="I30" s="102">
        <f t="shared" ref="I30:J30" si="62">I7/J7-1</f>
        <v>0.20302366533522309</v>
      </c>
      <c r="J30" s="102">
        <f t="shared" si="62"/>
        <v>-9.3976184917114125E-2</v>
      </c>
      <c r="K30" s="102">
        <f t="shared" ref="K30:M30" si="63">K7/L7-1</f>
        <v>0.19320239587686316</v>
      </c>
      <c r="L30" s="102">
        <f t="shared" si="63"/>
        <v>-2.2201035140288705E-2</v>
      </c>
      <c r="M30" s="102">
        <f t="shared" si="63"/>
        <v>-5.0439730988101394E-2</v>
      </c>
    </row>
    <row r="31" spans="2:14" ht="15.75">
      <c r="B31" s="90" t="s">
        <v>54</v>
      </c>
      <c r="D31" s="102">
        <f>(D11-E11)/E11</f>
        <v>-0.2587181903864279</v>
      </c>
      <c r="E31" s="102">
        <f t="shared" ref="E31:F31" si="64">(E11-F11)/F11</f>
        <v>-0.57637664282149392</v>
      </c>
      <c r="F31" s="102">
        <f t="shared" si="64"/>
        <v>-5.544148775325068</v>
      </c>
      <c r="G31" s="102">
        <f t="shared" ref="G31:H31" si="65">(G11-H11)/H11</f>
        <v>-0.77498809280805603</v>
      </c>
      <c r="H31" s="102">
        <f t="shared" si="65"/>
        <v>0.20546259842519685</v>
      </c>
      <c r="I31" s="102">
        <f t="shared" ref="I31:J31" si="66">(I11-J11)/J11</f>
        <v>-4.5822735276853842E-2</v>
      </c>
      <c r="J31" s="102">
        <f t="shared" si="66"/>
        <v>0.6678632032371753</v>
      </c>
      <c r="K31" s="102">
        <f t="shared" ref="K31:M31" si="67">(K11-L11)/L11</f>
        <v>-0.11861481822365394</v>
      </c>
      <c r="L31" s="102">
        <f t="shared" si="67"/>
        <v>0.73822617738226182</v>
      </c>
      <c r="M31" s="102">
        <f t="shared" si="67"/>
        <v>0.40128905702676193</v>
      </c>
    </row>
    <row r="32" spans="2:14" ht="15.75">
      <c r="B32" s="90" t="s">
        <v>58</v>
      </c>
      <c r="D32" s="102">
        <f>(D23-E23)/E23</f>
        <v>-0.11741651454955439</v>
      </c>
      <c r="E32" s="102">
        <f t="shared" ref="E32:F32" si="68">(E23-F23)/F23</f>
        <v>-0.46555335571432671</v>
      </c>
      <c r="F32" s="102">
        <f t="shared" si="68"/>
        <v>15.338959212376935</v>
      </c>
      <c r="G32" s="102">
        <f t="shared" ref="G32:H32" si="69">(G23-H23)/H23</f>
        <v>-1.0905348047538201</v>
      </c>
      <c r="H32" s="102">
        <f t="shared" si="69"/>
        <v>0.24774917911238217</v>
      </c>
      <c r="I32" s="102">
        <f t="shared" ref="I32:J32" si="70">(I23-J23)/J23</f>
        <v>-0.11235426852200076</v>
      </c>
      <c r="J32" s="102">
        <f t="shared" si="70"/>
        <v>1.2276678186197507</v>
      </c>
      <c r="K32" s="102">
        <f t="shared" ref="K32:M32" si="71">(K23-L23)/L23</f>
        <v>1.3156498673740052E-2</v>
      </c>
      <c r="L32" s="102">
        <f t="shared" si="71"/>
        <v>0.28022276555283893</v>
      </c>
      <c r="M32" s="102">
        <f t="shared" si="71"/>
        <v>0.27613104524180965</v>
      </c>
    </row>
    <row r="33" spans="2:14">
      <c r="B33" s="87"/>
    </row>
    <row r="34" spans="2:14" ht="15.75">
      <c r="B34" s="86" t="s">
        <v>86</v>
      </c>
    </row>
    <row r="35" spans="2:14">
      <c r="B35" s="89" t="s">
        <v>43</v>
      </c>
      <c r="D35" s="102">
        <f t="shared" ref="D35:G40" si="72">ABS(D5/D$4)</f>
        <v>0.83871163280062699</v>
      </c>
      <c r="E35" s="102">
        <f t="shared" si="72"/>
        <v>0.83803327402241834</v>
      </c>
      <c r="F35" s="102">
        <f t="shared" si="72"/>
        <v>0.9173203337113387</v>
      </c>
      <c r="G35" s="102">
        <f t="shared" si="72"/>
        <v>0.79703781063824741</v>
      </c>
      <c r="H35" s="102">
        <f t="shared" ref="H35:I35" si="73">ABS(H5/H$4)</f>
        <v>0.71269296412065886</v>
      </c>
      <c r="I35" s="102">
        <f t="shared" si="73"/>
        <v>0.76592161050077956</v>
      </c>
      <c r="J35" s="102">
        <f t="shared" ref="J35:K35" si="74">ABS(J5/J$4)</f>
        <v>0.7469232084652575</v>
      </c>
      <c r="K35" s="102">
        <f t="shared" si="74"/>
        <v>0.76799954753690403</v>
      </c>
      <c r="L35" s="102">
        <f t="shared" ref="L35:N35" si="75">ABS(L5/L$4)</f>
        <v>0.77417071373450075</v>
      </c>
      <c r="M35" s="102">
        <f t="shared" si="75"/>
        <v>0.81026883567730246</v>
      </c>
      <c r="N35" s="102">
        <f t="shared" si="75"/>
        <v>0.82647918585427527</v>
      </c>
    </row>
    <row r="36" spans="2:14" ht="15.75">
      <c r="B36" s="90" t="s">
        <v>42</v>
      </c>
      <c r="D36" s="103">
        <f t="shared" si="72"/>
        <v>0.16128836719937306</v>
      </c>
      <c r="E36" s="103">
        <f t="shared" si="72"/>
        <v>0.16196672597758166</v>
      </c>
      <c r="F36" s="103">
        <f t="shared" si="72"/>
        <v>8.2679666288661247E-2</v>
      </c>
      <c r="G36" s="103">
        <f t="shared" si="72"/>
        <v>0.20296218936175262</v>
      </c>
      <c r="H36" s="103">
        <f t="shared" ref="H36:I36" si="76">ABS(H6/H$4)</f>
        <v>0.28730703587934109</v>
      </c>
      <c r="I36" s="103">
        <f t="shared" si="76"/>
        <v>0.23407838949922039</v>
      </c>
      <c r="J36" s="103">
        <f t="shared" ref="J36:K36" si="77">ABS(J6/J$4)</f>
        <v>0.2530767915347425</v>
      </c>
      <c r="K36" s="103">
        <f t="shared" si="77"/>
        <v>0.23200045246309597</v>
      </c>
      <c r="L36" s="103">
        <f t="shared" ref="L36:N36" si="78">ABS(L6/L$4)</f>
        <v>0.22582928626549925</v>
      </c>
      <c r="M36" s="103">
        <f t="shared" si="78"/>
        <v>0.1897311643226976</v>
      </c>
      <c r="N36" s="103">
        <f t="shared" si="78"/>
        <v>0.17352081414572476</v>
      </c>
    </row>
    <row r="37" spans="2:14">
      <c r="B37" s="89" t="s">
        <v>45</v>
      </c>
      <c r="D37" s="102">
        <f t="shared" si="72"/>
        <v>0.20215276304452306</v>
      </c>
      <c r="E37" s="102">
        <f t="shared" si="72"/>
        <v>0.23824415727577178</v>
      </c>
      <c r="F37" s="102">
        <f t="shared" si="72"/>
        <v>0.2241023155576678</v>
      </c>
      <c r="G37" s="102">
        <f t="shared" si="72"/>
        <v>0.18053554050800733</v>
      </c>
      <c r="H37" s="102">
        <f t="shared" ref="H37:I37" si="79">ABS(H7/H$4)</f>
        <v>0.17457188332981763</v>
      </c>
      <c r="I37" s="102">
        <f t="shared" si="79"/>
        <v>0.12513905580549611</v>
      </c>
      <c r="J37" s="102">
        <f t="shared" ref="J37:K37" si="80">ABS(J7/J$4)</f>
        <v>0.12065168387942604</v>
      </c>
      <c r="K37" s="102">
        <f t="shared" si="80"/>
        <v>0.14534245800576889</v>
      </c>
      <c r="L37" s="102">
        <f t="shared" ref="L37:N37" si="81">ABS(L7/L$4)</f>
        <v>0.12496301067033369</v>
      </c>
      <c r="M37" s="102">
        <f t="shared" si="81"/>
        <v>0.13048423596876815</v>
      </c>
      <c r="N37" s="102">
        <f t="shared" si="81"/>
        <v>0.13269339679307129</v>
      </c>
    </row>
    <row r="38" spans="2:14">
      <c r="B38" s="93" t="s">
        <v>46</v>
      </c>
      <c r="D38" s="102">
        <f t="shared" si="72"/>
        <v>0.11385570599110664</v>
      </c>
      <c r="E38" s="102">
        <f t="shared" si="72"/>
        <v>0.12086246457820354</v>
      </c>
      <c r="F38" s="102">
        <f t="shared" si="72"/>
        <v>0.11039483528531567</v>
      </c>
      <c r="G38" s="102">
        <f t="shared" si="72"/>
        <v>0.10732850259564555</v>
      </c>
      <c r="H38" s="102">
        <f t="shared" ref="H38:I38" si="82">ABS(H8/H$4)</f>
        <v>9.7750589679176172E-2</v>
      </c>
      <c r="I38" s="102">
        <f t="shared" si="82"/>
        <v>5.9799580933829539E-2</v>
      </c>
      <c r="J38" s="102">
        <f t="shared" ref="J38:K38" si="83">ABS(J8/J$4)</f>
        <v>4.3253859268202945E-2</v>
      </c>
      <c r="K38" s="102">
        <f t="shared" si="83"/>
        <v>5.9928737062383351E-2</v>
      </c>
      <c r="L38" s="102">
        <f t="shared" ref="L38:N38" si="84">ABS(L8/L$4)</f>
        <v>5.3781034772871009E-2</v>
      </c>
      <c r="M38" s="102">
        <f t="shared" si="84"/>
        <v>5.6865439982938588E-2</v>
      </c>
      <c r="N38" s="102">
        <f t="shared" si="84"/>
        <v>5.425922006304023E-2</v>
      </c>
    </row>
    <row r="39" spans="2:14">
      <c r="B39" s="93" t="s">
        <v>109</v>
      </c>
      <c r="D39" s="102">
        <f t="shared" si="72"/>
        <v>8.8297057053416408E-2</v>
      </c>
      <c r="E39" s="102">
        <f t="shared" si="72"/>
        <v>0.11738169269756825</v>
      </c>
      <c r="F39" s="102">
        <f t="shared" si="72"/>
        <v>0.11370748027235211</v>
      </c>
      <c r="G39" s="102">
        <f t="shared" si="72"/>
        <v>7.3207037912361786E-2</v>
      </c>
      <c r="H39" s="102">
        <f t="shared" ref="H39:I39" si="85">ABS(H9/H$4)</f>
        <v>7.6821293650641456E-2</v>
      </c>
      <c r="I39" s="102">
        <f t="shared" si="85"/>
        <v>6.5339474871666567E-2</v>
      </c>
      <c r="J39" s="102">
        <f t="shared" ref="J39:K39" si="86">ABS(J9/J$4)</f>
        <v>7.7397824611223104E-2</v>
      </c>
      <c r="K39" s="102">
        <f t="shared" si="86"/>
        <v>8.5413720943385549E-2</v>
      </c>
      <c r="L39" s="102">
        <f t="shared" ref="L39:N39" si="87">ABS(L9/L$4)</f>
        <v>7.1181975897462682E-2</v>
      </c>
      <c r="M39" s="102">
        <f t="shared" si="87"/>
        <v>7.3618795985829558E-2</v>
      </c>
      <c r="N39" s="102">
        <f t="shared" si="87"/>
        <v>7.8434176730031058E-2</v>
      </c>
    </row>
    <row r="40" spans="2:14">
      <c r="B40" s="89" t="s">
        <v>48</v>
      </c>
      <c r="D40" s="102">
        <f t="shared" si="72"/>
        <v>0</v>
      </c>
      <c r="E40" s="102">
        <f t="shared" si="72"/>
        <v>0</v>
      </c>
      <c r="F40" s="102">
        <f t="shared" si="72"/>
        <v>0</v>
      </c>
      <c r="G40" s="102">
        <f t="shared" si="72"/>
        <v>0</v>
      </c>
      <c r="H40" s="102">
        <f t="shared" ref="H40:I40" si="88">ABS(H10/H$4)</f>
        <v>0</v>
      </c>
      <c r="I40" s="102">
        <f t="shared" si="88"/>
        <v>0</v>
      </c>
      <c r="J40" s="102">
        <f t="shared" ref="J40:K40" si="89">ABS(J10/J$4)</f>
        <v>0</v>
      </c>
      <c r="K40" s="102">
        <f t="shared" si="89"/>
        <v>0</v>
      </c>
      <c r="L40" s="102">
        <f t="shared" ref="L40:N40" si="90">ABS(L10/L$4)</f>
        <v>0</v>
      </c>
      <c r="M40" s="102">
        <f t="shared" si="90"/>
        <v>0</v>
      </c>
      <c r="N40" s="102">
        <f t="shared" si="90"/>
        <v>0</v>
      </c>
    </row>
    <row r="41" spans="2:14" ht="15.75">
      <c r="B41" s="90" t="s">
        <v>54</v>
      </c>
      <c r="D41" s="103">
        <f>D11/D$4</f>
        <v>-4.0864395845150003E-2</v>
      </c>
      <c r="E41" s="103">
        <f t="shared" ref="E41:N41" si="91">E11/E$4</f>
        <v>-7.6277431298190118E-2</v>
      </c>
      <c r="F41" s="103">
        <f t="shared" si="91"/>
        <v>-0.14142264926900652</v>
      </c>
      <c r="G41" s="103">
        <f t="shared" si="91"/>
        <v>2.242664885374529E-2</v>
      </c>
      <c r="H41" s="103">
        <f t="shared" si="91"/>
        <v>0.11273515254952346</v>
      </c>
      <c r="I41" s="103">
        <f t="shared" si="91"/>
        <v>0.10893933369372429</v>
      </c>
      <c r="J41" s="103">
        <f t="shared" si="91"/>
        <v>0.13242510765531643</v>
      </c>
      <c r="K41" s="103">
        <f t="shared" si="91"/>
        <v>8.6657994457327081E-2</v>
      </c>
      <c r="L41" s="103">
        <f t="shared" si="91"/>
        <v>0.10086627559516556</v>
      </c>
      <c r="M41" s="103">
        <f t="shared" si="91"/>
        <v>5.9246928353929453E-2</v>
      </c>
      <c r="N41" s="103">
        <f t="shared" si="91"/>
        <v>4.0827417352653467E-2</v>
      </c>
    </row>
    <row r="42" spans="2:14">
      <c r="B42" s="89" t="s">
        <v>49</v>
      </c>
      <c r="D42" s="102">
        <f>ABS(D12/D$4)</f>
        <v>0</v>
      </c>
      <c r="E42" s="102">
        <f>ABS(E12/E$4)</f>
        <v>0</v>
      </c>
      <c r="F42" s="102">
        <f>ABS(F12/F$4)</f>
        <v>0</v>
      </c>
      <c r="G42" s="102">
        <f>ABS(G12/G$4)</f>
        <v>0</v>
      </c>
      <c r="H42" s="102">
        <f t="shared" ref="H42:I42" si="92">ABS(H12/H$4)</f>
        <v>0</v>
      </c>
      <c r="I42" s="102">
        <f t="shared" si="92"/>
        <v>0</v>
      </c>
      <c r="J42" s="102">
        <f t="shared" ref="J42:K42" si="93">ABS(J12/J$4)</f>
        <v>0</v>
      </c>
      <c r="K42" s="102">
        <f t="shared" si="93"/>
        <v>0</v>
      </c>
      <c r="L42" s="102">
        <f t="shared" ref="L42:N42" si="94">ABS(L12/L$4)</f>
        <v>0</v>
      </c>
      <c r="M42" s="102">
        <f t="shared" si="94"/>
        <v>0</v>
      </c>
      <c r="N42" s="102">
        <f t="shared" si="94"/>
        <v>0</v>
      </c>
    </row>
    <row r="43" spans="2:14">
      <c r="B43" s="89" t="s">
        <v>44</v>
      </c>
      <c r="D43" s="102">
        <f t="shared" ref="D43:G45" si="95">ABS(D16/D$4)</f>
        <v>1.1196792504297299E-2</v>
      </c>
      <c r="E43" s="102">
        <f t="shared" si="95"/>
        <v>3.2758796287975463E-2</v>
      </c>
      <c r="F43" s="102">
        <f t="shared" si="95"/>
        <v>4.1469233339136734E-2</v>
      </c>
      <c r="G43" s="102">
        <f t="shared" si="95"/>
        <v>7.4936338020527814E-3</v>
      </c>
      <c r="H43" s="102">
        <f t="shared" ref="H43:I43" si="96">ABS(H16/H$4)</f>
        <v>4.5601856290870043E-3</v>
      </c>
      <c r="I43" s="102">
        <f t="shared" si="96"/>
        <v>5.3835259637851768E-3</v>
      </c>
      <c r="J43" s="102">
        <f t="shared" ref="J43:K43" si="97">ABS(J16/J$4)</f>
        <v>7.4775750478036241E-3</v>
      </c>
      <c r="K43" s="102">
        <f t="shared" si="97"/>
        <v>7.6353147446411402E-3</v>
      </c>
      <c r="L43" s="102">
        <f t="shared" ref="L43:N43" si="98">ABS(L16/L$4)</f>
        <v>1.5671871282935009E-2</v>
      </c>
      <c r="M43" s="102">
        <f t="shared" si="98"/>
        <v>7.4584424355161666E-3</v>
      </c>
      <c r="N43" s="102">
        <f t="shared" si="98"/>
        <v>1.44271748022127E-2</v>
      </c>
    </row>
    <row r="44" spans="2:14">
      <c r="B44" s="89" t="s">
        <v>51</v>
      </c>
      <c r="D44" s="102">
        <f t="shared" si="95"/>
        <v>3.8249213063790539E-2</v>
      </c>
      <c r="E44" s="102">
        <f t="shared" si="95"/>
        <v>6.0682854352762154E-2</v>
      </c>
      <c r="F44" s="102">
        <f t="shared" si="95"/>
        <v>6.0789858789096506E-2</v>
      </c>
      <c r="G44" s="102">
        <f t="shared" si="95"/>
        <v>1.3705551053347214E-2</v>
      </c>
      <c r="H44" s="102">
        <f t="shared" ref="H44:I44" si="99">ABS(H17/H$4)</f>
        <v>6.3282643296833953E-4</v>
      </c>
      <c r="I44" s="102">
        <f t="shared" si="99"/>
        <v>6.2100423980592499E-4</v>
      </c>
      <c r="J44" s="102">
        <f t="shared" ref="J44:K44" si="100">ABS(J17/J$4)</f>
        <v>1.1136042119009001E-2</v>
      </c>
      <c r="K44" s="102">
        <f t="shared" si="100"/>
        <v>0</v>
      </c>
      <c r="L44" s="102">
        <f t="shared" ref="L44:N44" si="101">ABS(L17/L$4)</f>
        <v>0</v>
      </c>
      <c r="M44" s="102">
        <f t="shared" si="101"/>
        <v>0</v>
      </c>
      <c r="N44" s="102">
        <f t="shared" si="101"/>
        <v>0</v>
      </c>
    </row>
    <row r="45" spans="2:14">
      <c r="B45" s="89" t="s">
        <v>55</v>
      </c>
      <c r="D45" s="102">
        <f t="shared" si="95"/>
        <v>3.2603189310656871E-3</v>
      </c>
      <c r="E45" s="102">
        <f t="shared" si="95"/>
        <v>6.0808665384592345E-3</v>
      </c>
      <c r="F45" s="102">
        <f t="shared" si="95"/>
        <v>7.561676838306222E-3</v>
      </c>
      <c r="G45" s="102">
        <f t="shared" si="95"/>
        <v>6.6018574717632422E-3</v>
      </c>
      <c r="H45" s="102">
        <f t="shared" ref="H45:I45" si="102">ABS(H18/H$4)</f>
        <v>8.4031679674765568E-3</v>
      </c>
      <c r="I45" s="102">
        <f t="shared" si="102"/>
        <v>7.3716330624444331E-3</v>
      </c>
      <c r="J45" s="102">
        <f t="shared" ref="J45:K45" si="103">ABS(J18/J$4)</f>
        <v>0</v>
      </c>
      <c r="K45" s="102">
        <f t="shared" si="103"/>
        <v>0</v>
      </c>
      <c r="L45" s="102">
        <f t="shared" ref="L45:N45" si="104">ABS(L18/L$4)</f>
        <v>0</v>
      </c>
      <c r="M45" s="102">
        <f t="shared" si="104"/>
        <v>4.2890487079536976E-3</v>
      </c>
      <c r="N45" s="102">
        <f t="shared" si="104"/>
        <v>8.4606627805204546E-3</v>
      </c>
    </row>
    <row r="46" spans="2:14" ht="15.75">
      <c r="B46" s="90" t="s">
        <v>53</v>
      </c>
      <c r="D46" s="103">
        <f>D21/D$4</f>
        <v>-7.1177135335708935E-2</v>
      </c>
      <c r="E46" s="103">
        <f t="shared" ref="E46:N46" si="105">E21/E$4</f>
        <v>-0.11028235590143605</v>
      </c>
      <c r="F46" s="103">
        <f t="shared" si="105"/>
        <v>-0.16830495155727251</v>
      </c>
      <c r="G46" s="103">
        <f t="shared" si="105"/>
        <v>9.6128741306876174E-3</v>
      </c>
      <c r="H46" s="103">
        <f t="shared" si="105"/>
        <v>0.10952499664410224</v>
      </c>
      <c r="I46" s="103">
        <f t="shared" si="105"/>
        <v>0.10757223083487095</v>
      </c>
      <c r="J46" s="103">
        <f t="shared" si="105"/>
        <v>0.12876664058411105</v>
      </c>
      <c r="K46" s="103">
        <f t="shared" si="105"/>
        <v>7.9022679712685936E-2</v>
      </c>
      <c r="L46" s="103">
        <f t="shared" si="105"/>
        <v>8.5194404312230562E-2</v>
      </c>
      <c r="M46" s="103">
        <f t="shared" si="105"/>
        <v>6.2416322081491928E-2</v>
      </c>
      <c r="N46" s="103">
        <f t="shared" si="105"/>
        <v>4.6793929374345712E-2</v>
      </c>
    </row>
    <row r="47" spans="2:14">
      <c r="B47" s="89" t="s">
        <v>52</v>
      </c>
      <c r="D47" s="102">
        <f>ABS(D22/D$4)</f>
        <v>0</v>
      </c>
      <c r="E47" s="102">
        <f>ABS(E22/E$4)</f>
        <v>1.3060383304276976E-3</v>
      </c>
      <c r="F47" s="102">
        <f>ABS(F22/F$4)</f>
        <v>4.3149083140801526E-3</v>
      </c>
      <c r="G47" s="102">
        <f>ABS(G22/G$4)</f>
        <v>1.6845417524252587E-2</v>
      </c>
      <c r="H47" s="102">
        <f t="shared" ref="H47:I47" si="106">ABS(H22/H$4)</f>
        <v>1.9165052639653287E-2</v>
      </c>
      <c r="I47" s="102">
        <f t="shared" si="106"/>
        <v>2.3213942662097743E-2</v>
      </c>
      <c r="J47" s="102">
        <f t="shared" ref="J47:K47" si="107">ABS(J22/J$4)</f>
        <v>1.8535887696461237E-2</v>
      </c>
      <c r="K47" s="102">
        <f t="shared" si="107"/>
        <v>2.501555341892427E-2</v>
      </c>
      <c r="L47" s="102">
        <f t="shared" ref="L47:N47" si="108">ABS(L22/L$4)</f>
        <v>3.0508218883995662E-2</v>
      </c>
      <c r="M47" s="102">
        <f t="shared" si="108"/>
        <v>1.8803094750062203E-2</v>
      </c>
      <c r="N47" s="102">
        <f t="shared" si="108"/>
        <v>1.3792196053978915E-2</v>
      </c>
    </row>
    <row r="48" spans="2:14" ht="15.75">
      <c r="B48" s="90" t="s">
        <v>58</v>
      </c>
      <c r="D48" s="103">
        <f>D23/D$4</f>
        <v>-7.1177135335708935E-2</v>
      </c>
      <c r="E48" s="103">
        <f t="shared" ref="E48:N48" si="109">E23/E$4</f>
        <v>-0.11158839423186374</v>
      </c>
      <c r="F48" s="103">
        <f t="shared" si="109"/>
        <v>-0.16399004324319238</v>
      </c>
      <c r="G48" s="103">
        <f t="shared" si="109"/>
        <v>-7.2325433935649689E-3</v>
      </c>
      <c r="H48" s="103">
        <f t="shared" si="109"/>
        <v>9.0359944004448967E-2</v>
      </c>
      <c r="I48" s="103">
        <f t="shared" si="109"/>
        <v>8.4358288172773202E-2</v>
      </c>
      <c r="J48" s="103">
        <f t="shared" si="109"/>
        <v>0.11023075288764983</v>
      </c>
      <c r="K48" s="103">
        <f t="shared" si="109"/>
        <v>5.4007126293761663E-2</v>
      </c>
      <c r="L48" s="103">
        <f t="shared" si="109"/>
        <v>5.4686185428234897E-2</v>
      </c>
      <c r="M48" s="103">
        <f t="shared" si="109"/>
        <v>4.3613227331429721E-2</v>
      </c>
      <c r="N48" s="103">
        <f t="shared" si="109"/>
        <v>3.3001733320366801E-2</v>
      </c>
    </row>
    <row r="49" spans="1:14">
      <c r="B49" s="89" t="s">
        <v>59</v>
      </c>
      <c r="D49" s="102">
        <f>ABS(D24/D$4)</f>
        <v>0</v>
      </c>
      <c r="E49" s="102">
        <f>ABS(E24/E$4)</f>
        <v>0</v>
      </c>
      <c r="F49" s="102">
        <f>ABS(F24/F$4)</f>
        <v>0</v>
      </c>
      <c r="G49" s="102">
        <f>ABS(G24/G$4)</f>
        <v>0</v>
      </c>
      <c r="H49" s="102">
        <f t="shared" ref="H49:I49" si="110">ABS(H24/H$4)</f>
        <v>0</v>
      </c>
      <c r="I49" s="102">
        <f t="shared" si="110"/>
        <v>0</v>
      </c>
      <c r="J49" s="102">
        <f t="shared" ref="J49:K49" si="111">ABS(J24/J$4)</f>
        <v>0</v>
      </c>
      <c r="K49" s="102">
        <f t="shared" si="111"/>
        <v>0</v>
      </c>
      <c r="L49" s="102">
        <f t="shared" ref="L49:N49" si="112">ABS(L24/L$4)</f>
        <v>0</v>
      </c>
      <c r="M49" s="102">
        <f t="shared" si="112"/>
        <v>0</v>
      </c>
      <c r="N49" s="102">
        <f t="shared" si="112"/>
        <v>0</v>
      </c>
    </row>
    <row r="50" spans="1:14" ht="15.75">
      <c r="B50" s="90" t="s">
        <v>60</v>
      </c>
      <c r="D50" s="103">
        <f>D25/D$4</f>
        <v>-7.1177135335708935E-2</v>
      </c>
      <c r="E50" s="103">
        <f t="shared" ref="E50:N50" si="113">E25/E$4</f>
        <v>-0.11158839423186374</v>
      </c>
      <c r="F50" s="103">
        <f t="shared" si="113"/>
        <v>-0.16399004324319238</v>
      </c>
      <c r="G50" s="103">
        <f t="shared" si="113"/>
        <v>-7.2325433935649689E-3</v>
      </c>
      <c r="H50" s="103">
        <f t="shared" si="113"/>
        <v>9.0359944004448967E-2</v>
      </c>
      <c r="I50" s="103">
        <f t="shared" si="113"/>
        <v>8.4358288172773202E-2</v>
      </c>
      <c r="J50" s="103">
        <f t="shared" si="113"/>
        <v>0.11023075288764983</v>
      </c>
      <c r="K50" s="103">
        <f t="shared" si="113"/>
        <v>5.4007126293761663E-2</v>
      </c>
      <c r="L50" s="103">
        <f t="shared" si="113"/>
        <v>5.4686185428234897E-2</v>
      </c>
      <c r="M50" s="103">
        <f t="shared" si="113"/>
        <v>4.3613227331429721E-2</v>
      </c>
      <c r="N50" s="103">
        <f t="shared" si="113"/>
        <v>3.3001733320366801E-2</v>
      </c>
    </row>
    <row r="52" spans="1:14" ht="15.75">
      <c r="A52" s="114"/>
      <c r="B52" s="86" t="s">
        <v>62</v>
      </c>
      <c r="C52" s="96"/>
      <c r="D52" s="106"/>
    </row>
    <row r="53" spans="1:14" ht="15.75">
      <c r="B53" s="96" t="s">
        <v>41</v>
      </c>
      <c r="D53" s="91">
        <f>D4</f>
        <v>230959</v>
      </c>
      <c r="E53" s="91">
        <f t="shared" ref="E53:G53" si="114">E4</f>
        <v>166917</v>
      </c>
      <c r="F53" s="91">
        <f t="shared" si="114"/>
        <v>212519</v>
      </c>
      <c r="G53" s="91">
        <f t="shared" si="114"/>
        <v>294917</v>
      </c>
      <c r="H53" s="91">
        <f t="shared" ref="H53:I53" si="115">H4</f>
        <v>260735</v>
      </c>
      <c r="I53" s="91">
        <f t="shared" si="115"/>
        <v>223831</v>
      </c>
      <c r="J53" s="91">
        <f t="shared" ref="J53:K53" si="116">J4</f>
        <v>192977</v>
      </c>
      <c r="K53" s="91">
        <f t="shared" si="116"/>
        <v>176810</v>
      </c>
      <c r="L53" s="91">
        <f t="shared" ref="L53:N53" si="117">L4</f>
        <v>172347</v>
      </c>
      <c r="M53" s="91">
        <f t="shared" si="117"/>
        <v>168802</v>
      </c>
      <c r="N53" s="91">
        <f t="shared" si="117"/>
        <v>174809</v>
      </c>
    </row>
    <row r="54" spans="1:14">
      <c r="B54" s="97" t="s">
        <v>92</v>
      </c>
      <c r="C54" s="98"/>
      <c r="D54" s="107">
        <f>170790+3920</f>
        <v>174710</v>
      </c>
      <c r="E54" s="107">
        <f>150860+317</f>
        <v>151177</v>
      </c>
      <c r="F54" s="107">
        <f>F53</f>
        <v>212519</v>
      </c>
      <c r="G54" s="107">
        <f>G53</f>
        <v>294917</v>
      </c>
      <c r="H54" s="107">
        <f t="shared" ref="H54:I54" si="118">H53</f>
        <v>260735</v>
      </c>
      <c r="I54" s="107">
        <f t="shared" si="118"/>
        <v>223831</v>
      </c>
      <c r="J54" s="107">
        <f t="shared" ref="J54" si="119">J53</f>
        <v>192977</v>
      </c>
      <c r="K54" s="107">
        <f t="shared" ref="K54" si="120">K53</f>
        <v>176810</v>
      </c>
      <c r="L54" s="107">
        <f t="shared" ref="L54" si="121">L53</f>
        <v>172347</v>
      </c>
      <c r="M54" s="107">
        <f t="shared" ref="M54" si="122">M53</f>
        <v>168802</v>
      </c>
      <c r="N54" s="107">
        <f t="shared" ref="N54" si="123">N53</f>
        <v>174809</v>
      </c>
    </row>
    <row r="55" spans="1:14">
      <c r="B55" s="97" t="s">
        <v>93</v>
      </c>
      <c r="C55" s="98"/>
      <c r="D55" s="107">
        <f>10257+2687+9587</f>
        <v>22531</v>
      </c>
      <c r="E55" s="107">
        <f>9695+1450+4595</f>
        <v>15740</v>
      </c>
      <c r="F55" s="107">
        <v>0</v>
      </c>
      <c r="G55" s="107">
        <v>0</v>
      </c>
      <c r="H55" s="107">
        <v>0</v>
      </c>
      <c r="I55" s="107">
        <v>0</v>
      </c>
      <c r="J55" s="107">
        <v>0</v>
      </c>
      <c r="K55" s="107">
        <v>0</v>
      </c>
      <c r="L55" s="107">
        <v>0</v>
      </c>
      <c r="M55" s="107">
        <v>0</v>
      </c>
      <c r="N55" s="107">
        <v>0</v>
      </c>
    </row>
    <row r="56" spans="1:14">
      <c r="B56" s="97" t="s">
        <v>61</v>
      </c>
      <c r="C56" s="98"/>
      <c r="D56" s="107">
        <v>33718</v>
      </c>
      <c r="E56" s="107">
        <v>0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0</v>
      </c>
      <c r="L56" s="107">
        <v>0</v>
      </c>
      <c r="M56" s="107">
        <v>0</v>
      </c>
      <c r="N56" s="107">
        <v>0</v>
      </c>
    </row>
    <row r="58" spans="1:14" ht="15.75">
      <c r="B58" s="86" t="s">
        <v>86</v>
      </c>
    </row>
    <row r="59" spans="1:14">
      <c r="B59" s="97" t="s">
        <v>92</v>
      </c>
      <c r="D59" s="104">
        <f>D54/D$53</f>
        <v>0.75645460882667481</v>
      </c>
      <c r="E59" s="104">
        <f>E54/E$53</f>
        <v>0.90570163614251398</v>
      </c>
      <c r="F59" s="104">
        <f t="shared" ref="F59:G59" si="124">F54/F$53</f>
        <v>1</v>
      </c>
      <c r="G59" s="104">
        <f t="shared" si="124"/>
        <v>1</v>
      </c>
      <c r="H59" s="104">
        <f t="shared" ref="H59:I59" si="125">H54/H$53</f>
        <v>1</v>
      </c>
      <c r="I59" s="104">
        <f t="shared" si="125"/>
        <v>1</v>
      </c>
      <c r="J59" s="104">
        <f t="shared" ref="J59:K59" si="126">J54/J$53</f>
        <v>1</v>
      </c>
      <c r="K59" s="104">
        <f t="shared" si="126"/>
        <v>1</v>
      </c>
      <c r="L59" s="104">
        <f t="shared" ref="L59:N59" si="127">L54/L$53</f>
        <v>1</v>
      </c>
      <c r="M59" s="104">
        <f t="shared" si="127"/>
        <v>1</v>
      </c>
      <c r="N59" s="104">
        <f t="shared" si="127"/>
        <v>1</v>
      </c>
    </row>
    <row r="60" spans="1:14">
      <c r="B60" s="97" t="s">
        <v>93</v>
      </c>
      <c r="D60" s="104">
        <f>D55/D$53</f>
        <v>9.755411133577821E-2</v>
      </c>
      <c r="E60" s="104">
        <f>E55/E$53</f>
        <v>9.4298363857486051E-2</v>
      </c>
      <c r="F60" s="104">
        <f t="shared" ref="F60:G60" si="128">F55/F$53</f>
        <v>0</v>
      </c>
      <c r="G60" s="104">
        <f t="shared" si="128"/>
        <v>0</v>
      </c>
      <c r="H60" s="104">
        <f t="shared" ref="H60:I60" si="129">H55/H$53</f>
        <v>0</v>
      </c>
      <c r="I60" s="104">
        <f t="shared" si="129"/>
        <v>0</v>
      </c>
      <c r="J60" s="104">
        <f t="shared" ref="J60:K60" si="130">J55/J$53</f>
        <v>0</v>
      </c>
      <c r="K60" s="104">
        <f t="shared" si="130"/>
        <v>0</v>
      </c>
      <c r="L60" s="104">
        <f t="shared" ref="L60:N60" si="131">L55/L$53</f>
        <v>0</v>
      </c>
      <c r="M60" s="104">
        <f t="shared" si="131"/>
        <v>0</v>
      </c>
      <c r="N60" s="104">
        <f t="shared" si="131"/>
        <v>0</v>
      </c>
    </row>
    <row r="61" spans="1:14">
      <c r="B61" s="97" t="s">
        <v>94</v>
      </c>
      <c r="D61" s="104">
        <f t="shared" ref="D61:E61" si="132">D56/D$53</f>
        <v>0.14599127983754692</v>
      </c>
      <c r="E61" s="104">
        <f t="shared" si="132"/>
        <v>0</v>
      </c>
      <c r="F61" s="104">
        <f t="shared" ref="F61:G61" si="133">F56/F$53</f>
        <v>0</v>
      </c>
      <c r="G61" s="104">
        <f t="shared" si="133"/>
        <v>0</v>
      </c>
      <c r="H61" s="104">
        <f t="shared" ref="H61:I61" si="134">H56/H$53</f>
        <v>0</v>
      </c>
      <c r="I61" s="104">
        <f t="shared" si="134"/>
        <v>0</v>
      </c>
      <c r="J61" s="104">
        <f t="shared" ref="J61:K61" si="135">J56/J$53</f>
        <v>0</v>
      </c>
      <c r="K61" s="104">
        <f t="shared" si="135"/>
        <v>0</v>
      </c>
      <c r="L61" s="104">
        <f t="shared" ref="L61:N61" si="136">L56/L$53</f>
        <v>0</v>
      </c>
      <c r="M61" s="104">
        <f t="shared" si="136"/>
        <v>0</v>
      </c>
      <c r="N61" s="104">
        <f t="shared" si="136"/>
        <v>0</v>
      </c>
    </row>
  </sheetData>
  <dataValidations count="1">
    <dataValidation allowBlank="1" showInputMessage="1" showErrorMessage="1" sqref="C1:D1" xr:uid="{2320791F-4630-4B34-B4C3-BB61824DA95F}"/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81D7-8354-4306-98E1-5C3BCB916D7E}">
  <sheetPr>
    <outlinePr summaryBelow="0" summaryRight="0"/>
    <pageSetUpPr fitToPage="1"/>
  </sheetPr>
  <dimension ref="B1:H73"/>
  <sheetViews>
    <sheetView showGridLines="0" topLeftCell="A55" zoomScaleNormal="100" workbookViewId="0">
      <selection activeCell="D65" sqref="D65"/>
    </sheetView>
  </sheetViews>
  <sheetFormatPr defaultColWidth="12.33203125" defaultRowHeight="15" customHeight="1"/>
  <cols>
    <col min="1" max="1" width="2.33203125" style="21" customWidth="1"/>
    <col min="2" max="2" width="34" style="21" bestFit="1" customWidth="1"/>
    <col min="3" max="4" width="18.6640625" style="21" customWidth="1"/>
    <col min="5" max="5" width="5.6640625" style="21" customWidth="1"/>
    <col min="6" max="6" width="25.33203125" style="21" bestFit="1" customWidth="1"/>
    <col min="7" max="8" width="18.6640625" style="21" customWidth="1"/>
    <col min="9" max="16384" width="12.33203125" style="21"/>
  </cols>
  <sheetData>
    <row r="1" spans="2:8" ht="15" customHeight="1">
      <c r="B1" s="19" t="s">
        <v>7</v>
      </c>
      <c r="C1" s="20">
        <v>45657</v>
      </c>
      <c r="F1" s="22" t="str">
        <f>IF(MONTH(C1)=MONTH(摘要!C16),"FY","Quarter")&amp;" Report"</f>
        <v>FY Report</v>
      </c>
      <c r="H1" s="23">
        <f>scaling_factor</f>
        <v>1000</v>
      </c>
    </row>
    <row r="2" spans="2:8" ht="15" customHeight="1">
      <c r="B2" s="24" t="s">
        <v>134</v>
      </c>
      <c r="C2" s="25"/>
      <c r="D2" s="25"/>
      <c r="E2" s="25"/>
      <c r="F2" s="25"/>
      <c r="G2" s="25"/>
      <c r="H2" s="25"/>
    </row>
    <row r="3" spans="2:8" ht="15" customHeight="1">
      <c r="B3" s="26" t="s">
        <v>63</v>
      </c>
      <c r="C3" s="27" t="s">
        <v>79</v>
      </c>
      <c r="D3" s="28" t="s">
        <v>9</v>
      </c>
      <c r="F3" s="26" t="s">
        <v>64</v>
      </c>
      <c r="G3" s="27" t="s">
        <v>79</v>
      </c>
      <c r="H3" s="28" t="s">
        <v>9</v>
      </c>
    </row>
    <row r="4" spans="2:8" ht="15" customHeight="1">
      <c r="B4" s="29" t="s">
        <v>67</v>
      </c>
      <c r="C4" s="30">
        <v>33775</v>
      </c>
      <c r="D4" s="31">
        <v>0.6</v>
      </c>
      <c r="E4" s="32"/>
      <c r="F4" s="29" t="s">
        <v>73</v>
      </c>
      <c r="G4" s="30">
        <f>57045+10000</f>
        <v>67045</v>
      </c>
      <c r="H4" s="31">
        <v>0.9</v>
      </c>
    </row>
    <row r="5" spans="2:8" ht="15" customHeight="1">
      <c r="B5" s="29" t="s">
        <v>68</v>
      </c>
      <c r="C5" s="30">
        <v>16849</v>
      </c>
      <c r="D5" s="31">
        <v>0.1</v>
      </c>
      <c r="E5" s="32"/>
      <c r="F5" s="21" t="s">
        <v>129</v>
      </c>
      <c r="G5" s="30">
        <v>0</v>
      </c>
      <c r="H5" s="31">
        <v>0.7</v>
      </c>
    </row>
    <row r="6" spans="2:8" ht="15" customHeight="1">
      <c r="B6" s="29" t="s">
        <v>69</v>
      </c>
      <c r="C6" s="30">
        <v>59262</v>
      </c>
      <c r="D6" s="31">
        <v>0.5</v>
      </c>
      <c r="E6" s="32"/>
      <c r="F6" s="29" t="s">
        <v>70</v>
      </c>
      <c r="G6" s="30">
        <v>0</v>
      </c>
      <c r="H6" s="31">
        <v>0.6</v>
      </c>
    </row>
    <row r="7" spans="2:8" ht="15" customHeight="1">
      <c r="B7" s="29" t="s">
        <v>71</v>
      </c>
      <c r="C7" s="30">
        <v>127</v>
      </c>
      <c r="D7" s="31">
        <v>0.9</v>
      </c>
      <c r="E7" s="32"/>
      <c r="F7" s="29" t="s">
        <v>74</v>
      </c>
      <c r="G7" s="30">
        <v>0</v>
      </c>
      <c r="H7" s="31">
        <v>0.6</v>
      </c>
    </row>
    <row r="8" spans="2:8" ht="15" customHeight="1">
      <c r="B8" s="29" t="s">
        <v>72</v>
      </c>
      <c r="C8" s="30">
        <v>0</v>
      </c>
      <c r="D8" s="31">
        <v>0.05</v>
      </c>
      <c r="E8" s="32"/>
    </row>
    <row r="9" spans="2:8" ht="15" customHeight="1">
      <c r="B9" s="21" t="s">
        <v>76</v>
      </c>
      <c r="C9" s="30">
        <v>13467</v>
      </c>
      <c r="D9" s="31">
        <v>0.05</v>
      </c>
      <c r="E9" s="32"/>
    </row>
    <row r="10" spans="2:8" ht="15" customHeight="1">
      <c r="B10" s="99" t="s">
        <v>63</v>
      </c>
      <c r="C10" s="100">
        <f>SUM(C4:C9)</f>
        <v>123480</v>
      </c>
      <c r="D10" s="57">
        <f>C4*D4+C5*D5+C6*D6+C7*D7+C8*D8+C9*D9</f>
        <v>52368.55</v>
      </c>
      <c r="F10" s="99" t="s">
        <v>64</v>
      </c>
      <c r="G10" s="100">
        <f>SUM(G4:G7)</f>
        <v>67045</v>
      </c>
      <c r="H10" s="57">
        <f>G4*H4+G5*H5+G6*H6+G7*H7</f>
        <v>60340.5</v>
      </c>
    </row>
    <row r="11" spans="2:8" ht="15" customHeight="1">
      <c r="B11" s="81" t="s">
        <v>66</v>
      </c>
      <c r="C11" s="34">
        <f>G10+C10</f>
        <v>190525</v>
      </c>
      <c r="D11" s="35">
        <f>H10+D10</f>
        <v>112709.05</v>
      </c>
    </row>
    <row r="12" spans="2:8" ht="15" customHeight="1">
      <c r="F12" s="33"/>
      <c r="G12" s="34"/>
      <c r="H12" s="35"/>
    </row>
    <row r="13" spans="2:8" ht="15" customHeight="1">
      <c r="B13" s="26" t="s">
        <v>77</v>
      </c>
      <c r="C13" s="27" t="s">
        <v>79</v>
      </c>
      <c r="D13" s="28" t="s">
        <v>9</v>
      </c>
      <c r="F13" s="26" t="s">
        <v>78</v>
      </c>
      <c r="G13" s="27" t="s">
        <v>79</v>
      </c>
      <c r="H13" s="28" t="s">
        <v>9</v>
      </c>
    </row>
    <row r="14" spans="2:8" ht="15" customHeight="1">
      <c r="B14" s="29" t="s">
        <v>67</v>
      </c>
      <c r="C14" s="30">
        <v>0</v>
      </c>
      <c r="D14" s="31">
        <v>0.4</v>
      </c>
      <c r="F14" s="29" t="s">
        <v>80</v>
      </c>
      <c r="G14" s="30">
        <v>0</v>
      </c>
      <c r="H14" s="31">
        <v>0.8</v>
      </c>
    </row>
    <row r="15" spans="2:8" ht="15" customHeight="1">
      <c r="B15" s="21" t="s">
        <v>69</v>
      </c>
      <c r="C15" s="30">
        <v>0</v>
      </c>
      <c r="D15" s="31">
        <v>0.6</v>
      </c>
      <c r="F15" s="29" t="s">
        <v>70</v>
      </c>
      <c r="G15" s="30">
        <v>0</v>
      </c>
      <c r="H15" s="31">
        <v>0.6</v>
      </c>
    </row>
    <row r="16" spans="2:8" ht="15" customHeight="1">
      <c r="B16" s="21" t="s">
        <v>81</v>
      </c>
      <c r="C16" s="30">
        <v>1787</v>
      </c>
      <c r="D16" s="31">
        <v>0.5</v>
      </c>
      <c r="F16" s="29" t="s">
        <v>85</v>
      </c>
      <c r="G16" s="30">
        <v>0</v>
      </c>
      <c r="H16" s="31">
        <v>0.6</v>
      </c>
    </row>
    <row r="17" spans="2:8" ht="15" customHeight="1">
      <c r="B17" s="29" t="s">
        <v>82</v>
      </c>
      <c r="C17" s="30">
        <v>2085</v>
      </c>
      <c r="D17" s="31">
        <v>0.5</v>
      </c>
      <c r="F17" s="29" t="s">
        <v>74</v>
      </c>
      <c r="G17" s="30">
        <v>0</v>
      </c>
      <c r="H17" s="31">
        <v>0.1</v>
      </c>
    </row>
    <row r="18" spans="2:8" ht="15" customHeight="1">
      <c r="B18" s="29" t="s">
        <v>83</v>
      </c>
      <c r="C18" s="30">
        <v>0</v>
      </c>
      <c r="D18" s="31">
        <v>0</v>
      </c>
      <c r="F18" s="29"/>
      <c r="G18" s="30"/>
      <c r="H18" s="31"/>
    </row>
    <row r="19" spans="2:8" ht="15" customHeight="1">
      <c r="B19" s="29" t="s">
        <v>71</v>
      </c>
      <c r="C19" s="30">
        <v>0</v>
      </c>
      <c r="D19" s="31">
        <v>1</v>
      </c>
      <c r="F19" s="29"/>
      <c r="G19" s="30"/>
      <c r="H19" s="31"/>
    </row>
    <row r="20" spans="2:8" ht="15" customHeight="1">
      <c r="B20" s="29" t="s">
        <v>75</v>
      </c>
      <c r="C20" s="30">
        <v>8062</v>
      </c>
      <c r="D20" s="31">
        <v>0</v>
      </c>
      <c r="G20" s="30"/>
      <c r="H20" s="31"/>
    </row>
    <row r="21" spans="2:8" ht="15" customHeight="1">
      <c r="B21" s="29" t="s">
        <v>84</v>
      </c>
      <c r="C21" s="30">
        <v>0</v>
      </c>
      <c r="D21" s="31">
        <v>0</v>
      </c>
    </row>
    <row r="22" spans="2:8" ht="15" customHeight="1">
      <c r="B22" s="99" t="s">
        <v>77</v>
      </c>
      <c r="C22" s="100">
        <f>SUM(C14:C21)</f>
        <v>11934</v>
      </c>
      <c r="D22" s="57">
        <f>C14*D14+C15*D15+C16*D16+C17*D17+C18*D18+C19*D19+C20*D20+C21*D21</f>
        <v>1936</v>
      </c>
      <c r="F22" s="99" t="s">
        <v>78</v>
      </c>
      <c r="G22" s="100">
        <f>SUM(G14:G20)</f>
        <v>0</v>
      </c>
      <c r="H22" s="57">
        <f>G14*H14+G15*H15+G16*H16+G17*H17</f>
        <v>0</v>
      </c>
    </row>
    <row r="23" spans="2:8" ht="15" customHeight="1">
      <c r="B23" s="81" t="s">
        <v>66</v>
      </c>
      <c r="C23" s="34">
        <f>G22+C22</f>
        <v>11934</v>
      </c>
      <c r="D23" s="35">
        <f>H22+D22</f>
        <v>1936</v>
      </c>
    </row>
    <row r="25" spans="2:8" ht="15" customHeight="1">
      <c r="B25" s="26" t="s">
        <v>87</v>
      </c>
      <c r="C25" s="27" t="s">
        <v>79</v>
      </c>
      <c r="F25" s="36" t="s">
        <v>115</v>
      </c>
      <c r="G25" s="37" t="s">
        <v>79</v>
      </c>
      <c r="H25" s="38" t="s">
        <v>9</v>
      </c>
    </row>
    <row r="26" spans="2:8" ht="15" customHeight="1">
      <c r="B26" s="29" t="s">
        <v>118</v>
      </c>
      <c r="C26" s="30">
        <v>676</v>
      </c>
      <c r="F26" s="47" t="s">
        <v>116</v>
      </c>
      <c r="G26" s="34">
        <f>G37+G40</f>
        <v>202459</v>
      </c>
      <c r="H26" s="41">
        <f>H37+H40</f>
        <v>114645.05</v>
      </c>
    </row>
    <row r="27" spans="2:8" ht="15" customHeight="1">
      <c r="B27" s="29" t="s">
        <v>110</v>
      </c>
      <c r="C27" s="30">
        <v>2616</v>
      </c>
      <c r="F27" s="42" t="s">
        <v>65</v>
      </c>
      <c r="G27" s="35">
        <f>G10+C10</f>
        <v>190525</v>
      </c>
      <c r="H27" s="55">
        <f>H10+D10</f>
        <v>112709.05</v>
      </c>
    </row>
    <row r="28" spans="2:8" ht="15" customHeight="1">
      <c r="B28" s="21" t="s">
        <v>111</v>
      </c>
      <c r="C28" s="30">
        <v>0</v>
      </c>
      <c r="F28" s="44" t="s">
        <v>117</v>
      </c>
      <c r="G28" s="35">
        <f>G22+C22</f>
        <v>11934</v>
      </c>
      <c r="H28" s="55">
        <f>H22+D22</f>
        <v>1936</v>
      </c>
    </row>
    <row r="29" spans="2:8" ht="15" customHeight="1">
      <c r="B29" s="33" t="s">
        <v>125</v>
      </c>
      <c r="C29" s="34">
        <f>SUM(C26:C28)</f>
        <v>3292</v>
      </c>
      <c r="F29" s="39" t="s">
        <v>120</v>
      </c>
      <c r="G29" s="40">
        <f>G26-G32</f>
        <v>107138</v>
      </c>
      <c r="H29" s="41">
        <f>H26-G32</f>
        <v>19324.050000000003</v>
      </c>
    </row>
    <row r="30" spans="2:8" ht="15" customHeight="1">
      <c r="B30" s="29" t="s">
        <v>112</v>
      </c>
      <c r="C30" s="30">
        <v>11794</v>
      </c>
      <c r="F30" s="44" t="s">
        <v>121</v>
      </c>
      <c r="G30" s="45">
        <f>G29-G31</f>
        <v>107138</v>
      </c>
      <c r="H30" s="41">
        <f>H29-G31</f>
        <v>19324.050000000003</v>
      </c>
    </row>
    <row r="31" spans="2:8" ht="15" customHeight="1">
      <c r="B31" s="29" t="s">
        <v>113</v>
      </c>
      <c r="C31" s="46">
        <f>C32-C29-C30</f>
        <v>76677</v>
      </c>
      <c r="F31" s="42" t="s">
        <v>59</v>
      </c>
      <c r="G31" s="43">
        <v>0</v>
      </c>
      <c r="H31" s="41"/>
    </row>
    <row r="32" spans="2:8" ht="15" customHeight="1">
      <c r="B32" s="48" t="s">
        <v>87</v>
      </c>
      <c r="C32" s="49">
        <v>91763</v>
      </c>
      <c r="F32" s="39" t="s">
        <v>122</v>
      </c>
      <c r="G32" s="40">
        <f>C32+C41</f>
        <v>95321</v>
      </c>
      <c r="H32" s="41"/>
    </row>
    <row r="33" spans="2:8" ht="15" customHeight="1">
      <c r="F33" s="44" t="s">
        <v>123</v>
      </c>
      <c r="G33" s="35">
        <f>C26+C28+C35+C37</f>
        <v>676</v>
      </c>
      <c r="H33" s="41"/>
    </row>
    <row r="34" spans="2:8" ht="15" customHeight="1">
      <c r="B34" s="26" t="s">
        <v>88</v>
      </c>
      <c r="C34" s="27" t="s">
        <v>8</v>
      </c>
      <c r="F34" s="44" t="s">
        <v>110</v>
      </c>
      <c r="G34" s="35">
        <f>C27+C36</f>
        <v>4003</v>
      </c>
      <c r="H34" s="51"/>
    </row>
    <row r="35" spans="2:8" ht="15" customHeight="1">
      <c r="B35" s="29" t="s">
        <v>118</v>
      </c>
      <c r="C35" s="30">
        <v>0</v>
      </c>
      <c r="F35" s="50"/>
      <c r="H35" s="51"/>
    </row>
    <row r="36" spans="2:8" ht="15" customHeight="1">
      <c r="B36" s="29" t="s">
        <v>110</v>
      </c>
      <c r="C36" s="30">
        <v>1387</v>
      </c>
      <c r="F36" s="52" t="s">
        <v>119</v>
      </c>
      <c r="G36" s="27" t="s">
        <v>8</v>
      </c>
      <c r="H36" s="53" t="s">
        <v>9</v>
      </c>
    </row>
    <row r="37" spans="2:8" ht="15" customHeight="1">
      <c r="B37" s="21" t="s">
        <v>111</v>
      </c>
      <c r="C37" s="30">
        <v>0</v>
      </c>
      <c r="F37" s="54" t="s">
        <v>124</v>
      </c>
      <c r="G37" s="34">
        <f>C10+C22</f>
        <v>135414</v>
      </c>
      <c r="H37" s="55">
        <f>D10+D22</f>
        <v>54304.55</v>
      </c>
    </row>
    <row r="38" spans="2:8" ht="15" customHeight="1">
      <c r="B38" s="33" t="s">
        <v>125</v>
      </c>
      <c r="C38" s="34">
        <f>SUM(C35:C37)</f>
        <v>1387</v>
      </c>
      <c r="F38" s="44" t="s">
        <v>67</v>
      </c>
      <c r="G38" s="35">
        <f>C4+C14</f>
        <v>33775</v>
      </c>
      <c r="H38" s="51"/>
    </row>
    <row r="39" spans="2:8" ht="15" customHeight="1">
      <c r="B39" s="29" t="s">
        <v>112</v>
      </c>
      <c r="C39" s="30">
        <v>0</v>
      </c>
      <c r="F39" s="44" t="s">
        <v>69</v>
      </c>
      <c r="G39" s="35">
        <f>C6</f>
        <v>59262</v>
      </c>
      <c r="H39" s="51"/>
    </row>
    <row r="40" spans="2:8" ht="15" customHeight="1">
      <c r="B40" s="29" t="s">
        <v>114</v>
      </c>
      <c r="C40" s="46">
        <f>C41-C38-C39</f>
        <v>2171</v>
      </c>
      <c r="F40" s="54" t="s">
        <v>127</v>
      </c>
      <c r="G40" s="34">
        <f>G10+G22</f>
        <v>67045</v>
      </c>
      <c r="H40" s="55">
        <f>H10+H22</f>
        <v>60340.5</v>
      </c>
    </row>
    <row r="41" spans="2:8" ht="15" customHeight="1">
      <c r="B41" s="48" t="s">
        <v>88</v>
      </c>
      <c r="C41" s="49">
        <v>3558</v>
      </c>
      <c r="F41" s="56" t="s">
        <v>126</v>
      </c>
      <c r="G41" s="57">
        <f>G4+G5+G14</f>
        <v>67045</v>
      </c>
      <c r="H41" s="101"/>
    </row>
    <row r="43" spans="2:8" ht="15" customHeight="1">
      <c r="B43" s="24" t="s">
        <v>10</v>
      </c>
      <c r="C43" s="25"/>
      <c r="D43" s="25"/>
      <c r="E43" s="25"/>
      <c r="F43" s="25"/>
      <c r="G43" s="25"/>
      <c r="H43" s="25"/>
    </row>
    <row r="44" spans="2:8" ht="15" customHeight="1">
      <c r="B44" s="26" t="s">
        <v>11</v>
      </c>
      <c r="C44" s="58" t="s">
        <v>8</v>
      </c>
      <c r="D44" s="27" t="s">
        <v>12</v>
      </c>
      <c r="F44" s="59" t="s">
        <v>13</v>
      </c>
    </row>
    <row r="45" spans="2:8" ht="15" customHeight="1">
      <c r="B45" s="21" t="str">
        <f>"Equity ("&amp;Market_currency&amp;")"</f>
        <v>Equity (HKD)</v>
      </c>
      <c r="C45" s="60">
        <f>G30*exchange_rate</f>
        <v>113566.28</v>
      </c>
      <c r="D45" s="60">
        <f>H30*exchange_rate</f>
        <v>20483.493000000006</v>
      </c>
      <c r="F45" s="61"/>
    </row>
    <row r="46" spans="2:8" ht="15" customHeight="1">
      <c r="B46" s="21" t="str">
        <f>"Equity per share ("&amp;Market_currency&amp;")"</f>
        <v>Equity per share (HKD)</v>
      </c>
      <c r="C46" s="120">
        <f>C45*scaling_factor/common_shares</f>
        <v>8.3016286549707607E-2</v>
      </c>
      <c r="D46" s="120">
        <f>D45*H1/common_shares</f>
        <v>1.4973313596491233E-2</v>
      </c>
      <c r="F46" s="61"/>
    </row>
    <row r="47" spans="2:8" ht="15" customHeight="1">
      <c r="F47" s="61"/>
    </row>
    <row r="48" spans="2:8" ht="15" customHeight="1">
      <c r="B48" s="62" t="s">
        <v>14</v>
      </c>
      <c r="C48" s="58" t="s">
        <v>8</v>
      </c>
      <c r="D48" s="27"/>
      <c r="F48" s="61"/>
    </row>
    <row r="49" spans="2:8" ht="15" customHeight="1">
      <c r="B49" s="63" t="s">
        <v>17</v>
      </c>
      <c r="C49" s="64">
        <f>G33/PL!D11</f>
        <v>-7.1625344352617082E-2</v>
      </c>
      <c r="D49" s="64"/>
      <c r="F49" s="61"/>
    </row>
    <row r="50" spans="2:8" ht="15" customHeight="1">
      <c r="B50" s="21" t="s">
        <v>128</v>
      </c>
      <c r="C50" s="64">
        <f>G32/G29</f>
        <v>0.88970299986932744</v>
      </c>
      <c r="D50" s="65"/>
      <c r="F50" s="61"/>
    </row>
    <row r="51" spans="2:8" ht="15" customHeight="1">
      <c r="F51" s="61"/>
    </row>
    <row r="52" spans="2:8" ht="15" customHeight="1">
      <c r="B52" s="62" t="s">
        <v>18</v>
      </c>
      <c r="C52" s="27" t="s">
        <v>16</v>
      </c>
      <c r="F52" s="61"/>
    </row>
    <row r="53" spans="2:8" ht="15" customHeight="1">
      <c r="B53" s="21" t="s">
        <v>19</v>
      </c>
      <c r="C53" s="65">
        <f>G31/G30</f>
        <v>0</v>
      </c>
      <c r="F53" s="61" t="s">
        <v>20</v>
      </c>
    </row>
    <row r="55" spans="2:8" ht="15" customHeight="1">
      <c r="B55" s="24" t="s">
        <v>21</v>
      </c>
      <c r="C55" s="25"/>
      <c r="D55" s="25"/>
      <c r="E55" s="25"/>
      <c r="F55" s="25"/>
      <c r="G55" s="25"/>
      <c r="H55" s="25"/>
    </row>
    <row r="56" spans="2:8" ht="15" customHeight="1">
      <c r="B56" s="26" t="s">
        <v>130</v>
      </c>
      <c r="C56" s="58" t="s">
        <v>8</v>
      </c>
      <c r="D56" s="28" t="s">
        <v>22</v>
      </c>
      <c r="F56" s="59" t="s">
        <v>13</v>
      </c>
    </row>
    <row r="57" spans="2:8" ht="15" customHeight="1">
      <c r="B57" s="66" t="s">
        <v>23</v>
      </c>
      <c r="C57" s="35">
        <f>G4+G5+G14</f>
        <v>67045</v>
      </c>
      <c r="D57" s="60">
        <f>C57-D65</f>
        <v>59263.5</v>
      </c>
      <c r="F57" s="61" t="s">
        <v>24</v>
      </c>
    </row>
    <row r="58" spans="2:8" ht="15" customHeight="1">
      <c r="B58" s="66" t="s">
        <v>131</v>
      </c>
      <c r="C58" s="35">
        <f>G6+G15</f>
        <v>0</v>
      </c>
      <c r="D58" s="60"/>
      <c r="F58" s="61"/>
    </row>
    <row r="59" spans="2:8" ht="15" customHeight="1">
      <c r="B59" s="66" t="s">
        <v>132</v>
      </c>
      <c r="C59" s="35">
        <f>G16</f>
        <v>0</v>
      </c>
      <c r="D59" s="60"/>
      <c r="F59" s="61"/>
    </row>
    <row r="60" spans="2:8" ht="15" customHeight="1">
      <c r="B60" s="66" t="s">
        <v>133</v>
      </c>
      <c r="C60" s="35">
        <f>G17</f>
        <v>0</v>
      </c>
      <c r="D60" s="60"/>
      <c r="F60" s="61"/>
    </row>
    <row r="61" spans="2:8" ht="15" customHeight="1">
      <c r="F61" s="61"/>
    </row>
    <row r="62" spans="2:8" ht="15" customHeight="1">
      <c r="B62" s="67" t="s">
        <v>25</v>
      </c>
      <c r="C62" s="58" t="s">
        <v>16</v>
      </c>
      <c r="D62" s="27" t="s">
        <v>15</v>
      </c>
      <c r="F62" s="61"/>
    </row>
    <row r="63" spans="2:8" ht="15" customHeight="1">
      <c r="B63" s="66" t="s">
        <v>26</v>
      </c>
      <c r="C63" s="60">
        <f>PL!D7/12</f>
        <v>-3890.75</v>
      </c>
      <c r="D63" s="60">
        <f>C63</f>
        <v>-3890.75</v>
      </c>
      <c r="F63" s="21" t="s">
        <v>27</v>
      </c>
    </row>
    <row r="64" spans="2:8" ht="15" customHeight="1">
      <c r="B64" s="68" t="s">
        <v>28</v>
      </c>
      <c r="C64" s="69">
        <f>-$C$57/C63</f>
        <v>17.231896163978668</v>
      </c>
      <c r="D64" s="69">
        <f>-$C$57/D63</f>
        <v>17.231896163978668</v>
      </c>
      <c r="F64" s="61" t="s">
        <v>29</v>
      </c>
    </row>
    <row r="65" spans="2:8" ht="15" customHeight="1">
      <c r="B65" s="33" t="s">
        <v>30</v>
      </c>
      <c r="C65" s="70"/>
      <c r="D65" s="71">
        <f>MAX(-D63*D66,G5)</f>
        <v>7781.5</v>
      </c>
      <c r="F65" s="61" t="s">
        <v>31</v>
      </c>
    </row>
    <row r="66" spans="2:8" ht="15" customHeight="1">
      <c r="B66" s="72" t="s">
        <v>32</v>
      </c>
      <c r="C66" s="73"/>
      <c r="D66" s="74">
        <f>IF(D64&lt;=3,1,IF(D64&gt;18,6,2))</f>
        <v>2</v>
      </c>
      <c r="F66" s="61" t="s">
        <v>33</v>
      </c>
    </row>
    <row r="68" spans="2:8" ht="15" customHeight="1">
      <c r="B68" s="24" t="s">
        <v>35</v>
      </c>
      <c r="C68" s="25"/>
      <c r="D68" s="25"/>
      <c r="E68" s="25"/>
      <c r="F68" s="25"/>
      <c r="G68" s="25"/>
      <c r="H68" s="25"/>
    </row>
    <row r="69" spans="2:8" ht="15" customHeight="1">
      <c r="B69" s="26" t="s">
        <v>36</v>
      </c>
      <c r="C69" s="58" t="s">
        <v>8</v>
      </c>
      <c r="D69" s="75" t="s">
        <v>37</v>
      </c>
    </row>
    <row r="70" spans="2:8" ht="15" customHeight="1">
      <c r="B70" s="76" t="s">
        <v>38</v>
      </c>
      <c r="C70" s="60">
        <f>G33</f>
        <v>676</v>
      </c>
      <c r="D70" s="77">
        <f>C70*$H$1/common_shares</f>
        <v>4.9415204678362578E-4</v>
      </c>
      <c r="E70" s="78" t="str">
        <f>Market_currency</f>
        <v>HKD</v>
      </c>
    </row>
    <row r="71" spans="2:8" ht="15" customHeight="1">
      <c r="B71" s="76" t="s">
        <v>39</v>
      </c>
      <c r="C71" s="60">
        <f>D57</f>
        <v>59263.5</v>
      </c>
      <c r="D71" s="77">
        <f>C71*$H$1/common_shares</f>
        <v>4.3321271929824559E-2</v>
      </c>
      <c r="E71" s="78" t="str">
        <f>Market_currency</f>
        <v>HKD</v>
      </c>
    </row>
    <row r="72" spans="2:8" ht="15" customHeight="1">
      <c r="B72" s="76" t="s">
        <v>34</v>
      </c>
      <c r="C72" s="60">
        <f>C58+C59+C60</f>
        <v>0</v>
      </c>
      <c r="D72" s="77">
        <f>C72*$H$1/common_shares</f>
        <v>0</v>
      </c>
      <c r="E72" s="78" t="str">
        <f>Market_currency</f>
        <v>HKD</v>
      </c>
    </row>
    <row r="73" spans="2:8" ht="15" customHeight="1">
      <c r="B73" s="33" t="s">
        <v>40</v>
      </c>
      <c r="C73" s="79">
        <f>SUM(C70:C72)</f>
        <v>59939.5</v>
      </c>
      <c r="D73" s="80">
        <f>SUM(D70:D72)</f>
        <v>4.3815423976608182E-2</v>
      </c>
      <c r="E73" s="78" t="str">
        <f>Market_currency</f>
        <v>HKD</v>
      </c>
    </row>
  </sheetData>
  <pageMargins left="0.25" right="0.25" top="0.75" bottom="0.75" header="0.3" footer="0.3"/>
  <pageSetup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20A6-FF98-4D4F-A1B2-41B232BD8DC0}">
  <dimension ref="B2:G35"/>
  <sheetViews>
    <sheetView showGridLines="0" tabSelected="1" workbookViewId="0">
      <selection activeCell="C12" sqref="C12"/>
    </sheetView>
  </sheetViews>
  <sheetFormatPr defaultRowHeight="15"/>
  <cols>
    <col min="1" max="1" width="2.59765625" style="5" customWidth="1"/>
    <col min="2" max="2" width="18.6640625" style="5" customWidth="1"/>
    <col min="3" max="4" width="16" style="5" customWidth="1"/>
    <col min="5" max="5" width="19.53125" style="5" customWidth="1"/>
    <col min="6" max="6" width="9.19921875" style="5" customWidth="1"/>
    <col min="7" max="7" width="24.06640625" style="5" customWidth="1"/>
    <col min="8" max="16384" width="9.06640625" style="5"/>
  </cols>
  <sheetData>
    <row r="2" spans="2:7">
      <c r="B2" s="123" t="s">
        <v>187</v>
      </c>
    </row>
    <row r="3" spans="2:7">
      <c r="B3" s="121" t="s">
        <v>179</v>
      </c>
      <c r="C3" s="134">
        <v>2000000000</v>
      </c>
    </row>
    <row r="4" spans="2:7">
      <c r="B4" s="121" t="s">
        <v>180</v>
      </c>
      <c r="C4" s="134">
        <f>common_shares</f>
        <v>1368000000</v>
      </c>
    </row>
    <row r="5" spans="2:7">
      <c r="B5" s="121" t="s">
        <v>181</v>
      </c>
      <c r="C5" s="135">
        <v>0.01</v>
      </c>
    </row>
    <row r="7" spans="2:7">
      <c r="B7" s="123" t="s">
        <v>186</v>
      </c>
    </row>
    <row r="8" spans="2:7" ht="15.75">
      <c r="B8" s="136" t="s">
        <v>191</v>
      </c>
      <c r="C8" s="136" t="s">
        <v>178</v>
      </c>
      <c r="D8" s="136" t="s">
        <v>177</v>
      </c>
      <c r="E8" s="136" t="s">
        <v>217</v>
      </c>
      <c r="F8" s="136" t="s">
        <v>175</v>
      </c>
      <c r="G8" s="136" t="s">
        <v>184</v>
      </c>
    </row>
    <row r="9" spans="2:7">
      <c r="B9" s="139" t="s">
        <v>174</v>
      </c>
      <c r="C9" s="140">
        <v>424560000</v>
      </c>
      <c r="D9" s="141">
        <f>C9/common_shares</f>
        <v>0.31035087719298243</v>
      </c>
      <c r="E9" s="140">
        <f>D24</f>
        <v>600000000</v>
      </c>
      <c r="F9" s="143" t="s">
        <v>183</v>
      </c>
      <c r="G9" s="144" t="s">
        <v>185</v>
      </c>
    </row>
    <row r="10" spans="2:7">
      <c r="B10" s="139" t="s">
        <v>182</v>
      </c>
      <c r="C10" s="140">
        <v>228000000</v>
      </c>
      <c r="D10" s="141">
        <f>C10/common_shares</f>
        <v>0.16666666666666666</v>
      </c>
      <c r="E10" s="140">
        <v>228000000</v>
      </c>
      <c r="F10" s="143" t="s">
        <v>157</v>
      </c>
      <c r="G10" s="144" t="s">
        <v>188</v>
      </c>
    </row>
    <row r="11" spans="2:7">
      <c r="B11" s="139" t="s">
        <v>176</v>
      </c>
      <c r="C11" s="140">
        <v>105000000</v>
      </c>
      <c r="D11" s="141">
        <f>C11/common_shares</f>
        <v>7.6754385964912283E-2</v>
      </c>
      <c r="E11" s="140">
        <f>D34</f>
        <v>180000000</v>
      </c>
      <c r="F11" s="143" t="s">
        <v>157</v>
      </c>
      <c r="G11" s="144" t="s">
        <v>189</v>
      </c>
    </row>
    <row r="12" spans="2:7">
      <c r="B12" s="139" t="s">
        <v>221</v>
      </c>
      <c r="C12" s="142" t="s">
        <v>219</v>
      </c>
      <c r="D12" s="141" t="s">
        <v>219</v>
      </c>
      <c r="E12" s="140">
        <f>C19</f>
        <v>160000000</v>
      </c>
      <c r="F12" s="143" t="s">
        <v>157</v>
      </c>
      <c r="G12" s="144" t="s">
        <v>220</v>
      </c>
    </row>
    <row r="13" spans="2:7">
      <c r="B13" s="148" t="s">
        <v>218</v>
      </c>
      <c r="C13" s="149">
        <f>SUM(C9:C12)</f>
        <v>757560000</v>
      </c>
      <c r="D13" s="150">
        <f t="shared" ref="D13" si="0">SUM(D9:D11)</f>
        <v>0.55377192982456136</v>
      </c>
      <c r="E13" s="149">
        <f>SUM(E9:E12)</f>
        <v>1168000000</v>
      </c>
      <c r="F13" s="151"/>
      <c r="G13" s="151"/>
    </row>
    <row r="15" spans="2:7">
      <c r="B15" s="123" t="s">
        <v>199</v>
      </c>
    </row>
    <row r="16" spans="2:7" ht="15.75">
      <c r="B16" s="136" t="s">
        <v>190</v>
      </c>
      <c r="C16" s="136" t="s">
        <v>193</v>
      </c>
      <c r="D16" s="136" t="s">
        <v>192</v>
      </c>
      <c r="E16" s="136" t="s">
        <v>184</v>
      </c>
    </row>
    <row r="17" spans="2:6">
      <c r="B17" s="137">
        <v>45681</v>
      </c>
      <c r="C17" s="134">
        <f>D17-D18</f>
        <v>228000000</v>
      </c>
      <c r="D17" s="134">
        <f>common_shares</f>
        <v>1368000000</v>
      </c>
      <c r="E17" s="122" t="s">
        <v>197</v>
      </c>
    </row>
    <row r="18" spans="2:6">
      <c r="B18" s="137">
        <v>45295</v>
      </c>
      <c r="C18" s="134">
        <f>D18-D19</f>
        <v>180000000</v>
      </c>
      <c r="D18" s="134">
        <v>1140000000</v>
      </c>
      <c r="E18" s="122" t="s">
        <v>196</v>
      </c>
    </row>
    <row r="19" spans="2:6">
      <c r="B19" s="137">
        <v>44873</v>
      </c>
      <c r="C19" s="134">
        <f>D19-D20</f>
        <v>160000000</v>
      </c>
      <c r="D19" s="134">
        <v>960000000</v>
      </c>
      <c r="E19" s="122" t="s">
        <v>198</v>
      </c>
    </row>
    <row r="20" spans="2:6">
      <c r="B20" s="137">
        <v>43076</v>
      </c>
      <c r="C20" s="127" t="s">
        <v>194</v>
      </c>
      <c r="D20" s="134">
        <v>800000000</v>
      </c>
      <c r="E20" s="122" t="s">
        <v>195</v>
      </c>
    </row>
    <row r="22" spans="2:6">
      <c r="B22" s="123" t="s">
        <v>211</v>
      </c>
    </row>
    <row r="23" spans="2:6" ht="15.75">
      <c r="B23" s="136" t="s">
        <v>190</v>
      </c>
      <c r="C23" s="136" t="s">
        <v>193</v>
      </c>
      <c r="D23" s="136" t="s">
        <v>192</v>
      </c>
      <c r="E23" s="136" t="s">
        <v>213</v>
      </c>
    </row>
    <row r="24" spans="2:6">
      <c r="B24" s="137">
        <v>44445</v>
      </c>
      <c r="C24" s="126" t="s">
        <v>222</v>
      </c>
      <c r="D24" s="134">
        <v>600000000</v>
      </c>
      <c r="E24" s="133">
        <v>0.75</v>
      </c>
    </row>
    <row r="25" spans="2:6">
      <c r="B25" s="137">
        <v>44547</v>
      </c>
      <c r="C25" s="126" t="s">
        <v>212</v>
      </c>
      <c r="D25" s="134">
        <v>524600000</v>
      </c>
      <c r="E25" s="133">
        <v>0.53069999999999995</v>
      </c>
    </row>
    <row r="26" spans="2:6">
      <c r="B26" s="137">
        <v>44578</v>
      </c>
      <c r="C26" s="126" t="s">
        <v>223</v>
      </c>
      <c r="D26" s="134">
        <v>424560000</v>
      </c>
      <c r="E26" s="133">
        <v>0.44230000000000003</v>
      </c>
      <c r="F26" s="138"/>
    </row>
    <row r="28" spans="2:6">
      <c r="B28" s="123" t="s">
        <v>215</v>
      </c>
    </row>
    <row r="29" spans="2:6" ht="15.75">
      <c r="B29" s="136" t="s">
        <v>190</v>
      </c>
      <c r="C29" s="136" t="s">
        <v>193</v>
      </c>
      <c r="D29" s="136" t="s">
        <v>192</v>
      </c>
      <c r="E29" s="136" t="s">
        <v>213</v>
      </c>
    </row>
    <row r="30" spans="2:6">
      <c r="B30" s="137">
        <v>44441</v>
      </c>
      <c r="C30" s="126" t="s">
        <v>210</v>
      </c>
      <c r="D30" s="134">
        <v>0</v>
      </c>
      <c r="E30" s="133">
        <v>0</v>
      </c>
    </row>
    <row r="32" spans="2:6">
      <c r="B32" s="123" t="s">
        <v>176</v>
      </c>
    </row>
    <row r="33" spans="2:5" ht="15.75">
      <c r="B33" s="136" t="s">
        <v>190</v>
      </c>
      <c r="C33" s="136" t="s">
        <v>193</v>
      </c>
      <c r="D33" s="136" t="s">
        <v>192</v>
      </c>
      <c r="E33" s="136" t="s">
        <v>213</v>
      </c>
    </row>
    <row r="34" spans="2:5">
      <c r="B34" s="137">
        <f>B18</f>
        <v>45295</v>
      </c>
      <c r="C34" s="126" t="s">
        <v>216</v>
      </c>
      <c r="D34" s="134">
        <v>180000000</v>
      </c>
      <c r="E34" s="133">
        <v>0.15790000000000001</v>
      </c>
    </row>
    <row r="35" spans="2:5">
      <c r="B35" s="137">
        <v>45614</v>
      </c>
      <c r="C35" s="126" t="s">
        <v>214</v>
      </c>
      <c r="D35" s="134">
        <v>105000000</v>
      </c>
      <c r="E35" s="133">
        <v>9.2100000000000001E-2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35FA-00BE-459A-B43D-C06F8423CB0D}">
  <dimension ref="A2:E25"/>
  <sheetViews>
    <sheetView showGridLines="0" workbookViewId="0">
      <selection activeCell="C12" sqref="C12"/>
    </sheetView>
  </sheetViews>
  <sheetFormatPr defaultRowHeight="15"/>
  <cols>
    <col min="1" max="1" width="2.59765625" style="5" customWidth="1"/>
    <col min="2" max="2" width="27.33203125" style="5" bestFit="1" customWidth="1"/>
    <col min="3" max="3" width="46.06640625" style="5" bestFit="1" customWidth="1"/>
    <col min="4" max="4" width="19.46484375" style="5" bestFit="1" customWidth="1"/>
    <col min="5" max="5" width="25.6640625" style="5" bestFit="1" customWidth="1"/>
    <col min="6" max="16384" width="9.06640625" style="5"/>
  </cols>
  <sheetData>
    <row r="2" spans="1:5">
      <c r="B2" s="6" t="s">
        <v>155</v>
      </c>
      <c r="C2" s="6"/>
      <c r="D2" s="6"/>
      <c r="E2" s="6"/>
    </row>
    <row r="3" spans="1:5" ht="15.75">
      <c r="A3" s="6"/>
      <c r="B3" s="124" t="s">
        <v>154</v>
      </c>
    </row>
    <row r="4" spans="1:5" ht="15.75">
      <c r="B4" s="125" t="s">
        <v>135</v>
      </c>
      <c r="C4" s="126" t="s">
        <v>136</v>
      </c>
      <c r="D4" s="125" t="s">
        <v>137</v>
      </c>
      <c r="E4" s="126">
        <v>8406</v>
      </c>
    </row>
    <row r="5" spans="1:5" ht="15.75">
      <c r="B5" s="125" t="s">
        <v>138</v>
      </c>
      <c r="C5" s="126" t="s">
        <v>3</v>
      </c>
      <c r="D5" s="125" t="s">
        <v>148</v>
      </c>
      <c r="E5" s="126" t="s">
        <v>149</v>
      </c>
    </row>
    <row r="6" spans="1:5" ht="15.75">
      <c r="B6" s="125" t="s">
        <v>202</v>
      </c>
      <c r="C6" s="127">
        <v>200000000</v>
      </c>
      <c r="D6" s="125" t="s">
        <v>139</v>
      </c>
      <c r="E6" s="126" t="s">
        <v>140</v>
      </c>
    </row>
    <row r="7" spans="1:5" ht="15.75">
      <c r="B7" s="125" t="s">
        <v>200</v>
      </c>
      <c r="C7" s="127">
        <v>120000000</v>
      </c>
      <c r="D7" s="125" t="s">
        <v>141</v>
      </c>
      <c r="E7" s="126" t="s">
        <v>142</v>
      </c>
    </row>
    <row r="8" spans="1:5" ht="15.75">
      <c r="B8" s="125" t="s">
        <v>201</v>
      </c>
      <c r="C8" s="127">
        <v>80000000</v>
      </c>
      <c r="D8" s="125" t="s">
        <v>203</v>
      </c>
      <c r="E8" s="126">
        <v>0.315</v>
      </c>
    </row>
    <row r="9" spans="1:5" ht="15.75">
      <c r="B9" s="125" t="s">
        <v>150</v>
      </c>
      <c r="C9" s="128">
        <f>股东!B20</f>
        <v>43076</v>
      </c>
      <c r="D9" s="125" t="s">
        <v>143</v>
      </c>
      <c r="E9" s="129">
        <f>(E8*股东!D20)/(PL!L23*scaling_factor)</f>
        <v>26.737400530503979</v>
      </c>
    </row>
    <row r="10" spans="1:5" ht="15.75">
      <c r="B10" s="125" t="s">
        <v>144</v>
      </c>
      <c r="C10" s="126" t="s">
        <v>145</v>
      </c>
      <c r="D10" s="125" t="s">
        <v>151</v>
      </c>
      <c r="E10" s="130">
        <v>0.41499999999999998</v>
      </c>
    </row>
    <row r="11" spans="1:5" ht="15.75">
      <c r="B11" s="125" t="s">
        <v>152</v>
      </c>
      <c r="C11" s="126" t="s">
        <v>147</v>
      </c>
      <c r="D11" s="125" t="s">
        <v>146</v>
      </c>
      <c r="E11" s="131">
        <f>E10/E8-1</f>
        <v>0.31746031746031744</v>
      </c>
    </row>
    <row r="13" spans="1:5" ht="15.75">
      <c r="A13" s="6"/>
      <c r="B13" s="124" t="s">
        <v>153</v>
      </c>
    </row>
    <row r="14" spans="1:5" ht="15.75">
      <c r="B14" s="125" t="s">
        <v>156</v>
      </c>
      <c r="C14" s="126" t="s">
        <v>157</v>
      </c>
      <c r="D14" s="125" t="s">
        <v>158</v>
      </c>
      <c r="E14" s="126" t="s">
        <v>157</v>
      </c>
    </row>
    <row r="15" spans="1:5" ht="15.75">
      <c r="B15" s="125" t="s">
        <v>159</v>
      </c>
      <c r="C15" s="127">
        <v>852300000</v>
      </c>
      <c r="D15" s="125" t="s">
        <v>160</v>
      </c>
      <c r="E15" s="126">
        <v>42.6</v>
      </c>
    </row>
    <row r="16" spans="1:5" ht="15.75">
      <c r="B16" s="125" t="s">
        <v>205</v>
      </c>
      <c r="C16" s="127">
        <v>60000000</v>
      </c>
      <c r="D16" s="125" t="s">
        <v>204</v>
      </c>
      <c r="E16" s="127">
        <f>C6-C16</f>
        <v>140000000</v>
      </c>
    </row>
    <row r="17" spans="1:5" ht="15.75">
      <c r="B17" s="125" t="s">
        <v>206</v>
      </c>
      <c r="C17" s="127">
        <f>E8*C7</f>
        <v>37800000</v>
      </c>
      <c r="D17" s="125" t="s">
        <v>208</v>
      </c>
      <c r="E17" s="127">
        <f>C17-C18</f>
        <v>17100000</v>
      </c>
    </row>
    <row r="18" spans="1:5" ht="15.75">
      <c r="B18" s="125" t="s">
        <v>207</v>
      </c>
      <c r="C18" s="127">
        <v>20700000</v>
      </c>
      <c r="D18" s="125" t="s">
        <v>209</v>
      </c>
      <c r="E18" s="132">
        <f>E17/C17</f>
        <v>0.45238095238095238</v>
      </c>
    </row>
    <row r="20" spans="1:5" ht="15.75">
      <c r="A20" s="6"/>
      <c r="B20" s="124" t="s">
        <v>161</v>
      </c>
    </row>
    <row r="21" spans="1:5" ht="15.75">
      <c r="B21" s="125" t="s">
        <v>162</v>
      </c>
      <c r="C21" s="147" t="s">
        <v>163</v>
      </c>
      <c r="D21" s="147"/>
      <c r="E21" s="147"/>
    </row>
    <row r="22" spans="1:5" ht="15.75">
      <c r="B22" s="125" t="s">
        <v>164</v>
      </c>
      <c r="C22" s="147" t="s">
        <v>165</v>
      </c>
      <c r="D22" s="147"/>
      <c r="E22" s="147"/>
    </row>
    <row r="23" spans="1:5" ht="15.75">
      <c r="B23" s="125" t="s">
        <v>166</v>
      </c>
      <c r="C23" s="147" t="s">
        <v>167</v>
      </c>
      <c r="D23" s="147"/>
      <c r="E23" s="147"/>
    </row>
    <row r="24" spans="1:5" ht="15.75">
      <c r="B24" s="125" t="s">
        <v>168</v>
      </c>
      <c r="C24" s="147" t="s">
        <v>169</v>
      </c>
      <c r="D24" s="147"/>
      <c r="E24" s="147"/>
    </row>
    <row r="25" spans="1:5" ht="15.75">
      <c r="B25" s="125" t="s">
        <v>170</v>
      </c>
      <c r="C25" s="147" t="s">
        <v>171</v>
      </c>
      <c r="D25" s="147"/>
      <c r="E25" s="147"/>
    </row>
  </sheetData>
  <mergeCells count="5">
    <mergeCell ref="C21:E21"/>
    <mergeCell ref="C22:E22"/>
    <mergeCell ref="C23:E23"/>
    <mergeCell ref="C24:E24"/>
    <mergeCell ref="C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摘要</vt:lpstr>
      <vt:lpstr>PL</vt:lpstr>
      <vt:lpstr>BS</vt:lpstr>
      <vt:lpstr>股东</vt:lpstr>
      <vt:lpstr>IPO资料</vt:lpstr>
      <vt:lpstr>common_shares</vt:lpstr>
      <vt:lpstr>exchange_rate</vt:lpstr>
      <vt:lpstr>market_cap</vt:lpstr>
      <vt:lpstr>Market_currency</vt:lpstr>
      <vt:lpstr>scaling_factor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Chen</dc:creator>
  <cp:lastModifiedBy>Jerry Chen</cp:lastModifiedBy>
  <cp:lastPrinted>2025-04-30T03:52:42Z</cp:lastPrinted>
  <dcterms:created xsi:type="dcterms:W3CDTF">2015-06-05T18:19:34Z</dcterms:created>
  <dcterms:modified xsi:type="dcterms:W3CDTF">2025-05-02T06:00:53Z</dcterms:modified>
</cp:coreProperties>
</file>