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学习\交易\"/>
    </mc:Choice>
  </mc:AlternateContent>
  <xr:revisionPtr revIDLastSave="0" documentId="13_ncr:1_{0F0E28A3-D8FF-4B5D-AE37-F9701ED1E73E}" xr6:coauthVersionLast="47" xr6:coauthVersionMax="47" xr10:uidLastSave="{00000000-0000-0000-0000-000000000000}"/>
  <bookViews>
    <workbookView xWindow="18980" yWindow="0" windowWidth="19420" windowHeight="10200" activeTab="4" xr2:uid="{00000000-000D-0000-FFFF-FFFF00000000}"/>
  </bookViews>
  <sheets>
    <sheet name="汇总" sheetId="8" r:id="rId1"/>
    <sheet name="多仓" sheetId="3" r:id="rId2"/>
    <sheet name="空仓" sheetId="5" r:id="rId3"/>
    <sheet name="合并计算" sheetId="17" r:id="rId4"/>
    <sheet name="计算器" sheetId="2" r:id="rId5"/>
    <sheet name="Sheet1" sheetId="19" r:id="rId6"/>
    <sheet name="变化计算" sheetId="14" r:id="rId7"/>
    <sheet name="2024-11" sheetId="7" r:id="rId8"/>
    <sheet name="2024年" sheetId="10" r:id="rId9"/>
    <sheet name="期望值" sheetId="6" r:id="rId10"/>
    <sheet name="API" sheetId="18" r:id="rId11"/>
  </sheets>
  <definedNames>
    <definedName name="ExternalData_2" localSheetId="10" hidden="1">API!$A$1:$B$3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7" l="1"/>
  <c r="V9" i="5"/>
  <c r="T9" i="5"/>
  <c r="Q9" i="5"/>
  <c r="P9" i="5"/>
  <c r="O9" i="5"/>
  <c r="N9" i="5"/>
  <c r="M9" i="5"/>
  <c r="L9" i="5"/>
  <c r="K9" i="5"/>
  <c r="J9" i="5"/>
  <c r="I9" i="5"/>
  <c r="H9" i="5"/>
  <c r="G9" i="5"/>
  <c r="F9" i="5"/>
  <c r="E9" i="5"/>
  <c r="A9" i="5"/>
  <c r="V8" i="5"/>
  <c r="T8" i="5"/>
  <c r="Q8" i="5"/>
  <c r="P8" i="5"/>
  <c r="O8" i="5"/>
  <c r="N8" i="5"/>
  <c r="M8" i="5"/>
  <c r="L8" i="5"/>
  <c r="K8" i="5"/>
  <c r="J8" i="5"/>
  <c r="I8" i="5"/>
  <c r="H8" i="5"/>
  <c r="G8" i="5"/>
  <c r="F8" i="5"/>
  <c r="E8" i="5"/>
  <c r="A8" i="5"/>
  <c r="V7" i="5"/>
  <c r="T7" i="5"/>
  <c r="Q7" i="5"/>
  <c r="P7" i="5"/>
  <c r="O7" i="5"/>
  <c r="N7" i="5"/>
  <c r="M7" i="5"/>
  <c r="L7" i="5"/>
  <c r="K7" i="5"/>
  <c r="J7" i="5"/>
  <c r="I7" i="5"/>
  <c r="H7" i="5"/>
  <c r="G7" i="5"/>
  <c r="F7" i="5"/>
  <c r="E7" i="5"/>
  <c r="A7" i="5"/>
  <c r="V12" i="5"/>
  <c r="T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A12" i="5"/>
  <c r="V11" i="5"/>
  <c r="T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A11" i="5"/>
  <c r="V10" i="5"/>
  <c r="T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A10" i="5"/>
  <c r="A10" i="7"/>
  <c r="A8" i="7"/>
  <c r="G29" i="5"/>
  <c r="F29" i="5"/>
  <c r="G28" i="5"/>
  <c r="F28" i="5"/>
  <c r="G27" i="5"/>
  <c r="F27" i="5"/>
  <c r="G26" i="5"/>
  <c r="F26" i="5"/>
  <c r="A7" i="7"/>
  <c r="V9" i="3"/>
  <c r="T9" i="3"/>
  <c r="Q9" i="3"/>
  <c r="P9" i="3"/>
  <c r="O9" i="3"/>
  <c r="N9" i="3"/>
  <c r="M9" i="3"/>
  <c r="L9" i="3"/>
  <c r="K9" i="3"/>
  <c r="J9" i="3"/>
  <c r="I9" i="3"/>
  <c r="H9" i="3"/>
  <c r="G9" i="3"/>
  <c r="F9" i="3"/>
  <c r="E9" i="3"/>
  <c r="A9" i="3"/>
  <c r="V8" i="3"/>
  <c r="T8" i="3"/>
  <c r="Q8" i="3"/>
  <c r="P8" i="3"/>
  <c r="O8" i="3"/>
  <c r="N8" i="3"/>
  <c r="M8" i="3"/>
  <c r="L8" i="3"/>
  <c r="K8" i="3"/>
  <c r="J8" i="3"/>
  <c r="I8" i="3"/>
  <c r="H8" i="3"/>
  <c r="G8" i="3"/>
  <c r="F8" i="3"/>
  <c r="E8" i="3"/>
  <c r="A8" i="3"/>
  <c r="V7" i="3"/>
  <c r="T7" i="3"/>
  <c r="Q7" i="3"/>
  <c r="P7" i="3"/>
  <c r="O7" i="3"/>
  <c r="N7" i="3"/>
  <c r="M7" i="3"/>
  <c r="L7" i="3"/>
  <c r="K7" i="3"/>
  <c r="J7" i="3"/>
  <c r="I7" i="3"/>
  <c r="H7" i="3"/>
  <c r="G7" i="3"/>
  <c r="F7" i="3"/>
  <c r="E7" i="3"/>
  <c r="A7" i="3"/>
  <c r="A6" i="7"/>
  <c r="A5" i="7"/>
  <c r="A4" i="7"/>
  <c r="B7" i="10"/>
  <c r="B9" i="10" s="1"/>
  <c r="B6" i="10"/>
  <c r="B13" i="7"/>
  <c r="G30" i="5"/>
  <c r="F30" i="5"/>
  <c r="G26" i="3"/>
  <c r="F26" i="3"/>
  <c r="G25" i="3"/>
  <c r="F25" i="3"/>
  <c r="G24" i="3"/>
  <c r="F24" i="3"/>
  <c r="G23" i="3"/>
  <c r="F23" i="3"/>
  <c r="G27" i="3"/>
  <c r="G28" i="3"/>
  <c r="G29" i="3"/>
  <c r="G30" i="3"/>
  <c r="G31" i="3"/>
  <c r="G32" i="3"/>
  <c r="G32" i="5"/>
  <c r="F32" i="5"/>
  <c r="G31" i="5"/>
  <c r="F31" i="5"/>
  <c r="V5" i="5"/>
  <c r="T5" i="5"/>
  <c r="Q5" i="5"/>
  <c r="P5" i="5"/>
  <c r="O5" i="5"/>
  <c r="N5" i="5"/>
  <c r="M5" i="5"/>
  <c r="L5" i="5"/>
  <c r="K5" i="5"/>
  <c r="J5" i="5"/>
  <c r="I5" i="5"/>
  <c r="H5" i="5"/>
  <c r="G5" i="5"/>
  <c r="F5" i="5"/>
  <c r="E5" i="5"/>
  <c r="A5" i="5"/>
  <c r="V4" i="3"/>
  <c r="T4" i="3"/>
  <c r="Q4" i="3"/>
  <c r="P4" i="3"/>
  <c r="O4" i="3"/>
  <c r="N4" i="3"/>
  <c r="M4" i="3"/>
  <c r="L4" i="3"/>
  <c r="K4" i="3"/>
  <c r="J4" i="3"/>
  <c r="I4" i="3"/>
  <c r="H4" i="3"/>
  <c r="G4" i="3"/>
  <c r="F4" i="3"/>
  <c r="E4" i="3"/>
  <c r="A4" i="3"/>
  <c r="A7" i="19"/>
  <c r="A2" i="19"/>
  <c r="E2" i="19" s="1"/>
  <c r="F2" i="19" s="1"/>
  <c r="V6" i="3"/>
  <c r="T6" i="3"/>
  <c r="Q6" i="3"/>
  <c r="P6" i="3"/>
  <c r="O6" i="3"/>
  <c r="N6" i="3"/>
  <c r="M6" i="3"/>
  <c r="L6" i="3"/>
  <c r="K6" i="3"/>
  <c r="J6" i="3"/>
  <c r="I6" i="3"/>
  <c r="H6" i="3"/>
  <c r="G6" i="3"/>
  <c r="F6" i="3"/>
  <c r="E6" i="3"/>
  <c r="A6" i="3"/>
  <c r="V5" i="3"/>
  <c r="T5" i="3"/>
  <c r="Q5" i="3"/>
  <c r="P5" i="3"/>
  <c r="O5" i="3"/>
  <c r="N5" i="3"/>
  <c r="M5" i="3"/>
  <c r="L5" i="3"/>
  <c r="K5" i="3"/>
  <c r="J5" i="3"/>
  <c r="I5" i="3"/>
  <c r="H5" i="3"/>
  <c r="G5" i="3"/>
  <c r="F5" i="3"/>
  <c r="E5" i="3"/>
  <c r="A5" i="3"/>
  <c r="B8" i="10" l="1"/>
  <c r="C7" i="19"/>
  <c r="D7" i="19" s="1"/>
  <c r="E7" i="19"/>
  <c r="F7" i="19" s="1"/>
  <c r="C2" i="19"/>
  <c r="D2" i="19" s="1"/>
  <c r="H11" i="8" l="1"/>
  <c r="R11" i="5" l="1"/>
  <c r="R9" i="5"/>
  <c r="R12" i="5"/>
  <c r="R8" i="5"/>
  <c r="R7" i="5"/>
  <c r="R10" i="5"/>
  <c r="R7" i="3"/>
  <c r="R9" i="3"/>
  <c r="R8" i="3"/>
  <c r="R5" i="5"/>
  <c r="R4" i="3"/>
  <c r="R5" i="3"/>
  <c r="R6" i="3"/>
  <c r="F29" i="3"/>
  <c r="F28" i="3"/>
  <c r="F27" i="3"/>
  <c r="H2" i="8" l="1"/>
  <c r="V4" i="5"/>
  <c r="T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A4" i="5"/>
  <c r="V6" i="5"/>
  <c r="T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A6" i="5"/>
  <c r="D5" i="17" l="1"/>
  <c r="A5" i="17"/>
  <c r="D4" i="17"/>
  <c r="A4" i="17"/>
  <c r="E11" i="8"/>
  <c r="H6" i="8"/>
  <c r="E3" i="8"/>
  <c r="G3" i="8" s="1"/>
  <c r="I2" i="8"/>
  <c r="I4" i="8" s="1"/>
  <c r="H4" i="8"/>
  <c r="U17" i="5"/>
  <c r="T13" i="5"/>
  <c r="V13" i="5"/>
  <c r="T14" i="5"/>
  <c r="V14" i="5"/>
  <c r="T15" i="5"/>
  <c r="V15" i="5"/>
  <c r="U14" i="3"/>
  <c r="V10" i="3"/>
  <c r="V11" i="3"/>
  <c r="V12" i="3"/>
  <c r="D6" i="17"/>
  <c r="A6" i="17"/>
  <c r="D17" i="17"/>
  <c r="D16" i="17"/>
  <c r="F30" i="3"/>
  <c r="O15" i="5"/>
  <c r="O14" i="5"/>
  <c r="O13" i="5"/>
  <c r="L15" i="5"/>
  <c r="L14" i="5"/>
  <c r="L13" i="5"/>
  <c r="L12" i="3"/>
  <c r="L11" i="3"/>
  <c r="L10" i="3"/>
  <c r="O12" i="3"/>
  <c r="O11" i="3"/>
  <c r="O10" i="3"/>
  <c r="T10" i="3"/>
  <c r="T11" i="3"/>
  <c r="T12" i="3"/>
  <c r="B22" i="17"/>
  <c r="D19" i="17"/>
  <c r="A19" i="17"/>
  <c r="D18" i="17"/>
  <c r="A18" i="17"/>
  <c r="A17" i="17"/>
  <c r="A16" i="17"/>
  <c r="B10" i="17"/>
  <c r="A7" i="17"/>
  <c r="D7" i="17"/>
  <c r="K22" i="2"/>
  <c r="L22" i="2"/>
  <c r="M22" i="2"/>
  <c r="J22" i="2"/>
  <c r="B20" i="14"/>
  <c r="C20" i="14" s="1"/>
  <c r="F13" i="14"/>
  <c r="E14" i="14" s="1"/>
  <c r="E13" i="14"/>
  <c r="C13" i="14"/>
  <c r="B13" i="14"/>
  <c r="B14" i="14" s="1"/>
  <c r="C6" i="14"/>
  <c r="B6" i="14"/>
  <c r="L6" i="8" l="1"/>
  <c r="M6" i="8"/>
  <c r="K6" i="8"/>
  <c r="L4" i="8"/>
  <c r="M4" i="8"/>
  <c r="K4" i="8"/>
  <c r="T14" i="3"/>
  <c r="T17" i="5"/>
  <c r="H3" i="8"/>
  <c r="I6" i="8"/>
  <c r="H5" i="8"/>
  <c r="I3" i="8"/>
  <c r="I5" i="8"/>
  <c r="J2" i="8"/>
  <c r="V17" i="5"/>
  <c r="V14" i="3"/>
  <c r="C22" i="17"/>
  <c r="A22" i="17" s="1"/>
  <c r="E22" i="17" s="1"/>
  <c r="C10" i="17"/>
  <c r="A18" i="6"/>
  <c r="A19" i="6"/>
  <c r="A20" i="6"/>
  <c r="A21" i="6"/>
  <c r="A22" i="6"/>
  <c r="A23" i="6"/>
  <c r="A24" i="6"/>
  <c r="A25" i="6"/>
  <c r="A26" i="6"/>
  <c r="A17" i="6"/>
  <c r="I15" i="5"/>
  <c r="I14" i="5"/>
  <c r="I13" i="5"/>
  <c r="J15" i="5"/>
  <c r="J14" i="5"/>
  <c r="J13" i="5"/>
  <c r="I10" i="3"/>
  <c r="I11" i="3"/>
  <c r="I12" i="3"/>
  <c r="K10" i="3"/>
  <c r="K11" i="3"/>
  <c r="K12" i="3"/>
  <c r="R13" i="5"/>
  <c r="R14" i="5"/>
  <c r="R15" i="5"/>
  <c r="R10" i="3"/>
  <c r="R11" i="3"/>
  <c r="R12" i="3"/>
  <c r="D19" i="5"/>
  <c r="D16" i="3"/>
  <c r="G33" i="5"/>
  <c r="F33" i="5"/>
  <c r="N10" i="3"/>
  <c r="P10" i="3"/>
  <c r="N11" i="3"/>
  <c r="P11" i="3"/>
  <c r="N12" i="3"/>
  <c r="P12" i="3"/>
  <c r="P13" i="5"/>
  <c r="P14" i="5"/>
  <c r="P15" i="5"/>
  <c r="F13" i="5"/>
  <c r="G13" i="5"/>
  <c r="H13" i="5"/>
  <c r="K13" i="5"/>
  <c r="M13" i="5"/>
  <c r="N13" i="5"/>
  <c r="Q13" i="5"/>
  <c r="F14" i="5"/>
  <c r="G14" i="5"/>
  <c r="H14" i="5"/>
  <c r="K14" i="5"/>
  <c r="M14" i="5"/>
  <c r="N14" i="5"/>
  <c r="Q14" i="5"/>
  <c r="F15" i="5"/>
  <c r="G15" i="5"/>
  <c r="H15" i="5"/>
  <c r="K15" i="5"/>
  <c r="M15" i="5"/>
  <c r="N15" i="5"/>
  <c r="Q15" i="5"/>
  <c r="L5" i="8" l="1"/>
  <c r="M5" i="8"/>
  <c r="K5" i="8"/>
  <c r="L3" i="8"/>
  <c r="K3" i="8"/>
  <c r="M3" i="8"/>
  <c r="J5" i="8"/>
  <c r="J3" i="8"/>
  <c r="J6" i="8"/>
  <c r="J4" i="8"/>
  <c r="F22" i="17"/>
  <c r="F10" i="17"/>
  <c r="A10" i="17"/>
  <c r="E10" i="17" s="1"/>
  <c r="B12" i="7"/>
  <c r="B15" i="7" s="1"/>
  <c r="Q10" i="3"/>
  <c r="Q11" i="3"/>
  <c r="Q12" i="3"/>
  <c r="J2" i="2"/>
  <c r="J18" i="2"/>
  <c r="E13" i="5"/>
  <c r="A13" i="5"/>
  <c r="E14" i="5"/>
  <c r="A14" i="5"/>
  <c r="A15" i="5"/>
  <c r="A10" i="3"/>
  <c r="A11" i="3"/>
  <c r="A12" i="3"/>
  <c r="M10" i="3"/>
  <c r="J10" i="3"/>
  <c r="H10" i="3"/>
  <c r="G10" i="3"/>
  <c r="F10" i="3"/>
  <c r="E10" i="3"/>
  <c r="J13" i="2"/>
  <c r="K14" i="2" s="1"/>
  <c r="L14" i="2" s="1"/>
  <c r="J14" i="2"/>
  <c r="J15" i="2"/>
  <c r="J16" i="2"/>
  <c r="J17" i="2"/>
  <c r="J12" i="2"/>
  <c r="J11" i="2"/>
  <c r="K12" i="2" s="1"/>
  <c r="L12" i="2" s="1"/>
  <c r="J4" i="2"/>
  <c r="J5" i="2"/>
  <c r="J6" i="2"/>
  <c r="J7" i="2"/>
  <c r="K6" i="2" s="1"/>
  <c r="L6" i="2" s="1"/>
  <c r="J8" i="2"/>
  <c r="J9" i="2"/>
  <c r="K8" i="2" s="1"/>
  <c r="L8" i="2" s="1"/>
  <c r="J3" i="2"/>
  <c r="F11" i="3"/>
  <c r="G11" i="3"/>
  <c r="H11" i="3"/>
  <c r="J11" i="3"/>
  <c r="M11" i="3"/>
  <c r="F12" i="3"/>
  <c r="G12" i="3"/>
  <c r="H12" i="3"/>
  <c r="J12" i="3"/>
  <c r="M12" i="3"/>
  <c r="E11" i="3"/>
  <c r="G34" i="5"/>
  <c r="G35" i="5"/>
  <c r="F35" i="5"/>
  <c r="F34" i="5"/>
  <c r="F32" i="3"/>
  <c r="F31" i="3"/>
  <c r="A2" i="6"/>
  <c r="D2" i="6"/>
  <c r="B2" i="6" s="1"/>
  <c r="L2" i="6"/>
  <c r="A3" i="6"/>
  <c r="D3" i="6"/>
  <c r="B3" i="6" s="1"/>
  <c r="A4" i="6"/>
  <c r="D4" i="6"/>
  <c r="B4" i="6" s="1"/>
  <c r="L4" i="6"/>
  <c r="A5" i="6"/>
  <c r="D5" i="6"/>
  <c r="B5" i="6" s="1"/>
  <c r="J5" i="6"/>
  <c r="A6" i="6"/>
  <c r="D6" i="6"/>
  <c r="B6" i="6" s="1"/>
  <c r="J6" i="6"/>
  <c r="A7" i="6"/>
  <c r="D7" i="6"/>
  <c r="B7" i="6" s="1"/>
  <c r="J7" i="6"/>
  <c r="L7" i="6"/>
  <c r="A8" i="6"/>
  <c r="D8" i="6"/>
  <c r="B8" i="6" s="1"/>
  <c r="A9" i="6"/>
  <c r="D9" i="6"/>
  <c r="B9" i="6" s="1"/>
  <c r="J9" i="6"/>
  <c r="L9" i="6"/>
  <c r="A10" i="6"/>
  <c r="D10" i="6"/>
  <c r="B10" i="6" s="1"/>
  <c r="A11" i="6"/>
  <c r="D11" i="6"/>
  <c r="B11" i="6" s="1"/>
  <c r="J11" i="6"/>
  <c r="L11" i="6"/>
  <c r="B1" i="10" l="1"/>
  <c r="B14" i="7"/>
  <c r="L10" i="6"/>
  <c r="L8" i="6"/>
  <c r="J10" i="6"/>
  <c r="J8" i="6"/>
  <c r="G34" i="3"/>
  <c r="G37" i="5"/>
  <c r="H2" i="6"/>
  <c r="J4" i="6"/>
  <c r="J3" i="6"/>
  <c r="Q10" i="6"/>
  <c r="Q8" i="6"/>
  <c r="I7" i="6"/>
  <c r="Q4" i="6"/>
  <c r="I3" i="6"/>
  <c r="P11" i="6"/>
  <c r="H9" i="6"/>
  <c r="P6" i="6"/>
  <c r="P3" i="6"/>
  <c r="O11" i="6"/>
  <c r="G11" i="6"/>
  <c r="O9" i="6"/>
  <c r="G8" i="6"/>
  <c r="O6" i="6"/>
  <c r="O5" i="6"/>
  <c r="O4" i="6"/>
  <c r="O3" i="6"/>
  <c r="G3" i="6"/>
  <c r="G2" i="6"/>
  <c r="J2" i="6"/>
  <c r="I11" i="6"/>
  <c r="Q9" i="6"/>
  <c r="Q7" i="6"/>
  <c r="I6" i="6"/>
  <c r="I5" i="6"/>
  <c r="Q3" i="6"/>
  <c r="I2" i="6"/>
  <c r="P10" i="6"/>
  <c r="P9" i="6"/>
  <c r="H8" i="6"/>
  <c r="H7" i="6"/>
  <c r="P5" i="6"/>
  <c r="H5" i="6"/>
  <c r="H4" i="6"/>
  <c r="P2" i="6"/>
  <c r="O10" i="6"/>
  <c r="G10" i="6"/>
  <c r="G9" i="6"/>
  <c r="O8" i="6"/>
  <c r="O7" i="6"/>
  <c r="G7" i="6"/>
  <c r="G6" i="6"/>
  <c r="G5" i="6"/>
  <c r="G4" i="6"/>
  <c r="O2" i="6"/>
  <c r="N11" i="6"/>
  <c r="F11" i="6"/>
  <c r="N10" i="6"/>
  <c r="F10" i="6"/>
  <c r="N9" i="6"/>
  <c r="F9" i="6"/>
  <c r="N8" i="6"/>
  <c r="F8" i="6"/>
  <c r="N7" i="6"/>
  <c r="F7" i="6"/>
  <c r="N6" i="6"/>
  <c r="F6" i="6"/>
  <c r="N5" i="6"/>
  <c r="F5" i="6"/>
  <c r="N4" i="6"/>
  <c r="F4" i="6"/>
  <c r="N3" i="6"/>
  <c r="F3" i="6"/>
  <c r="N2" i="6"/>
  <c r="F2" i="6"/>
  <c r="Q11" i="6"/>
  <c r="I10" i="6"/>
  <c r="I9" i="6"/>
  <c r="I8" i="6"/>
  <c r="Q6" i="6"/>
  <c r="Q5" i="6"/>
  <c r="I4" i="6"/>
  <c r="Q2" i="6"/>
  <c r="H11" i="6"/>
  <c r="H10" i="6"/>
  <c r="P8" i="6"/>
  <c r="P7" i="6"/>
  <c r="H6" i="6"/>
  <c r="P4" i="6"/>
  <c r="H3" i="6"/>
  <c r="M11" i="6"/>
  <c r="E11" i="6"/>
  <c r="M10" i="6"/>
  <c r="E10" i="6"/>
  <c r="M9" i="6"/>
  <c r="E9" i="6"/>
  <c r="M8" i="6"/>
  <c r="E8" i="6"/>
  <c r="M7" i="6"/>
  <c r="E7" i="6"/>
  <c r="M6" i="6"/>
  <c r="E6" i="6"/>
  <c r="M5" i="6"/>
  <c r="E5" i="6"/>
  <c r="M4" i="6"/>
  <c r="E4" i="6"/>
  <c r="M3" i="6"/>
  <c r="E3" i="6"/>
  <c r="M2" i="6"/>
  <c r="E2" i="6"/>
  <c r="L3" i="6"/>
  <c r="L6" i="6"/>
  <c r="L5" i="6"/>
  <c r="K11" i="6"/>
  <c r="K10" i="6"/>
  <c r="K9" i="6"/>
  <c r="K8" i="6"/>
  <c r="K7" i="6"/>
  <c r="K6" i="6"/>
  <c r="K5" i="6"/>
  <c r="K4" i="6"/>
  <c r="K3" i="6"/>
  <c r="K2" i="6"/>
  <c r="B1" i="7" l="1"/>
  <c r="D17" i="5"/>
  <c r="B12" i="8" s="1"/>
  <c r="E15" i="5"/>
  <c r="E12" i="3"/>
  <c r="D14" i="3"/>
  <c r="B11" i="8" s="1"/>
  <c r="E14" i="3" l="1"/>
  <c r="D15" i="3" s="1"/>
  <c r="C11" i="8" s="1"/>
  <c r="F11" i="8" s="1"/>
  <c r="G11" i="8" s="1"/>
  <c r="D17" i="3" l="1"/>
  <c r="I11" i="8" s="1"/>
  <c r="C10" i="2"/>
  <c r="K11" i="8" l="1"/>
  <c r="C18" i="2"/>
  <c r="C2" i="2"/>
  <c r="C16" i="2"/>
  <c r="C5" i="2"/>
  <c r="C14" i="2"/>
  <c r="C12" i="2"/>
  <c r="C8" i="2"/>
  <c r="C15" i="2"/>
  <c r="C3" i="2"/>
  <c r="C6" i="2"/>
  <c r="C4" i="2"/>
  <c r="C11" i="2"/>
  <c r="C9" i="2"/>
  <c r="C13" i="2"/>
  <c r="C7" i="2"/>
  <c r="C17" i="2"/>
  <c r="E17" i="5"/>
  <c r="D18" i="5" s="1"/>
  <c r="C12" i="8" l="1"/>
  <c r="F12" i="8" s="1"/>
  <c r="D20" i="5"/>
  <c r="I12" i="8" s="1"/>
  <c r="J11" i="8" s="1"/>
  <c r="F10" i="2"/>
  <c r="F18" i="2" l="1"/>
  <c r="F3" i="2"/>
  <c r="F9" i="2"/>
  <c r="F16" i="2"/>
  <c r="F4" i="2"/>
  <c r="F8" i="2"/>
  <c r="F11" i="2"/>
  <c r="F2" i="2"/>
  <c r="F12" i="2"/>
  <c r="F7" i="2"/>
  <c r="F5" i="2"/>
  <c r="F17" i="2"/>
  <c r="F14" i="2"/>
  <c r="F6" i="2"/>
  <c r="F15" i="2"/>
  <c r="F13" i="2"/>
  <c r="K12" i="8"/>
  <c r="L11" i="8" s="1"/>
  <c r="G1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6CE92B-6626-4BAB-8F25-384AF91FB414}" keepAlive="1" interval="1" name="查询 - price?symbol=WIFUSDT" description="与工作簿中“price?symbol=WIFUSDT”查询的连接。" type="5" refreshedVersion="8" background="1" refreshOnLoad="1" saveData="1">
    <dbPr connection="Provider=Microsoft.Mashup.OleDb.1;Data Source=$Workbook$;Location=&quot;price?symbol=WIFUSDT&quot;;Extended Properties=&quot;&quot;" command="SELECT * FROM [price?symbol=WIFUSDT]"/>
  </connection>
</connections>
</file>

<file path=xl/sharedStrings.xml><?xml version="1.0" encoding="utf-8"?>
<sst xmlns="http://schemas.openxmlformats.org/spreadsheetml/2006/main" count="210" uniqueCount="138">
  <si>
    <t>开仓价格</t>
    <phoneticPr fontId="1" type="noConversion"/>
  </si>
  <si>
    <t>+15%</t>
    <phoneticPr fontId="1" type="noConversion"/>
  </si>
  <si>
    <t>-15%</t>
    <phoneticPr fontId="1" type="noConversion"/>
  </si>
  <si>
    <t>-10%</t>
    <phoneticPr fontId="1" type="noConversion"/>
  </si>
  <si>
    <t>+10%</t>
    <phoneticPr fontId="1" type="noConversion"/>
  </si>
  <si>
    <t>多仓</t>
    <phoneticPr fontId="1" type="noConversion"/>
  </si>
  <si>
    <t>空仓</t>
    <phoneticPr fontId="1" type="noConversion"/>
  </si>
  <si>
    <t>机动</t>
    <phoneticPr fontId="1" type="noConversion"/>
  </si>
  <si>
    <t>多仓</t>
    <phoneticPr fontId="1" type="noConversion"/>
  </si>
  <si>
    <t>数量</t>
    <phoneticPr fontId="1" type="noConversion"/>
  </si>
  <si>
    <t>总量</t>
    <phoneticPr fontId="1" type="noConversion"/>
  </si>
  <si>
    <t>实际利润</t>
    <phoneticPr fontId="1" type="noConversion"/>
  </si>
  <si>
    <t>平多</t>
    <phoneticPr fontId="1" type="noConversion"/>
  </si>
  <si>
    <t>实际均价</t>
    <phoneticPr fontId="1" type="noConversion"/>
  </si>
  <si>
    <t>倍数</t>
    <phoneticPr fontId="1" type="noConversion"/>
  </si>
  <si>
    <t>本金</t>
    <phoneticPr fontId="1" type="noConversion"/>
  </si>
  <si>
    <t>第n天</t>
    <phoneticPr fontId="1" type="noConversion"/>
  </si>
  <si>
    <t>日期</t>
    <phoneticPr fontId="1" type="noConversion"/>
  </si>
  <si>
    <t>获利</t>
    <phoneticPr fontId="1" type="noConversion"/>
  </si>
  <si>
    <t>当前价</t>
    <phoneticPr fontId="1" type="noConversion"/>
  </si>
  <si>
    <t>盈亏</t>
    <phoneticPr fontId="1" type="noConversion"/>
  </si>
  <si>
    <t>金币数量</t>
    <phoneticPr fontId="1" type="noConversion"/>
  </si>
  <si>
    <t>保证金</t>
    <phoneticPr fontId="1" type="noConversion"/>
  </si>
  <si>
    <t>杠杆</t>
    <phoneticPr fontId="1" type="noConversion"/>
  </si>
  <si>
    <t>多空差距</t>
    <phoneticPr fontId="1" type="noConversion"/>
  </si>
  <si>
    <t>开仓价</t>
    <phoneticPr fontId="1" type="noConversion"/>
  </si>
  <si>
    <t>利润点</t>
    <phoneticPr fontId="1" type="noConversion"/>
  </si>
  <si>
    <t>止盈价</t>
    <phoneticPr fontId="1" type="noConversion"/>
  </si>
  <si>
    <t>利润</t>
    <phoneticPr fontId="1" type="noConversion"/>
  </si>
  <si>
    <t>合并均价</t>
    <phoneticPr fontId="1" type="noConversion"/>
  </si>
  <si>
    <t>开多价格</t>
    <phoneticPr fontId="1" type="noConversion"/>
  </si>
  <si>
    <t>开空价格</t>
  </si>
  <si>
    <t>开空价格</t>
    <phoneticPr fontId="1" type="noConversion"/>
  </si>
  <si>
    <t>开多时间</t>
    <phoneticPr fontId="1" type="noConversion"/>
  </si>
  <si>
    <t>平多时间</t>
    <phoneticPr fontId="1" type="noConversion"/>
  </si>
  <si>
    <t>平多价格</t>
    <phoneticPr fontId="1" type="noConversion"/>
  </si>
  <si>
    <t>收回保证金</t>
    <phoneticPr fontId="1" type="noConversion"/>
  </si>
  <si>
    <t>开空时间</t>
    <phoneticPr fontId="1" type="noConversion"/>
  </si>
  <si>
    <t>平空时间</t>
  </si>
  <si>
    <t>平空</t>
  </si>
  <si>
    <t>平空价格</t>
  </si>
  <si>
    <t>今日空仓利润</t>
    <phoneticPr fontId="1" type="noConversion"/>
  </si>
  <si>
    <t>今日多仓利润</t>
    <phoneticPr fontId="1" type="noConversion"/>
  </si>
  <si>
    <t>编号</t>
    <phoneticPr fontId="1" type="noConversion"/>
  </si>
  <si>
    <t>成交额</t>
    <phoneticPr fontId="1" type="noConversion"/>
  </si>
  <si>
    <t>资金倍数</t>
    <phoneticPr fontId="1" type="noConversion"/>
  </si>
  <si>
    <t>资金总量</t>
    <phoneticPr fontId="1" type="noConversion"/>
  </si>
  <si>
    <t>开仓资金</t>
    <phoneticPr fontId="1" type="noConversion"/>
  </si>
  <si>
    <t>仓位概览</t>
    <phoneticPr fontId="1" type="noConversion"/>
  </si>
  <si>
    <t>单手资金计算</t>
    <phoneticPr fontId="1" type="noConversion"/>
  </si>
  <si>
    <t>+5.1%</t>
    <phoneticPr fontId="1" type="noConversion"/>
  </si>
  <si>
    <t>+3.1%</t>
    <phoneticPr fontId="1" type="noConversion"/>
  </si>
  <si>
    <t>+2.1%</t>
    <phoneticPr fontId="1" type="noConversion"/>
  </si>
  <si>
    <t>+1.1%</t>
    <phoneticPr fontId="1" type="noConversion"/>
  </si>
  <si>
    <t>+0.1%</t>
    <phoneticPr fontId="1" type="noConversion"/>
  </si>
  <si>
    <t>-0.1%</t>
    <phoneticPr fontId="1" type="noConversion"/>
  </si>
  <si>
    <t>-1.1%</t>
    <phoneticPr fontId="1" type="noConversion"/>
  </si>
  <si>
    <t>-2.1%</t>
    <phoneticPr fontId="1" type="noConversion"/>
  </si>
  <si>
    <t>-3.1%</t>
    <phoneticPr fontId="1" type="noConversion"/>
  </si>
  <si>
    <t>-5.1%</t>
    <phoneticPr fontId="1" type="noConversion"/>
  </si>
  <si>
    <t>备注</t>
    <phoneticPr fontId="1" type="noConversion"/>
  </si>
  <si>
    <t>仓位1</t>
    <phoneticPr fontId="1" type="noConversion"/>
  </si>
  <si>
    <t>仓位2</t>
    <phoneticPr fontId="1" type="noConversion"/>
  </si>
  <si>
    <t>间隔</t>
    <phoneticPr fontId="1" type="noConversion"/>
  </si>
  <si>
    <t>多仓</t>
    <phoneticPr fontId="1" type="noConversion"/>
  </si>
  <si>
    <t>空仓</t>
    <phoneticPr fontId="1" type="noConversion"/>
  </si>
  <si>
    <t>仓位价格差计算器</t>
    <phoneticPr fontId="1" type="noConversion"/>
  </si>
  <si>
    <t>合并金额</t>
    <phoneticPr fontId="1" type="noConversion"/>
  </si>
  <si>
    <t>单手占比</t>
    <phoneticPr fontId="1" type="noConversion"/>
  </si>
  <si>
    <t>未实现盈亏</t>
    <phoneticPr fontId="1" type="noConversion"/>
  </si>
  <si>
    <t>资金占用率</t>
    <phoneticPr fontId="1" type="noConversion"/>
  </si>
  <si>
    <t>止盈</t>
    <phoneticPr fontId="1" type="noConversion"/>
  </si>
  <si>
    <t>多仓补仓止盈</t>
    <phoneticPr fontId="1" type="noConversion"/>
  </si>
  <si>
    <t>空仓补仓</t>
    <phoneticPr fontId="1" type="noConversion"/>
  </si>
  <si>
    <t>多仓补仓</t>
    <phoneticPr fontId="1" type="noConversion"/>
  </si>
  <si>
    <t>空仓反补止盈</t>
    <phoneticPr fontId="1" type="noConversion"/>
  </si>
  <si>
    <t>多仓反补止盈</t>
    <phoneticPr fontId="1" type="noConversion"/>
  </si>
  <si>
    <t>空仓补仓止盈</t>
    <phoneticPr fontId="1" type="noConversion"/>
  </si>
  <si>
    <t>多仓止盈</t>
    <phoneticPr fontId="1" type="noConversion"/>
  </si>
  <si>
    <t>空仓止盈</t>
    <phoneticPr fontId="1" type="noConversion"/>
  </si>
  <si>
    <t>月份</t>
    <phoneticPr fontId="1" type="noConversion"/>
  </si>
  <si>
    <t>月数</t>
    <phoneticPr fontId="1" type="noConversion"/>
  </si>
  <si>
    <t>月均</t>
    <phoneticPr fontId="1" type="noConversion"/>
  </si>
  <si>
    <t>年度合计</t>
    <phoneticPr fontId="1" type="noConversion"/>
  </si>
  <si>
    <t>月均增长</t>
    <phoneticPr fontId="1" type="noConversion"/>
  </si>
  <si>
    <t>多仓反补</t>
    <phoneticPr fontId="1" type="noConversion"/>
  </si>
  <si>
    <t>空仓反补</t>
    <phoneticPr fontId="1" type="noConversion"/>
  </si>
  <si>
    <t>BTC</t>
    <phoneticPr fontId="1" type="noConversion"/>
  </si>
  <si>
    <t>WIF</t>
    <phoneticPr fontId="1" type="noConversion"/>
  </si>
  <si>
    <t>高</t>
    <phoneticPr fontId="1" type="noConversion"/>
  </si>
  <si>
    <t>低</t>
    <phoneticPr fontId="1" type="noConversion"/>
  </si>
  <si>
    <t>变化率</t>
    <phoneticPr fontId="1" type="noConversion"/>
  </si>
  <si>
    <t>新变化</t>
    <phoneticPr fontId="1" type="noConversion"/>
  </si>
  <si>
    <t>变化率</t>
    <phoneticPr fontId="1" type="noConversion"/>
  </si>
  <si>
    <t>当前</t>
    <phoneticPr fontId="1" type="noConversion"/>
  </si>
  <si>
    <t>目标低点</t>
    <phoneticPr fontId="1" type="noConversion"/>
  </si>
  <si>
    <t>比例</t>
    <phoneticPr fontId="1" type="noConversion"/>
  </si>
  <si>
    <t>下跌变化率对比
2024-10-29  --  11-03</t>
    <phoneticPr fontId="1" type="noConversion"/>
  </si>
  <si>
    <t>上涨变化率对比
2024-10-03  --  10-29</t>
    <phoneticPr fontId="1" type="noConversion"/>
  </si>
  <si>
    <t>翻倍时间</t>
    <phoneticPr fontId="1" type="noConversion"/>
  </si>
  <si>
    <t>每年多少倍</t>
    <phoneticPr fontId="1" type="noConversion"/>
  </si>
  <si>
    <t>仓位</t>
    <phoneticPr fontId="1" type="noConversion"/>
  </si>
  <si>
    <t>金额</t>
    <phoneticPr fontId="1" type="noConversion"/>
  </si>
  <si>
    <t>合并数量</t>
    <phoneticPr fontId="1" type="noConversion"/>
  </si>
  <si>
    <t>多仓均价</t>
    <phoneticPr fontId="1" type="noConversion"/>
  </si>
  <si>
    <t>空仓均价</t>
    <phoneticPr fontId="1" type="noConversion"/>
  </si>
  <si>
    <t>剩余</t>
    <phoneticPr fontId="1" type="noConversion"/>
  </si>
  <si>
    <t>清仓比例</t>
    <phoneticPr fontId="1" type="noConversion"/>
  </si>
  <si>
    <t>实际清仓</t>
    <phoneticPr fontId="1" type="noConversion"/>
  </si>
  <si>
    <t>单手资金</t>
    <phoneticPr fontId="1" type="noConversion"/>
  </si>
  <si>
    <t>资金总量</t>
    <phoneticPr fontId="1" type="noConversion"/>
  </si>
  <si>
    <t>单手保证金</t>
    <phoneticPr fontId="1" type="noConversion"/>
  </si>
  <si>
    <t>Name</t>
  </si>
  <si>
    <t>Value</t>
  </si>
  <si>
    <t>symbol</t>
  </si>
  <si>
    <t>price</t>
  </si>
  <si>
    <t>当前价格</t>
    <phoneticPr fontId="1" type="noConversion"/>
  </si>
  <si>
    <t>ATR</t>
    <phoneticPr fontId="1" type="noConversion"/>
  </si>
  <si>
    <t>止盈</t>
    <phoneticPr fontId="1" type="noConversion"/>
  </si>
  <si>
    <t>止损</t>
    <phoneticPr fontId="1" type="noConversion"/>
  </si>
  <si>
    <t>止盈率</t>
    <phoneticPr fontId="1" type="noConversion"/>
  </si>
  <si>
    <t>止损率</t>
    <phoneticPr fontId="1" type="noConversion"/>
  </si>
  <si>
    <t>补仓</t>
    <phoneticPr fontId="1" type="noConversion"/>
  </si>
  <si>
    <t>拉低合并</t>
    <phoneticPr fontId="1" type="noConversion"/>
  </si>
  <si>
    <t>拉低合并2.8</t>
    <phoneticPr fontId="1" type="noConversion"/>
  </si>
  <si>
    <t>月度合计</t>
    <phoneticPr fontId="1" type="noConversion"/>
  </si>
  <si>
    <t>天数</t>
    <phoneticPr fontId="1" type="noConversion"/>
  </si>
  <si>
    <t>日均</t>
    <phoneticPr fontId="1" type="noConversion"/>
  </si>
  <si>
    <t>日均增长</t>
    <phoneticPr fontId="1" type="noConversion"/>
  </si>
  <si>
    <t>今日利润</t>
    <phoneticPr fontId="1" type="noConversion"/>
  </si>
  <si>
    <t>本月利润</t>
    <phoneticPr fontId="1" type="noConversion"/>
  </si>
  <si>
    <t>拉低合并</t>
    <phoneticPr fontId="1" type="noConversion"/>
  </si>
  <si>
    <t>拉低合并2.8</t>
    <phoneticPr fontId="1" type="noConversion"/>
  </si>
  <si>
    <t>初始3
3%平1</t>
    <phoneticPr fontId="1" type="noConversion"/>
  </si>
  <si>
    <t>初始3.1</t>
    <phoneticPr fontId="1" type="noConversion"/>
  </si>
  <si>
    <t>初始3.3</t>
    <phoneticPr fontId="1" type="noConversion"/>
  </si>
  <si>
    <t>拉升合并</t>
    <phoneticPr fontId="1" type="noConversion"/>
  </si>
  <si>
    <t>拉升合并2.2
3%平0.7
10%平0.8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</si>
</sst>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0.0000_ "/>
    <numFmt numFmtId="177" formatCode="yyyy\-mm\-dd\ hh:mm"/>
    <numFmt numFmtId="178" formatCode="0_ "/>
    <numFmt numFmtId="179" formatCode="0.0_ "/>
    <numFmt numFmtId="180" formatCode="0.000_ "/>
    <numFmt numFmtId="181" formatCode="0.0%"/>
    <numFmt numFmtId="182" formatCode="yyyy\-mm\-dd;@"/>
    <numFmt numFmtId="183" formatCode="0.00_ "/>
    <numFmt numFmtId="184" formatCode="0000\-00"/>
    <numFmt numFmtId="185" formatCode="0.0_);[Red]\(0.0\)"/>
    <numFmt numFmtId="186" formatCode="&quot;仓位&quot;0"/>
    <numFmt numFmtId="187" formatCode="0.0000_);[Red]\(0.0000\)"/>
    <numFmt numFmtId="188" formatCode="0.00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179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83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76" fontId="0" fillId="9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0" fillId="0" borderId="1" xfId="0" applyBorder="1"/>
    <xf numFmtId="182" fontId="0" fillId="0" borderId="1" xfId="0" applyNumberFormat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9" fontId="0" fillId="10" borderId="1" xfId="0" applyNumberForma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81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181" fontId="0" fillId="2" borderId="1" xfId="0" applyNumberFormat="1" applyFill="1" applyBorder="1" applyAlignment="1">
      <alignment horizontal="center" vertical="center"/>
    </xf>
    <xf numFmtId="181" fontId="0" fillId="0" borderId="11" xfId="0" applyNumberFormat="1" applyBorder="1" applyAlignment="1">
      <alignment horizontal="center" vertical="center"/>
    </xf>
    <xf numFmtId="181" fontId="0" fillId="2" borderId="11" xfId="0" applyNumberFormat="1" applyFill="1" applyBorder="1" applyAlignment="1">
      <alignment horizontal="center" vertical="center"/>
    </xf>
    <xf numFmtId="181" fontId="0" fillId="9" borderId="10" xfId="0" applyNumberFormat="1" applyFill="1" applyBorder="1" applyAlignment="1">
      <alignment horizontal="center" vertical="center"/>
    </xf>
    <xf numFmtId="181" fontId="0" fillId="7" borderId="11" xfId="0" applyNumberFormat="1" applyFill="1" applyBorder="1" applyAlignment="1">
      <alignment horizontal="center" vertical="center"/>
    </xf>
    <xf numFmtId="181" fontId="0" fillId="2" borderId="10" xfId="0" applyNumberFormat="1" applyFill="1" applyBorder="1" applyAlignment="1">
      <alignment horizontal="center" vertical="center"/>
    </xf>
    <xf numFmtId="184" fontId="0" fillId="0" borderId="1" xfId="0" applyNumberFormat="1" applyBorder="1" applyAlignment="1">
      <alignment horizontal="center" vertical="center"/>
    </xf>
    <xf numFmtId="180" fontId="0" fillId="3" borderId="1" xfId="0" applyNumberFormat="1" applyFill="1" applyBorder="1" applyAlignment="1">
      <alignment horizontal="center" vertical="center"/>
    </xf>
    <xf numFmtId="181" fontId="0" fillId="3" borderId="1" xfId="0" applyNumberFormat="1" applyFill="1" applyBorder="1" applyAlignment="1">
      <alignment horizontal="center" vertical="center"/>
    </xf>
    <xf numFmtId="180" fontId="0" fillId="2" borderId="1" xfId="0" applyNumberFormat="1" applyFill="1" applyBorder="1" applyAlignment="1">
      <alignment horizontal="center" vertical="center"/>
    </xf>
    <xf numFmtId="12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86" fontId="0" fillId="0" borderId="1" xfId="0" applyNumberFormat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76" fontId="0" fillId="0" borderId="0" xfId="0" applyNumberFormat="1"/>
    <xf numFmtId="181" fontId="0" fillId="0" borderId="0" xfId="0" applyNumberFormat="1" applyAlignment="1">
      <alignment horizontal="center" vertical="center"/>
    </xf>
    <xf numFmtId="187" fontId="0" fillId="0" borderId="0" xfId="0" applyNumberFormat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76" fontId="0" fillId="12" borderId="1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176" fontId="0" fillId="10" borderId="1" xfId="0" applyNumberFormat="1" applyFill="1" applyBorder="1" applyAlignment="1">
      <alignment horizontal="center" vertical="center"/>
    </xf>
    <xf numFmtId="188" fontId="0" fillId="2" borderId="1" xfId="0" applyNumberFormat="1" applyFill="1" applyBorder="1" applyAlignment="1">
      <alignment horizontal="center" vertical="center"/>
    </xf>
    <xf numFmtId="188" fontId="0" fillId="3" borderId="1" xfId="0" applyNumberFormat="1" applyFill="1" applyBorder="1" applyAlignment="1">
      <alignment horizontal="center" vertical="center"/>
    </xf>
    <xf numFmtId="188" fontId="0" fillId="0" borderId="1" xfId="0" applyNumberFormat="1" applyBorder="1" applyAlignment="1">
      <alignment horizontal="center" vertical="center"/>
    </xf>
    <xf numFmtId="188" fontId="0" fillId="0" borderId="11" xfId="0" applyNumberFormat="1" applyBorder="1" applyAlignment="1">
      <alignment horizontal="center" vertical="center"/>
    </xf>
    <xf numFmtId="188" fontId="0" fillId="2" borderId="11" xfId="0" applyNumberFormat="1" applyFill="1" applyBorder="1" applyAlignment="1">
      <alignment horizontal="center" vertical="center"/>
    </xf>
    <xf numFmtId="188" fontId="0" fillId="4" borderId="1" xfId="0" applyNumberFormat="1" applyFill="1" applyBorder="1" applyAlignment="1">
      <alignment horizontal="center" vertical="center"/>
    </xf>
    <xf numFmtId="188" fontId="0" fillId="9" borderId="10" xfId="0" applyNumberFormat="1" applyFill="1" applyBorder="1" applyAlignment="1">
      <alignment horizontal="center" vertical="center"/>
    </xf>
    <xf numFmtId="188" fontId="0" fillId="7" borderId="11" xfId="0" applyNumberFormat="1" applyFill="1" applyBorder="1" applyAlignment="1">
      <alignment horizontal="center" vertical="center"/>
    </xf>
    <xf numFmtId="188" fontId="0" fillId="2" borderId="10" xfId="0" applyNumberForma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81" fontId="0" fillId="3" borderId="11" xfId="0" applyNumberFormat="1" applyFill="1" applyBorder="1" applyAlignment="1">
      <alignment horizontal="center" vertical="center"/>
    </xf>
    <xf numFmtId="181" fontId="0" fillId="3" borderId="12" xfId="0" applyNumberFormat="1" applyFill="1" applyBorder="1" applyAlignment="1">
      <alignment horizontal="center" vertical="center"/>
    </xf>
    <xf numFmtId="181" fontId="0" fillId="3" borderId="10" xfId="0" applyNumberForma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85" fontId="0" fillId="0" borderId="2" xfId="0" applyNumberFormat="1" applyBorder="1" applyAlignment="1">
      <alignment horizontal="center" vertical="center"/>
    </xf>
    <xf numFmtId="185" fontId="0" fillId="0" borderId="3" xfId="0" applyNumberFormat="1" applyBorder="1" applyAlignment="1">
      <alignment horizontal="center" vertical="center"/>
    </xf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1" xr16:uid="{F6B148E7-DBB2-4F26-A5E9-494D27825012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720CC8-6B46-4FBD-955F-12F1BA2718A9}" name="price_symbol_WIFUSDT" displayName="price_symbol_WIFUSDT" ref="A1:B3" tableType="queryTable" totalsRowShown="0">
  <autoFilter ref="A1:B3" xr:uid="{12720CC8-6B46-4FBD-955F-12F1BA2718A9}"/>
  <tableColumns count="2">
    <tableColumn id="1" xr3:uid="{EE32734F-52C4-4C86-A3A1-C04B689B85C8}" uniqueName="1" name="Name" queryTableFieldId="1"/>
    <tableColumn id="2" xr3:uid="{7B7BDA07-5995-4B2C-A06F-F698AC32129F}" uniqueName="2" name="Value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25650-FBD8-41F1-8BD2-249CA6F0E5A4}">
  <dimension ref="A1:N12"/>
  <sheetViews>
    <sheetView zoomScale="120" zoomScaleNormal="120" workbookViewId="0">
      <selection activeCell="F14" sqref="F14"/>
    </sheetView>
  </sheetViews>
  <sheetFormatPr defaultRowHeight="14" x14ac:dyDescent="0.3"/>
  <cols>
    <col min="1" max="3" width="8.6640625" style="1"/>
    <col min="4" max="5" width="8.5" style="1" bestFit="1" customWidth="1"/>
    <col min="6" max="6" width="14.6640625" style="1" customWidth="1"/>
    <col min="7" max="7" width="10.4140625" style="1" bestFit="1" customWidth="1"/>
    <col min="8" max="8" width="10.6640625" style="1" bestFit="1" customWidth="1"/>
    <col min="9" max="9" width="7.4140625" style="1" bestFit="1" customWidth="1"/>
    <col min="10" max="10" width="8.5" style="1" bestFit="1" customWidth="1"/>
    <col min="11" max="11" width="10.4140625" style="1" bestFit="1" customWidth="1"/>
    <col min="12" max="12" width="11.1640625" style="1" bestFit="1" customWidth="1"/>
    <col min="13" max="13" width="8.1640625" style="1" bestFit="1" customWidth="1"/>
    <col min="14" max="14" width="10.6640625" style="1" bestFit="1" customWidth="1"/>
    <col min="15" max="16384" width="8.6640625" style="1"/>
  </cols>
  <sheetData>
    <row r="1" spans="1:14" x14ac:dyDescent="0.3">
      <c r="A1" s="64" t="s">
        <v>49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</row>
    <row r="2" spans="1:14" x14ac:dyDescent="0.3">
      <c r="A2" s="3" t="s">
        <v>46</v>
      </c>
      <c r="B2" s="16" t="s">
        <v>45</v>
      </c>
      <c r="C2" s="19" t="s">
        <v>110</v>
      </c>
      <c r="D2" s="13" t="s">
        <v>68</v>
      </c>
      <c r="E2" s="46" t="s">
        <v>109</v>
      </c>
      <c r="F2" s="13" t="s">
        <v>23</v>
      </c>
      <c r="G2" s="46" t="s">
        <v>111</v>
      </c>
      <c r="H2" s="3">
        <f>C3</f>
        <v>200</v>
      </c>
      <c r="I2" s="7">
        <f>H2*1.04</f>
        <v>208</v>
      </c>
      <c r="J2" s="7">
        <f>I2*1.04</f>
        <v>216.32</v>
      </c>
      <c r="K2" s="10">
        <v>3.6797</v>
      </c>
      <c r="L2" s="10">
        <v>3.6688000000000001</v>
      </c>
      <c r="M2" s="10">
        <v>2.1179999999999999</v>
      </c>
    </row>
    <row r="3" spans="1:14" x14ac:dyDescent="0.3">
      <c r="A3" s="69" t="s">
        <v>47</v>
      </c>
      <c r="B3" s="13">
        <v>0.5</v>
      </c>
      <c r="C3" s="70">
        <v>200</v>
      </c>
      <c r="D3" s="71">
        <v>0.01</v>
      </c>
      <c r="E3" s="65">
        <f>C3*D3</f>
        <v>2</v>
      </c>
      <c r="F3" s="66">
        <v>5</v>
      </c>
      <c r="G3" s="65">
        <f>E3*F3</f>
        <v>10</v>
      </c>
      <c r="H3" s="5">
        <f>H$2*$D$3*$F$3*$B3</f>
        <v>5</v>
      </c>
      <c r="I3" s="5">
        <f t="shared" ref="I3:J6" si="0">I$2*$D$3*$F$3*$B3</f>
        <v>5.2</v>
      </c>
      <c r="J3" s="5">
        <f t="shared" si="0"/>
        <v>5.4079999999999995</v>
      </c>
      <c r="K3" s="5">
        <f>$H3/K$2</f>
        <v>1.3588064244367748</v>
      </c>
      <c r="L3" s="5">
        <f>$H3/L$2</f>
        <v>1.3628434365460096</v>
      </c>
      <c r="M3" s="5">
        <f>$H3/M$2</f>
        <v>2.3607176581680833</v>
      </c>
    </row>
    <row r="4" spans="1:14" x14ac:dyDescent="0.3">
      <c r="A4" s="69"/>
      <c r="B4" s="3">
        <v>0.75</v>
      </c>
      <c r="C4" s="70"/>
      <c r="D4" s="72"/>
      <c r="E4" s="65"/>
      <c r="F4" s="67"/>
      <c r="G4" s="65"/>
      <c r="H4" s="7">
        <f>H$2*$D$3*$F$3*$B4</f>
        <v>7.5</v>
      </c>
      <c r="I4" s="7">
        <f t="shared" si="0"/>
        <v>7.8000000000000007</v>
      </c>
      <c r="J4" s="7">
        <f t="shared" si="0"/>
        <v>8.1119999999999983</v>
      </c>
      <c r="K4" s="5">
        <f t="shared" ref="K4:M6" si="1">$H4/K$2</f>
        <v>2.0382096366551621</v>
      </c>
      <c r="L4" s="5">
        <f t="shared" si="1"/>
        <v>2.0442651548190143</v>
      </c>
      <c r="M4" s="5">
        <f t="shared" si="1"/>
        <v>3.5410764872521248</v>
      </c>
    </row>
    <row r="5" spans="1:14" x14ac:dyDescent="0.3">
      <c r="A5" s="69"/>
      <c r="B5" s="3">
        <v>1</v>
      </c>
      <c r="C5" s="70"/>
      <c r="D5" s="72"/>
      <c r="E5" s="65"/>
      <c r="F5" s="67"/>
      <c r="G5" s="65"/>
      <c r="H5" s="7">
        <f>H$2*$D$3*$F$3*$B5</f>
        <v>10</v>
      </c>
      <c r="I5" s="7">
        <f t="shared" si="0"/>
        <v>10.4</v>
      </c>
      <c r="J5" s="7">
        <f t="shared" si="0"/>
        <v>10.815999999999999</v>
      </c>
      <c r="K5" s="5">
        <f t="shared" si="1"/>
        <v>2.7176128488735496</v>
      </c>
      <c r="L5" s="5">
        <f t="shared" si="1"/>
        <v>2.7256868730920192</v>
      </c>
      <c r="M5" s="5">
        <f t="shared" si="1"/>
        <v>4.7214353163361666</v>
      </c>
    </row>
    <row r="6" spans="1:14" x14ac:dyDescent="0.3">
      <c r="A6" s="69"/>
      <c r="B6" s="13">
        <v>2</v>
      </c>
      <c r="C6" s="70"/>
      <c r="D6" s="73"/>
      <c r="E6" s="65"/>
      <c r="F6" s="68"/>
      <c r="G6" s="65"/>
      <c r="H6" s="5">
        <f>H$2*$D$3*$F$3*$B6</f>
        <v>20</v>
      </c>
      <c r="I6" s="5">
        <f t="shared" si="0"/>
        <v>20.8</v>
      </c>
      <c r="J6" s="5">
        <f t="shared" si="0"/>
        <v>21.631999999999998</v>
      </c>
      <c r="K6" s="5">
        <f t="shared" si="1"/>
        <v>5.4352256977470992</v>
      </c>
      <c r="L6" s="5">
        <f t="shared" si="1"/>
        <v>5.4513737461840384</v>
      </c>
      <c r="M6" s="5">
        <f t="shared" si="1"/>
        <v>9.4428706326723333</v>
      </c>
    </row>
    <row r="9" spans="1:14" x14ac:dyDescent="0.3">
      <c r="A9" s="76" t="s">
        <v>48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8"/>
    </row>
    <row r="10" spans="1:14" x14ac:dyDescent="0.3">
      <c r="A10" s="2"/>
      <c r="B10" s="2" t="s">
        <v>21</v>
      </c>
      <c r="C10" s="2" t="s">
        <v>13</v>
      </c>
      <c r="D10" s="2" t="s">
        <v>23</v>
      </c>
      <c r="E10" s="2" t="s">
        <v>46</v>
      </c>
      <c r="F10" s="2" t="s">
        <v>22</v>
      </c>
      <c r="G10" s="2" t="s">
        <v>70</v>
      </c>
      <c r="H10" s="2" t="s">
        <v>19</v>
      </c>
      <c r="I10" s="2" t="s">
        <v>20</v>
      </c>
      <c r="J10" s="2" t="s">
        <v>24</v>
      </c>
      <c r="K10" s="2" t="s">
        <v>69</v>
      </c>
      <c r="L10" s="2" t="s">
        <v>69</v>
      </c>
      <c r="M10"/>
      <c r="N10"/>
    </row>
    <row r="11" spans="1:14" x14ac:dyDescent="0.3">
      <c r="A11" s="17" t="s">
        <v>5</v>
      </c>
      <c r="B11" s="13">
        <f>多仓!D14</f>
        <v>7.6</v>
      </c>
      <c r="C11" s="25">
        <f>多仓!D15</f>
        <v>3.5386736842105266</v>
      </c>
      <c r="D11" s="69">
        <v>5</v>
      </c>
      <c r="E11" s="79">
        <f>C3</f>
        <v>200</v>
      </c>
      <c r="F11" s="14">
        <f>B11*C11/D11</f>
        <v>5.3787840000000005</v>
      </c>
      <c r="G11" s="12">
        <f>F11/E11</f>
        <v>2.6893920000000002E-2</v>
      </c>
      <c r="H11" s="75">
        <f>API!B3</f>
        <v>2.9649999999999999</v>
      </c>
      <c r="I11" s="15">
        <f>多仓!D17</f>
        <v>-0.16211545211705855</v>
      </c>
      <c r="J11" s="74">
        <f>I11+I12</f>
        <v>-0.11681429299611856</v>
      </c>
      <c r="K11" s="6">
        <f>F11*I11*D11</f>
        <v>-4.3599200000000042</v>
      </c>
      <c r="L11" s="81">
        <f>K11+K12</f>
        <v>-3.3610109090909095</v>
      </c>
      <c r="M11"/>
      <c r="N11"/>
    </row>
    <row r="12" spans="1:14" x14ac:dyDescent="0.3">
      <c r="A12" s="19" t="s">
        <v>6</v>
      </c>
      <c r="B12" s="13">
        <f>空仓!D17</f>
        <v>7.1000000000000005</v>
      </c>
      <c r="C12" s="25">
        <f>空仓!D18</f>
        <v>3.1056914212548019</v>
      </c>
      <c r="D12" s="69"/>
      <c r="E12" s="80"/>
      <c r="F12" s="14">
        <f>B12*C12/D11</f>
        <v>4.4100818181818191</v>
      </c>
      <c r="G12" s="12">
        <f>F12/E11</f>
        <v>2.2050409090909096E-2</v>
      </c>
      <c r="H12" s="75"/>
      <c r="I12" s="15">
        <f>空仓!D20</f>
        <v>4.5301159120939988E-2</v>
      </c>
      <c r="J12" s="69"/>
      <c r="K12" s="6">
        <f>F12*I12*D11</f>
        <v>0.99890909090909463</v>
      </c>
      <c r="L12" s="81"/>
      <c r="M12"/>
      <c r="N12" s="47"/>
    </row>
  </sheetData>
  <mergeCells count="13">
    <mergeCell ref="J11:J12"/>
    <mergeCell ref="H11:H12"/>
    <mergeCell ref="D11:D12"/>
    <mergeCell ref="A9:L9"/>
    <mergeCell ref="E11:E12"/>
    <mergeCell ref="L11:L12"/>
    <mergeCell ref="A1:M1"/>
    <mergeCell ref="E3:E6"/>
    <mergeCell ref="F3:F6"/>
    <mergeCell ref="G3:G6"/>
    <mergeCell ref="A3:A6"/>
    <mergeCell ref="C3:C6"/>
    <mergeCell ref="D3:D6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74DE0-9939-4200-A5B1-641CB672D5D6}">
  <dimension ref="A1:Q2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4" sqref="H14"/>
    </sheetView>
  </sheetViews>
  <sheetFormatPr defaultRowHeight="14" x14ac:dyDescent="0.3"/>
  <cols>
    <col min="1" max="1" width="10.58203125" style="1" bestFit="1" customWidth="1"/>
    <col min="2" max="2" width="8.5" style="1" bestFit="1" customWidth="1"/>
    <col min="3" max="3" width="11.1640625" style="1" bestFit="1" customWidth="1"/>
    <col min="4" max="4" width="4.83203125" style="1" bestFit="1" customWidth="1"/>
    <col min="5" max="13" width="8.08203125" style="1" bestFit="1" customWidth="1"/>
    <col min="14" max="15" width="9.08203125" style="1" bestFit="1" customWidth="1"/>
    <col min="16" max="16" width="10.08203125" style="1" bestFit="1" customWidth="1"/>
    <col min="17" max="17" width="13.33203125" style="1" bestFit="1" customWidth="1"/>
    <col min="18" max="16384" width="8.6640625" style="1"/>
  </cols>
  <sheetData>
    <row r="1" spans="1:17" x14ac:dyDescent="0.3">
      <c r="A1" s="3" t="s">
        <v>16</v>
      </c>
      <c r="B1" s="3">
        <v>24</v>
      </c>
      <c r="C1" s="3" t="s">
        <v>15</v>
      </c>
      <c r="D1" s="3" t="s">
        <v>14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3">
        <v>15</v>
      </c>
      <c r="M1" s="3">
        <v>30</v>
      </c>
      <c r="N1" s="3">
        <v>60</v>
      </c>
      <c r="O1" s="3">
        <v>90</v>
      </c>
      <c r="P1" s="3">
        <v>180</v>
      </c>
      <c r="Q1" s="3">
        <v>365</v>
      </c>
    </row>
    <row r="2" spans="1:17" x14ac:dyDescent="0.3">
      <c r="A2" s="3" t="str">
        <f t="shared" ref="A2:A11" si="0">"期望值 " &amp; TEXT((ROW(A2)-1)*0.5%, "0.0%")</f>
        <v>期望值 0.5%</v>
      </c>
      <c r="B2" s="11">
        <f t="shared" ref="B2:B11" si="1">C2*(1+D2)^B$1</f>
        <v>1.1271597762053878</v>
      </c>
      <c r="C2" s="2">
        <v>1</v>
      </c>
      <c r="D2" s="12">
        <f t="shared" ref="D2:D11" si="2">(ROW(D2)-ROW(D$1))*0.5%</f>
        <v>5.0000000000000001E-3</v>
      </c>
      <c r="E2" s="11">
        <f t="shared" ref="E2:Q11" si="3">$C2*($D2+1)^E$1</f>
        <v>1.0049999999999999</v>
      </c>
      <c r="F2" s="11">
        <f t="shared" si="3"/>
        <v>1.0100249999999997</v>
      </c>
      <c r="G2" s="11">
        <f t="shared" si="3"/>
        <v>1.0150751249999996</v>
      </c>
      <c r="H2" s="11">
        <f t="shared" si="3"/>
        <v>1.0201505006249993</v>
      </c>
      <c r="I2" s="11">
        <f t="shared" si="3"/>
        <v>1.0252512531281242</v>
      </c>
      <c r="J2" s="11">
        <f t="shared" si="3"/>
        <v>1.0303775093937646</v>
      </c>
      <c r="K2" s="11">
        <f t="shared" si="3"/>
        <v>1.0355293969407333</v>
      </c>
      <c r="L2" s="11">
        <f t="shared" si="3"/>
        <v>1.0776827375880809</v>
      </c>
      <c r="M2" s="11">
        <f t="shared" si="3"/>
        <v>1.1614000828953406</v>
      </c>
      <c r="N2" s="11">
        <f t="shared" si="3"/>
        <v>1.3488501525493037</v>
      </c>
      <c r="O2" s="11">
        <f t="shared" si="3"/>
        <v>1.5665546789841542</v>
      </c>
      <c r="P2" s="11">
        <f t="shared" si="3"/>
        <v>2.454093562247146</v>
      </c>
      <c r="Q2" s="11">
        <f t="shared" si="3"/>
        <v>6.1746527834309033</v>
      </c>
    </row>
    <row r="3" spans="1:17" x14ac:dyDescent="0.3">
      <c r="A3" s="3" t="str">
        <f t="shared" si="0"/>
        <v>期望值 1.0%</v>
      </c>
      <c r="B3" s="11">
        <f t="shared" si="1"/>
        <v>1.269734648531915</v>
      </c>
      <c r="C3" s="13">
        <v>1</v>
      </c>
      <c r="D3" s="12">
        <f t="shared" si="2"/>
        <v>0.01</v>
      </c>
      <c r="E3" s="11">
        <f t="shared" si="3"/>
        <v>1.01</v>
      </c>
      <c r="F3" s="11">
        <f t="shared" si="3"/>
        <v>1.0201</v>
      </c>
      <c r="G3" s="11">
        <f t="shared" si="3"/>
        <v>1.0303009999999999</v>
      </c>
      <c r="H3" s="11">
        <f t="shared" si="3"/>
        <v>1.04060401</v>
      </c>
      <c r="I3" s="11">
        <f t="shared" si="3"/>
        <v>1.0510100500999999</v>
      </c>
      <c r="J3" s="11">
        <f t="shared" si="3"/>
        <v>1.0615201506010001</v>
      </c>
      <c r="K3" s="11">
        <f t="shared" si="3"/>
        <v>1.0721353521070098</v>
      </c>
      <c r="L3" s="11">
        <f t="shared" si="3"/>
        <v>1.1609689553699984</v>
      </c>
      <c r="M3" s="11">
        <f t="shared" si="3"/>
        <v>1.3478489153329063</v>
      </c>
      <c r="N3" s="11">
        <f t="shared" si="3"/>
        <v>1.8166966985640913</v>
      </c>
      <c r="O3" s="11">
        <f t="shared" si="3"/>
        <v>2.4486326746484828</v>
      </c>
      <c r="P3" s="11">
        <f t="shared" si="3"/>
        <v>5.99580197535618</v>
      </c>
      <c r="Q3" s="11">
        <f t="shared" si="3"/>
        <v>37.783434332887317</v>
      </c>
    </row>
    <row r="4" spans="1:17" x14ac:dyDescent="0.3">
      <c r="A4" s="3" t="str">
        <f t="shared" si="0"/>
        <v>期望值 1.5%</v>
      </c>
      <c r="B4" s="41">
        <f t="shared" si="1"/>
        <v>1.4295028119290203</v>
      </c>
      <c r="C4" s="3">
        <v>1</v>
      </c>
      <c r="D4" s="32">
        <f t="shared" si="2"/>
        <v>1.4999999999999999E-2</v>
      </c>
      <c r="E4" s="41">
        <f t="shared" si="3"/>
        <v>1.0149999999999999</v>
      </c>
      <c r="F4" s="41">
        <f t="shared" si="3"/>
        <v>1.0302249999999997</v>
      </c>
      <c r="G4" s="41">
        <f t="shared" si="3"/>
        <v>1.0456783749999996</v>
      </c>
      <c r="H4" s="41">
        <f t="shared" si="3"/>
        <v>1.0613635506249994</v>
      </c>
      <c r="I4" s="41">
        <f t="shared" si="3"/>
        <v>1.0772840038843743</v>
      </c>
      <c r="J4" s="41">
        <f t="shared" si="3"/>
        <v>1.0934432639426397</v>
      </c>
      <c r="K4" s="41">
        <f t="shared" si="3"/>
        <v>1.1098449129017791</v>
      </c>
      <c r="L4" s="41">
        <f t="shared" si="3"/>
        <v>1.2502320666543669</v>
      </c>
      <c r="M4" s="41">
        <f t="shared" si="3"/>
        <v>1.5630802204908494</v>
      </c>
      <c r="N4" s="41">
        <f t="shared" si="3"/>
        <v>2.4432197756897223</v>
      </c>
      <c r="O4" s="41">
        <f t="shared" si="3"/>
        <v>3.8189485056926955</v>
      </c>
      <c r="P4" s="41">
        <f t="shared" si="3"/>
        <v>14.584367689132469</v>
      </c>
      <c r="Q4" s="41">
        <f t="shared" si="3"/>
        <v>229.14238072047502</v>
      </c>
    </row>
    <row r="5" spans="1:17" x14ac:dyDescent="0.3">
      <c r="A5" s="3" t="str">
        <f t="shared" si="0"/>
        <v>期望值 2.0%</v>
      </c>
      <c r="B5" s="39">
        <f t="shared" si="1"/>
        <v>1.608437249475225</v>
      </c>
      <c r="C5" s="13">
        <v>1</v>
      </c>
      <c r="D5" s="40">
        <f t="shared" si="2"/>
        <v>0.02</v>
      </c>
      <c r="E5" s="39">
        <f t="shared" si="3"/>
        <v>1.02</v>
      </c>
      <c r="F5" s="39">
        <f t="shared" si="3"/>
        <v>1.0404</v>
      </c>
      <c r="G5" s="39">
        <f t="shared" si="3"/>
        <v>1.0612079999999999</v>
      </c>
      <c r="H5" s="39">
        <f t="shared" si="3"/>
        <v>1.08243216</v>
      </c>
      <c r="I5" s="39">
        <f t="shared" si="3"/>
        <v>1.1040808032</v>
      </c>
      <c r="J5" s="39">
        <f t="shared" si="3"/>
        <v>1.1261624192640001</v>
      </c>
      <c r="K5" s="39">
        <f t="shared" si="3"/>
        <v>1.1486856676492798</v>
      </c>
      <c r="L5" s="39">
        <f t="shared" si="3"/>
        <v>1.3458683383241292</v>
      </c>
      <c r="M5" s="39">
        <f t="shared" si="3"/>
        <v>1.8113615841033535</v>
      </c>
      <c r="N5" s="39">
        <f t="shared" si="3"/>
        <v>3.2810307883654102</v>
      </c>
      <c r="O5" s="39">
        <f t="shared" si="3"/>
        <v>5.9431331263054439</v>
      </c>
      <c r="P5" s="39">
        <f t="shared" si="3"/>
        <v>35.320831356989117</v>
      </c>
      <c r="Q5" s="39">
        <f t="shared" si="3"/>
        <v>1377.4082919660655</v>
      </c>
    </row>
    <row r="6" spans="1:17" x14ac:dyDescent="0.3">
      <c r="A6" s="3" t="str">
        <f t="shared" si="0"/>
        <v>期望值 2.5%</v>
      </c>
      <c r="B6" s="11">
        <f t="shared" si="1"/>
        <v>1.8087259495825889</v>
      </c>
      <c r="C6" s="2">
        <v>1</v>
      </c>
      <c r="D6" s="12">
        <f t="shared" si="2"/>
        <v>2.5000000000000001E-2</v>
      </c>
      <c r="E6" s="11">
        <f t="shared" si="3"/>
        <v>1.0249999999999999</v>
      </c>
      <c r="F6" s="11">
        <f t="shared" si="3"/>
        <v>1.0506249999999999</v>
      </c>
      <c r="G6" s="11">
        <f t="shared" si="3"/>
        <v>1.0768906249999999</v>
      </c>
      <c r="H6" s="11">
        <f t="shared" si="3"/>
        <v>1.1038128906249998</v>
      </c>
      <c r="I6" s="11">
        <f t="shared" si="3"/>
        <v>1.1314082128906247</v>
      </c>
      <c r="J6" s="11">
        <f t="shared" si="3"/>
        <v>1.1596934182128902</v>
      </c>
      <c r="K6" s="11">
        <f t="shared" si="3"/>
        <v>1.1886857536682125</v>
      </c>
      <c r="L6" s="11">
        <f t="shared" si="3"/>
        <v>1.4482981664981105</v>
      </c>
      <c r="M6" s="11">
        <f t="shared" si="3"/>
        <v>2.097567579081788</v>
      </c>
      <c r="N6" s="11">
        <f t="shared" si="3"/>
        <v>4.3997897488150342</v>
      </c>
      <c r="O6" s="11">
        <f t="shared" si="3"/>
        <v>9.228856331890821</v>
      </c>
      <c r="P6" s="11">
        <f t="shared" si="3"/>
        <v>85.17178919468131</v>
      </c>
      <c r="Q6" s="11">
        <f t="shared" si="3"/>
        <v>8207.4995576964611</v>
      </c>
    </row>
    <row r="7" spans="1:17" x14ac:dyDescent="0.3">
      <c r="A7" s="3" t="str">
        <f t="shared" si="0"/>
        <v>期望值 3.0%</v>
      </c>
      <c r="B7" s="11">
        <f t="shared" si="1"/>
        <v>2.0327941064604018</v>
      </c>
      <c r="C7" s="2">
        <v>1</v>
      </c>
      <c r="D7" s="12">
        <f t="shared" si="2"/>
        <v>0.03</v>
      </c>
      <c r="E7" s="11">
        <f t="shared" si="3"/>
        <v>1.03</v>
      </c>
      <c r="F7" s="11">
        <f t="shared" si="3"/>
        <v>1.0609</v>
      </c>
      <c r="G7" s="11">
        <f t="shared" si="3"/>
        <v>1.092727</v>
      </c>
      <c r="H7" s="11">
        <f t="shared" si="3"/>
        <v>1.1255088099999999</v>
      </c>
      <c r="I7" s="11">
        <f t="shared" si="3"/>
        <v>1.1592740742999998</v>
      </c>
      <c r="J7" s="11">
        <f t="shared" si="3"/>
        <v>1.1940522965289999</v>
      </c>
      <c r="K7" s="11">
        <f t="shared" si="3"/>
        <v>1.22987386542487</v>
      </c>
      <c r="L7" s="11">
        <f t="shared" si="3"/>
        <v>1.5579674166007644</v>
      </c>
      <c r="M7" s="11">
        <f t="shared" si="3"/>
        <v>2.4272624711896591</v>
      </c>
      <c r="N7" s="11">
        <f t="shared" si="3"/>
        <v>5.8916031040457311</v>
      </c>
      <c r="O7" s="11">
        <f t="shared" si="3"/>
        <v>14.300467109594708</v>
      </c>
      <c r="P7" s="11">
        <f t="shared" si="3"/>
        <v>204.50335955259996</v>
      </c>
      <c r="Q7" s="11">
        <f t="shared" si="3"/>
        <v>48482.724527501043</v>
      </c>
    </row>
    <row r="8" spans="1:17" x14ac:dyDescent="0.3">
      <c r="A8" s="3" t="str">
        <f t="shared" si="0"/>
        <v>期望值 3.5%</v>
      </c>
      <c r="B8" s="11">
        <f t="shared" si="1"/>
        <v>2.2833284872145314</v>
      </c>
      <c r="C8" s="2">
        <v>1</v>
      </c>
      <c r="D8" s="12">
        <f t="shared" si="2"/>
        <v>3.5000000000000003E-2</v>
      </c>
      <c r="E8" s="11">
        <f t="shared" si="3"/>
        <v>1.0349999999999999</v>
      </c>
      <c r="F8" s="11">
        <f t="shared" si="3"/>
        <v>1.0712249999999999</v>
      </c>
      <c r="G8" s="11">
        <f t="shared" si="3"/>
        <v>1.1087178749999997</v>
      </c>
      <c r="H8" s="11">
        <f t="shared" si="3"/>
        <v>1.1475230006249997</v>
      </c>
      <c r="I8" s="11">
        <f t="shared" si="3"/>
        <v>1.1876863056468745</v>
      </c>
      <c r="J8" s="11">
        <f t="shared" si="3"/>
        <v>1.2292553263445152</v>
      </c>
      <c r="K8" s="11">
        <f t="shared" si="3"/>
        <v>1.2722792627665731</v>
      </c>
      <c r="L8" s="11">
        <f t="shared" si="3"/>
        <v>1.6753488307521593</v>
      </c>
      <c r="M8" s="11">
        <f t="shared" si="3"/>
        <v>2.8067937047026272</v>
      </c>
      <c r="N8" s="11">
        <f t="shared" si="3"/>
        <v>7.8780909007582975</v>
      </c>
      <c r="O8" s="11">
        <f t="shared" si="3"/>
        <v>22.112175945323429</v>
      </c>
      <c r="P8" s="11">
        <f t="shared" si="3"/>
        <v>488.94832503694016</v>
      </c>
      <c r="Q8" s="11">
        <f t="shared" si="3"/>
        <v>283940.71683830756</v>
      </c>
    </row>
    <row r="9" spans="1:17" x14ac:dyDescent="0.3">
      <c r="A9" s="3" t="str">
        <f t="shared" si="0"/>
        <v>期望值 4.0%</v>
      </c>
      <c r="B9" s="11">
        <f t="shared" si="1"/>
        <v>2.5633041648917527</v>
      </c>
      <c r="C9" s="2">
        <v>1</v>
      </c>
      <c r="D9" s="12">
        <f t="shared" si="2"/>
        <v>0.04</v>
      </c>
      <c r="E9" s="11">
        <f t="shared" si="3"/>
        <v>1.04</v>
      </c>
      <c r="F9" s="11">
        <f t="shared" si="3"/>
        <v>1.0816000000000001</v>
      </c>
      <c r="G9" s="11">
        <f t="shared" si="3"/>
        <v>1.1248640000000001</v>
      </c>
      <c r="H9" s="11">
        <f t="shared" si="3"/>
        <v>1.1698585600000002</v>
      </c>
      <c r="I9" s="11">
        <f t="shared" si="3"/>
        <v>1.2166529024000003</v>
      </c>
      <c r="J9" s="11">
        <f t="shared" si="3"/>
        <v>1.2653190184960004</v>
      </c>
      <c r="K9" s="11">
        <f t="shared" si="3"/>
        <v>1.3159317792358403</v>
      </c>
      <c r="L9" s="11">
        <f t="shared" si="3"/>
        <v>1.8009435055069167</v>
      </c>
      <c r="M9" s="11">
        <f t="shared" si="3"/>
        <v>3.2433975100275423</v>
      </c>
      <c r="N9" s="11">
        <f t="shared" si="3"/>
        <v>10.519627408052864</v>
      </c>
      <c r="O9" s="11">
        <f t="shared" si="3"/>
        <v>34.119333341696141</v>
      </c>
      <c r="P9" s="11">
        <f t="shared" si="3"/>
        <v>1164.1289076817782</v>
      </c>
      <c r="Q9" s="11">
        <f t="shared" si="3"/>
        <v>1648803.2850547559</v>
      </c>
    </row>
    <row r="10" spans="1:17" x14ac:dyDescent="0.3">
      <c r="A10" s="3" t="str">
        <f t="shared" si="0"/>
        <v>期望值 4.5%</v>
      </c>
      <c r="B10" s="11">
        <f t="shared" si="1"/>
        <v>2.8760138340067853</v>
      </c>
      <c r="C10" s="2">
        <v>1</v>
      </c>
      <c r="D10" s="12">
        <f t="shared" si="2"/>
        <v>4.4999999999999998E-2</v>
      </c>
      <c r="E10" s="11">
        <f t="shared" si="3"/>
        <v>1.0449999999999999</v>
      </c>
      <c r="F10" s="11">
        <f t="shared" si="3"/>
        <v>1.0920249999999998</v>
      </c>
      <c r="G10" s="11">
        <f t="shared" si="3"/>
        <v>1.1411661249999998</v>
      </c>
      <c r="H10" s="11">
        <f t="shared" si="3"/>
        <v>1.1925186006249995</v>
      </c>
      <c r="I10" s="11">
        <f t="shared" si="3"/>
        <v>1.2461819376531245</v>
      </c>
      <c r="J10" s="11">
        <f t="shared" si="3"/>
        <v>1.3022601248475147</v>
      </c>
      <c r="K10" s="11">
        <f t="shared" si="3"/>
        <v>1.360861830465653</v>
      </c>
      <c r="L10" s="11">
        <f t="shared" si="3"/>
        <v>1.9352824430911519</v>
      </c>
      <c r="M10" s="11">
        <f t="shared" si="3"/>
        <v>3.7453181345368556</v>
      </c>
      <c r="N10" s="11">
        <f t="shared" si="3"/>
        <v>14.02740792889063</v>
      </c>
      <c r="O10" s="11">
        <f t="shared" si="3"/>
        <v>52.53710529662014</v>
      </c>
      <c r="P10" s="11">
        <f t="shared" si="3"/>
        <v>2760.1474329481525</v>
      </c>
      <c r="Q10" s="11">
        <f t="shared" si="3"/>
        <v>9493929.7354430929</v>
      </c>
    </row>
    <row r="11" spans="1:17" x14ac:dyDescent="0.3">
      <c r="A11" s="3" t="str">
        <f t="shared" si="0"/>
        <v>期望值 5.0%</v>
      </c>
      <c r="B11" s="11">
        <f t="shared" si="1"/>
        <v>3.2250999437137007</v>
      </c>
      <c r="C11" s="2">
        <v>1</v>
      </c>
      <c r="D11" s="12">
        <f t="shared" si="2"/>
        <v>0.05</v>
      </c>
      <c r="E11" s="11">
        <f t="shared" si="3"/>
        <v>1.05</v>
      </c>
      <c r="F11" s="11">
        <f t="shared" si="3"/>
        <v>1.1025</v>
      </c>
      <c r="G11" s="11">
        <f t="shared" si="3"/>
        <v>1.1576250000000001</v>
      </c>
      <c r="H11" s="11">
        <f t="shared" si="3"/>
        <v>1.21550625</v>
      </c>
      <c r="I11" s="11">
        <f t="shared" si="3"/>
        <v>1.2762815625000001</v>
      </c>
      <c r="J11" s="11">
        <f t="shared" si="3"/>
        <v>1.340095640625</v>
      </c>
      <c r="K11" s="11">
        <f t="shared" si="3"/>
        <v>1.4071004226562502</v>
      </c>
      <c r="L11" s="11">
        <f t="shared" si="3"/>
        <v>2.0789281794113679</v>
      </c>
      <c r="M11" s="11">
        <f t="shared" si="3"/>
        <v>4.3219423751506625</v>
      </c>
      <c r="N11" s="11">
        <f t="shared" si="3"/>
        <v>18.679185894122959</v>
      </c>
      <c r="O11" s="11">
        <f t="shared" si="3"/>
        <v>80.730365049126561</v>
      </c>
      <c r="P11" s="11">
        <f t="shared" si="3"/>
        <v>6517.391840965237</v>
      </c>
      <c r="Q11" s="11">
        <f t="shared" si="3"/>
        <v>54211841.577839807</v>
      </c>
    </row>
    <row r="16" spans="1:17" x14ac:dyDescent="0.3">
      <c r="B16" s="2" t="s">
        <v>99</v>
      </c>
      <c r="C16" s="2" t="s">
        <v>100</v>
      </c>
    </row>
    <row r="17" spans="1:3" x14ac:dyDescent="0.3">
      <c r="A17" s="31" t="str">
        <f>"期望值 " &amp; TEXT((ROW(A17)-16)*0.5%, "0.0%")</f>
        <v>期望值 0.5%</v>
      </c>
      <c r="B17" s="2">
        <v>139</v>
      </c>
      <c r="C17" s="6">
        <v>6.1746527834309033</v>
      </c>
    </row>
    <row r="18" spans="1:3" x14ac:dyDescent="0.3">
      <c r="A18" s="31" t="str">
        <f t="shared" ref="A18:A26" si="4">"期望值 " &amp; TEXT((ROW(A18)-16)*0.5%, "0.0%")</f>
        <v>期望值 1.0%</v>
      </c>
      <c r="B18" s="2">
        <v>70</v>
      </c>
      <c r="C18" s="6">
        <v>37.783434332887317</v>
      </c>
    </row>
    <row r="19" spans="1:3" x14ac:dyDescent="0.3">
      <c r="A19" s="31" t="str">
        <f t="shared" si="4"/>
        <v>期望值 1.5%</v>
      </c>
      <c r="B19" s="2">
        <v>47</v>
      </c>
      <c r="C19" s="6">
        <v>229.14238072047502</v>
      </c>
    </row>
    <row r="20" spans="1:3" x14ac:dyDescent="0.3">
      <c r="A20" s="31" t="str">
        <f t="shared" si="4"/>
        <v>期望值 2.0%</v>
      </c>
      <c r="B20" s="2">
        <v>35</v>
      </c>
      <c r="C20" s="6">
        <v>1377.4082919660655</v>
      </c>
    </row>
    <row r="21" spans="1:3" x14ac:dyDescent="0.3">
      <c r="A21" s="31" t="str">
        <f t="shared" si="4"/>
        <v>期望值 2.5%</v>
      </c>
      <c r="B21" s="2">
        <v>29</v>
      </c>
      <c r="C21" s="6">
        <v>8207.4995576964611</v>
      </c>
    </row>
    <row r="22" spans="1:3" x14ac:dyDescent="0.3">
      <c r="A22" s="31" t="str">
        <f t="shared" si="4"/>
        <v>期望值 3.0%</v>
      </c>
      <c r="B22" s="2">
        <v>24</v>
      </c>
      <c r="C22" s="6">
        <v>48482.724527501043</v>
      </c>
    </row>
    <row r="23" spans="1:3" x14ac:dyDescent="0.3">
      <c r="A23" s="31" t="str">
        <f t="shared" si="4"/>
        <v>期望值 3.5%</v>
      </c>
      <c r="B23" s="2">
        <v>21</v>
      </c>
      <c r="C23" s="6">
        <v>283940.71683830756</v>
      </c>
    </row>
    <row r="24" spans="1:3" x14ac:dyDescent="0.3">
      <c r="A24" s="31" t="str">
        <f t="shared" si="4"/>
        <v>期望值 4.0%</v>
      </c>
      <c r="B24" s="2">
        <v>18</v>
      </c>
      <c r="C24" s="6">
        <v>1648803.2850547559</v>
      </c>
    </row>
    <row r="25" spans="1:3" x14ac:dyDescent="0.3">
      <c r="A25" s="31" t="str">
        <f t="shared" si="4"/>
        <v>期望值 4.5%</v>
      </c>
      <c r="B25" s="2">
        <v>16</v>
      </c>
      <c r="C25" s="6">
        <v>9493929.7354430929</v>
      </c>
    </row>
    <row r="26" spans="1:3" x14ac:dyDescent="0.3">
      <c r="A26" s="31" t="str">
        <f t="shared" si="4"/>
        <v>期望值 5.0%</v>
      </c>
      <c r="B26" s="2">
        <v>15</v>
      </c>
      <c r="C26" s="6">
        <v>54211841.577839807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0FE65-1AD3-4DD9-B5F8-885F463A5DC4}">
  <dimension ref="A1:B3"/>
  <sheetViews>
    <sheetView workbookViewId="0">
      <selection activeCell="B3" sqref="B3"/>
    </sheetView>
  </sheetViews>
  <sheetFormatPr defaultRowHeight="14" x14ac:dyDescent="0.3"/>
  <cols>
    <col min="1" max="1" width="8.1640625" bestFit="1" customWidth="1"/>
    <col min="2" max="2" width="7.9140625" bestFit="1" customWidth="1"/>
  </cols>
  <sheetData>
    <row r="1" spans="1:2" x14ac:dyDescent="0.3">
      <c r="A1" t="s">
        <v>112</v>
      </c>
      <c r="B1" t="s">
        <v>113</v>
      </c>
    </row>
    <row r="2" spans="1:2" x14ac:dyDescent="0.3">
      <c r="A2" t="s">
        <v>114</v>
      </c>
    </row>
    <row r="3" spans="1:2" x14ac:dyDescent="0.3">
      <c r="A3" t="s">
        <v>115</v>
      </c>
      <c r="B3" s="47">
        <v>2.9649999999999999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007A-2DB0-471D-A149-4A094FACE57C}">
  <dimension ref="A1:V34"/>
  <sheetViews>
    <sheetView zoomScaleNormal="100" workbookViewId="0">
      <pane xSplit="1" ySplit="3" topLeftCell="B13" activePane="bottomRight" state="frozen"/>
      <selection activeCell="E37" sqref="E37"/>
      <selection pane="topRight" activeCell="E37" sqref="E37"/>
      <selection pane="bottomLeft" activeCell="E37" sqref="E37"/>
      <selection pane="bottomRight" activeCell="K16" sqref="K16"/>
    </sheetView>
  </sheetViews>
  <sheetFormatPr defaultRowHeight="14" x14ac:dyDescent="0.3"/>
  <cols>
    <col min="1" max="1" width="4.83203125" style="1" bestFit="1" customWidth="1"/>
    <col min="2" max="2" width="16.33203125" style="1" bestFit="1" customWidth="1"/>
    <col min="3" max="3" width="8.5" style="1" bestFit="1" customWidth="1"/>
    <col min="4" max="4" width="4.83203125" style="1" bestFit="1" customWidth="1"/>
    <col min="5" max="5" width="9.1640625" style="1" bestFit="1" customWidth="1"/>
    <col min="6" max="6" width="10.4140625" style="1" bestFit="1" customWidth="1"/>
    <col min="7" max="7" width="8.5" style="1" bestFit="1" customWidth="1"/>
    <col min="8" max="11" width="7.08203125" style="1" bestFit="1" customWidth="1"/>
    <col min="12" max="12" width="8.08203125" style="1" bestFit="1" customWidth="1"/>
    <col min="13" max="14" width="7.08203125" style="1" bestFit="1" customWidth="1"/>
    <col min="15" max="16" width="7.08203125" style="1" customWidth="1"/>
    <col min="17" max="17" width="7.08203125" style="1" bestFit="1" customWidth="1"/>
    <col min="18" max="18" width="7.1640625" style="1" bestFit="1" customWidth="1"/>
    <col min="19" max="19" width="11.75" style="1" bestFit="1" customWidth="1"/>
    <col min="20" max="20" width="8.5" style="1" bestFit="1" customWidth="1"/>
    <col min="21" max="21" width="8.5" style="1" customWidth="1"/>
    <col min="22" max="16384" width="8.6640625" style="1"/>
  </cols>
  <sheetData>
    <row r="1" spans="1:22" x14ac:dyDescent="0.3">
      <c r="A1" s="82" t="s">
        <v>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</row>
    <row r="2" spans="1:22" x14ac:dyDescent="0.3">
      <c r="A2" s="24" t="s">
        <v>43</v>
      </c>
      <c r="B2" s="24" t="s">
        <v>33</v>
      </c>
      <c r="C2" s="24" t="s">
        <v>30</v>
      </c>
      <c r="D2" s="24" t="s">
        <v>9</v>
      </c>
      <c r="E2" s="24" t="s">
        <v>44</v>
      </c>
      <c r="F2" s="92" t="s">
        <v>71</v>
      </c>
      <c r="G2" s="93"/>
      <c r="H2" s="93"/>
      <c r="I2" s="93"/>
      <c r="J2" s="93"/>
      <c r="K2" s="93"/>
      <c r="L2" s="93"/>
      <c r="M2" s="94"/>
      <c r="N2" s="50" t="s">
        <v>119</v>
      </c>
      <c r="O2" s="95" t="s">
        <v>122</v>
      </c>
      <c r="P2" s="96"/>
      <c r="Q2" s="97"/>
      <c r="R2" s="2" t="s">
        <v>20</v>
      </c>
      <c r="S2" s="2" t="s">
        <v>60</v>
      </c>
      <c r="T2" s="43" t="s">
        <v>107</v>
      </c>
      <c r="U2" s="43" t="s">
        <v>108</v>
      </c>
      <c r="V2" s="43" t="s">
        <v>106</v>
      </c>
    </row>
    <row r="3" spans="1:22" x14ac:dyDescent="0.3">
      <c r="A3" s="3">
        <v>0</v>
      </c>
      <c r="B3" s="3">
        <v>0</v>
      </c>
      <c r="C3" s="3">
        <v>0</v>
      </c>
      <c r="D3" s="3">
        <v>0</v>
      </c>
      <c r="E3" s="3">
        <v>0</v>
      </c>
      <c r="F3" s="32">
        <v>3.1E-2</v>
      </c>
      <c r="G3" s="32">
        <v>4.1000000000000002E-2</v>
      </c>
      <c r="H3" s="32">
        <v>5.0999999999999997E-2</v>
      </c>
      <c r="I3" s="32">
        <v>7.0000000000000007E-2</v>
      </c>
      <c r="J3" s="32">
        <v>0.10100000000000001</v>
      </c>
      <c r="K3" s="32">
        <v>0.151</v>
      </c>
      <c r="L3" s="32">
        <v>0.10100000000000001</v>
      </c>
      <c r="M3" s="32">
        <v>0.161</v>
      </c>
      <c r="N3" s="32">
        <v>-0.2</v>
      </c>
      <c r="O3" s="32">
        <v>0.05</v>
      </c>
      <c r="P3" s="32">
        <v>-0.1</v>
      </c>
      <c r="Q3" s="32">
        <v>-0.2</v>
      </c>
      <c r="R3" s="3">
        <v>0</v>
      </c>
      <c r="S3" s="3">
        <v>0</v>
      </c>
      <c r="T3" s="45">
        <v>0.5</v>
      </c>
      <c r="U3" s="3">
        <v>0</v>
      </c>
      <c r="V3" s="3">
        <v>0</v>
      </c>
    </row>
    <row r="4" spans="1:22" x14ac:dyDescent="0.3">
      <c r="A4" s="2">
        <f t="shared" ref="A4" si="0">ROW()-3</f>
        <v>1</v>
      </c>
      <c r="B4" s="4" t="s">
        <v>123</v>
      </c>
      <c r="C4" s="10">
        <v>3.7174</v>
      </c>
      <c r="D4" s="2">
        <v>2.8</v>
      </c>
      <c r="E4" s="2">
        <f>C4*D4</f>
        <v>10.408719999999999</v>
      </c>
      <c r="F4" s="27">
        <f t="shared" ref="F4:Q4" si="1">$C4*(1+F$3)</f>
        <v>3.8326393999999997</v>
      </c>
      <c r="G4" s="25">
        <f t="shared" si="1"/>
        <v>3.8698134</v>
      </c>
      <c r="H4" s="27">
        <f t="shared" si="1"/>
        <v>3.9069873999999998</v>
      </c>
      <c r="I4" s="25">
        <f t="shared" si="1"/>
        <v>3.9776180000000001</v>
      </c>
      <c r="J4" s="27">
        <f t="shared" si="1"/>
        <v>4.0928573999999998</v>
      </c>
      <c r="K4" s="25">
        <f t="shared" si="1"/>
        <v>4.2787274000000002</v>
      </c>
      <c r="L4" s="27">
        <f t="shared" si="1"/>
        <v>4.0928573999999998</v>
      </c>
      <c r="M4" s="25">
        <f t="shared" si="1"/>
        <v>4.3159014000000004</v>
      </c>
      <c r="N4" s="51">
        <f t="shared" si="1"/>
        <v>2.9739200000000001</v>
      </c>
      <c r="O4" s="28">
        <f t="shared" si="1"/>
        <v>3.90327</v>
      </c>
      <c r="P4" s="25">
        <f t="shared" si="1"/>
        <v>3.3456600000000001</v>
      </c>
      <c r="Q4" s="28">
        <f t="shared" si="1"/>
        <v>2.9739200000000001</v>
      </c>
      <c r="R4" s="12">
        <f>(汇总!$H$11-C4)/C4</f>
        <v>-0.20239952655081514</v>
      </c>
      <c r="S4" s="2" t="s">
        <v>124</v>
      </c>
      <c r="T4" s="2">
        <f>D4/2</f>
        <v>1.4</v>
      </c>
      <c r="U4" s="2"/>
      <c r="V4" s="2">
        <f>D4-U4</f>
        <v>2.8</v>
      </c>
    </row>
    <row r="5" spans="1:22" x14ac:dyDescent="0.3">
      <c r="A5" s="2">
        <f t="shared" ref="A5:A9" si="2">ROW()-3</f>
        <v>2</v>
      </c>
      <c r="B5" s="4" t="s">
        <v>131</v>
      </c>
      <c r="C5" s="10">
        <v>3.5751428571428576</v>
      </c>
      <c r="D5" s="2">
        <v>2.8</v>
      </c>
      <c r="E5" s="2">
        <f t="shared" ref="E5:E9" si="3">C5*D5</f>
        <v>10.010400000000001</v>
      </c>
      <c r="F5" s="27">
        <f t="shared" ref="F5:Q9" si="4">$C5*(1+F$3)</f>
        <v>3.685972285714286</v>
      </c>
      <c r="G5" s="25">
        <f t="shared" si="4"/>
        <v>3.7217237142857145</v>
      </c>
      <c r="H5" s="27">
        <f t="shared" si="4"/>
        <v>3.7574751428571433</v>
      </c>
      <c r="I5" s="25">
        <f t="shared" si="4"/>
        <v>3.825402857142858</v>
      </c>
      <c r="J5" s="27">
        <f t="shared" si="4"/>
        <v>3.936232285714286</v>
      </c>
      <c r="K5" s="25">
        <f t="shared" si="4"/>
        <v>4.1149894285714295</v>
      </c>
      <c r="L5" s="27">
        <f t="shared" si="4"/>
        <v>3.936232285714286</v>
      </c>
      <c r="M5" s="25">
        <f t="shared" si="4"/>
        <v>4.1507408571428579</v>
      </c>
      <c r="N5" s="51">
        <f t="shared" si="4"/>
        <v>2.8601142857142863</v>
      </c>
      <c r="O5" s="28">
        <f t="shared" si="4"/>
        <v>3.7539000000000007</v>
      </c>
      <c r="P5" s="25">
        <f t="shared" si="4"/>
        <v>3.2176285714285719</v>
      </c>
      <c r="Q5" s="28">
        <f t="shared" si="4"/>
        <v>2.8601142857142863</v>
      </c>
      <c r="R5" s="12">
        <f>(汇总!$H$11-C5)/C5</f>
        <v>-0.17066251098857205</v>
      </c>
      <c r="S5" s="2" t="s">
        <v>132</v>
      </c>
      <c r="T5" s="2">
        <f t="shared" ref="T5:T9" si="5">D5/2</f>
        <v>1.4</v>
      </c>
      <c r="U5" s="2"/>
      <c r="V5" s="2">
        <f t="shared" ref="V5:V9" si="6">D5-U5</f>
        <v>2.8</v>
      </c>
    </row>
    <row r="6" spans="1:22" ht="28" x14ac:dyDescent="0.3">
      <c r="A6" s="2">
        <f t="shared" si="2"/>
        <v>3</v>
      </c>
      <c r="B6" s="4">
        <v>45616.552337962959</v>
      </c>
      <c r="C6" s="10">
        <v>3.2374000000000001</v>
      </c>
      <c r="D6" s="2">
        <v>2</v>
      </c>
      <c r="E6" s="2">
        <f t="shared" si="3"/>
        <v>6.4748000000000001</v>
      </c>
      <c r="F6" s="27">
        <f t="shared" si="4"/>
        <v>3.3377593999999999</v>
      </c>
      <c r="G6" s="25">
        <f t="shared" si="4"/>
        <v>3.3701333999999998</v>
      </c>
      <c r="H6" s="27">
        <f t="shared" si="4"/>
        <v>3.4025073999999997</v>
      </c>
      <c r="I6" s="25">
        <f t="shared" si="4"/>
        <v>3.4640180000000003</v>
      </c>
      <c r="J6" s="27">
        <f t="shared" si="4"/>
        <v>3.5643774000000001</v>
      </c>
      <c r="K6" s="25">
        <f t="shared" si="4"/>
        <v>3.7262474000000001</v>
      </c>
      <c r="L6" s="27">
        <f t="shared" si="4"/>
        <v>3.5643774000000001</v>
      </c>
      <c r="M6" s="25">
        <f t="shared" si="4"/>
        <v>3.7586214</v>
      </c>
      <c r="N6" s="51">
        <f t="shared" si="4"/>
        <v>2.5899200000000002</v>
      </c>
      <c r="O6" s="28">
        <f t="shared" si="4"/>
        <v>3.39927</v>
      </c>
      <c r="P6" s="25">
        <f t="shared" si="4"/>
        <v>2.9136600000000001</v>
      </c>
      <c r="Q6" s="28">
        <f t="shared" si="4"/>
        <v>2.5899200000000002</v>
      </c>
      <c r="R6" s="12">
        <f>(汇总!$H$11-C6)/C6</f>
        <v>-8.4141595107184844E-2</v>
      </c>
      <c r="S6" s="30" t="s">
        <v>133</v>
      </c>
      <c r="T6" s="2">
        <f t="shared" si="5"/>
        <v>1</v>
      </c>
      <c r="U6" s="2"/>
      <c r="V6" s="2">
        <f t="shared" si="6"/>
        <v>2</v>
      </c>
    </row>
    <row r="7" spans="1:22" x14ac:dyDescent="0.3">
      <c r="A7" s="2">
        <f t="shared" si="2"/>
        <v>4</v>
      </c>
      <c r="B7" s="4"/>
      <c r="C7" s="10">
        <v>0</v>
      </c>
      <c r="D7" s="2">
        <v>0</v>
      </c>
      <c r="E7" s="2">
        <f t="shared" si="3"/>
        <v>0</v>
      </c>
      <c r="F7" s="27">
        <f t="shared" si="4"/>
        <v>0</v>
      </c>
      <c r="G7" s="25">
        <f t="shared" si="4"/>
        <v>0</v>
      </c>
      <c r="H7" s="27">
        <f t="shared" si="4"/>
        <v>0</v>
      </c>
      <c r="I7" s="25">
        <f t="shared" si="4"/>
        <v>0</v>
      </c>
      <c r="J7" s="27">
        <f t="shared" si="4"/>
        <v>0</v>
      </c>
      <c r="K7" s="25">
        <f t="shared" si="4"/>
        <v>0</v>
      </c>
      <c r="L7" s="27">
        <f t="shared" si="4"/>
        <v>0</v>
      </c>
      <c r="M7" s="25">
        <f t="shared" si="4"/>
        <v>0</v>
      </c>
      <c r="N7" s="51">
        <f t="shared" si="4"/>
        <v>0</v>
      </c>
      <c r="O7" s="28">
        <f t="shared" si="4"/>
        <v>0</v>
      </c>
      <c r="P7" s="25">
        <f t="shared" si="4"/>
        <v>0</v>
      </c>
      <c r="Q7" s="28">
        <f t="shared" si="4"/>
        <v>0</v>
      </c>
      <c r="R7" s="12" t="e">
        <f>(汇总!$H$11-C7)/C7</f>
        <v>#DIV/0!</v>
      </c>
      <c r="S7" s="2"/>
      <c r="T7" s="2">
        <f t="shared" si="5"/>
        <v>0</v>
      </c>
      <c r="U7" s="2"/>
      <c r="V7" s="2">
        <f t="shared" si="6"/>
        <v>0</v>
      </c>
    </row>
    <row r="8" spans="1:22" x14ac:dyDescent="0.3">
      <c r="A8" s="2">
        <f t="shared" si="2"/>
        <v>5</v>
      </c>
      <c r="B8" s="4"/>
      <c r="C8" s="10">
        <v>0</v>
      </c>
      <c r="D8" s="2">
        <v>0</v>
      </c>
      <c r="E8" s="2">
        <f t="shared" si="3"/>
        <v>0</v>
      </c>
      <c r="F8" s="27">
        <f t="shared" si="4"/>
        <v>0</v>
      </c>
      <c r="G8" s="25">
        <f t="shared" si="4"/>
        <v>0</v>
      </c>
      <c r="H8" s="27">
        <f t="shared" si="4"/>
        <v>0</v>
      </c>
      <c r="I8" s="25">
        <f t="shared" si="4"/>
        <v>0</v>
      </c>
      <c r="J8" s="27">
        <f t="shared" si="4"/>
        <v>0</v>
      </c>
      <c r="K8" s="25">
        <f t="shared" si="4"/>
        <v>0</v>
      </c>
      <c r="L8" s="27">
        <f t="shared" si="4"/>
        <v>0</v>
      </c>
      <c r="M8" s="25">
        <f t="shared" si="4"/>
        <v>0</v>
      </c>
      <c r="N8" s="51">
        <f t="shared" si="4"/>
        <v>0</v>
      </c>
      <c r="O8" s="28">
        <f t="shared" si="4"/>
        <v>0</v>
      </c>
      <c r="P8" s="25">
        <f t="shared" si="4"/>
        <v>0</v>
      </c>
      <c r="Q8" s="28">
        <f t="shared" si="4"/>
        <v>0</v>
      </c>
      <c r="R8" s="12" t="e">
        <f>(汇总!$H$11-C8)/C8</f>
        <v>#DIV/0!</v>
      </c>
      <c r="S8" s="2"/>
      <c r="T8" s="2">
        <f t="shared" si="5"/>
        <v>0</v>
      </c>
      <c r="U8" s="2"/>
      <c r="V8" s="2">
        <f t="shared" si="6"/>
        <v>0</v>
      </c>
    </row>
    <row r="9" spans="1:22" x14ac:dyDescent="0.3">
      <c r="A9" s="2">
        <f t="shared" si="2"/>
        <v>6</v>
      </c>
      <c r="B9" s="4"/>
      <c r="C9" s="10">
        <v>0</v>
      </c>
      <c r="D9" s="2">
        <v>0</v>
      </c>
      <c r="E9" s="2">
        <f t="shared" si="3"/>
        <v>0</v>
      </c>
      <c r="F9" s="27">
        <f t="shared" si="4"/>
        <v>0</v>
      </c>
      <c r="G9" s="25">
        <f t="shared" si="4"/>
        <v>0</v>
      </c>
      <c r="H9" s="27">
        <f t="shared" si="4"/>
        <v>0</v>
      </c>
      <c r="I9" s="25">
        <f t="shared" si="4"/>
        <v>0</v>
      </c>
      <c r="J9" s="27">
        <f t="shared" si="4"/>
        <v>0</v>
      </c>
      <c r="K9" s="25">
        <f t="shared" si="4"/>
        <v>0</v>
      </c>
      <c r="L9" s="27">
        <f t="shared" si="4"/>
        <v>0</v>
      </c>
      <c r="M9" s="25">
        <f t="shared" si="4"/>
        <v>0</v>
      </c>
      <c r="N9" s="51">
        <f t="shared" si="4"/>
        <v>0</v>
      </c>
      <c r="O9" s="28">
        <f t="shared" si="4"/>
        <v>0</v>
      </c>
      <c r="P9" s="25">
        <f t="shared" si="4"/>
        <v>0</v>
      </c>
      <c r="Q9" s="28">
        <f t="shared" si="4"/>
        <v>0</v>
      </c>
      <c r="R9" s="12" t="e">
        <f>(汇总!$H$11-C9)/C9</f>
        <v>#DIV/0!</v>
      </c>
      <c r="S9" s="2"/>
      <c r="T9" s="2">
        <f t="shared" si="5"/>
        <v>0</v>
      </c>
      <c r="U9" s="2"/>
      <c r="V9" s="2">
        <f t="shared" si="6"/>
        <v>0</v>
      </c>
    </row>
    <row r="10" spans="1:22" x14ac:dyDescent="0.3">
      <c r="A10" s="2">
        <f t="shared" ref="A10:A12" si="7">ROW()-3</f>
        <v>7</v>
      </c>
      <c r="B10" s="4"/>
      <c r="C10" s="10">
        <v>0</v>
      </c>
      <c r="D10" s="2">
        <v>0</v>
      </c>
      <c r="E10" s="2">
        <f t="shared" ref="E10:E12" si="8">C10*D10</f>
        <v>0</v>
      </c>
      <c r="F10" s="27">
        <f t="shared" ref="F10:Q12" si="9">$C10*(1+F$3)</f>
        <v>0</v>
      </c>
      <c r="G10" s="25">
        <f t="shared" si="9"/>
        <v>0</v>
      </c>
      <c r="H10" s="27">
        <f t="shared" si="9"/>
        <v>0</v>
      </c>
      <c r="I10" s="25">
        <f t="shared" si="9"/>
        <v>0</v>
      </c>
      <c r="J10" s="27">
        <f t="shared" si="9"/>
        <v>0</v>
      </c>
      <c r="K10" s="25">
        <f t="shared" si="9"/>
        <v>0</v>
      </c>
      <c r="L10" s="27">
        <f t="shared" si="9"/>
        <v>0</v>
      </c>
      <c r="M10" s="25">
        <f t="shared" si="9"/>
        <v>0</v>
      </c>
      <c r="N10" s="51">
        <f t="shared" si="9"/>
        <v>0</v>
      </c>
      <c r="O10" s="28">
        <f t="shared" si="9"/>
        <v>0</v>
      </c>
      <c r="P10" s="25">
        <f t="shared" si="9"/>
        <v>0</v>
      </c>
      <c r="Q10" s="28">
        <f t="shared" si="9"/>
        <v>0</v>
      </c>
      <c r="R10" s="12" t="e">
        <f>(汇总!$H$11-C10)/C10</f>
        <v>#DIV/0!</v>
      </c>
      <c r="S10" s="2"/>
      <c r="T10" s="2">
        <f t="shared" ref="T10:T12" si="10">D10/2</f>
        <v>0</v>
      </c>
      <c r="U10" s="2"/>
      <c r="V10" s="2">
        <f t="shared" ref="V10:V12" si="11">D10-U10</f>
        <v>0</v>
      </c>
    </row>
    <row r="11" spans="1:22" x14ac:dyDescent="0.3">
      <c r="A11" s="2">
        <f t="shared" si="7"/>
        <v>8</v>
      </c>
      <c r="B11" s="4"/>
      <c r="C11" s="10">
        <v>0</v>
      </c>
      <c r="D11" s="2">
        <v>0</v>
      </c>
      <c r="E11" s="2">
        <f t="shared" si="8"/>
        <v>0</v>
      </c>
      <c r="F11" s="27">
        <f t="shared" si="9"/>
        <v>0</v>
      </c>
      <c r="G11" s="25">
        <f t="shared" si="9"/>
        <v>0</v>
      </c>
      <c r="H11" s="27">
        <f t="shared" si="9"/>
        <v>0</v>
      </c>
      <c r="I11" s="25">
        <f t="shared" si="9"/>
        <v>0</v>
      </c>
      <c r="J11" s="27">
        <f t="shared" si="9"/>
        <v>0</v>
      </c>
      <c r="K11" s="25">
        <f t="shared" si="9"/>
        <v>0</v>
      </c>
      <c r="L11" s="27">
        <f t="shared" si="9"/>
        <v>0</v>
      </c>
      <c r="M11" s="25">
        <f t="shared" si="9"/>
        <v>0</v>
      </c>
      <c r="N11" s="51">
        <f t="shared" si="9"/>
        <v>0</v>
      </c>
      <c r="O11" s="28">
        <f t="shared" si="9"/>
        <v>0</v>
      </c>
      <c r="P11" s="25">
        <f t="shared" si="9"/>
        <v>0</v>
      </c>
      <c r="Q11" s="28">
        <f t="shared" si="9"/>
        <v>0</v>
      </c>
      <c r="R11" s="12" t="e">
        <f>(汇总!$H$11-C11)/C11</f>
        <v>#DIV/0!</v>
      </c>
      <c r="S11" s="2"/>
      <c r="T11" s="2">
        <f t="shared" si="10"/>
        <v>0</v>
      </c>
      <c r="U11" s="2"/>
      <c r="V11" s="2">
        <f t="shared" si="11"/>
        <v>0</v>
      </c>
    </row>
    <row r="12" spans="1:22" x14ac:dyDescent="0.3">
      <c r="A12" s="2">
        <f t="shared" si="7"/>
        <v>9</v>
      </c>
      <c r="B12" s="4"/>
      <c r="C12" s="10">
        <v>0</v>
      </c>
      <c r="D12" s="2">
        <v>0</v>
      </c>
      <c r="E12" s="2">
        <f t="shared" si="8"/>
        <v>0</v>
      </c>
      <c r="F12" s="27">
        <f t="shared" si="9"/>
        <v>0</v>
      </c>
      <c r="G12" s="25">
        <f t="shared" si="9"/>
        <v>0</v>
      </c>
      <c r="H12" s="27">
        <f t="shared" si="9"/>
        <v>0</v>
      </c>
      <c r="I12" s="25">
        <f t="shared" si="9"/>
        <v>0</v>
      </c>
      <c r="J12" s="27">
        <f t="shared" si="9"/>
        <v>0</v>
      </c>
      <c r="K12" s="25">
        <f t="shared" si="9"/>
        <v>0</v>
      </c>
      <c r="L12" s="27">
        <f t="shared" si="9"/>
        <v>0</v>
      </c>
      <c r="M12" s="25">
        <f t="shared" si="9"/>
        <v>0</v>
      </c>
      <c r="N12" s="51">
        <f t="shared" si="9"/>
        <v>0</v>
      </c>
      <c r="O12" s="28">
        <f t="shared" si="9"/>
        <v>0</v>
      </c>
      <c r="P12" s="25">
        <f t="shared" si="9"/>
        <v>0</v>
      </c>
      <c r="Q12" s="28">
        <f t="shared" si="9"/>
        <v>0</v>
      </c>
      <c r="R12" s="12" t="e">
        <f>(汇总!$H$11-C12)/C12</f>
        <v>#DIV/0!</v>
      </c>
      <c r="S12" s="2"/>
      <c r="T12" s="2">
        <f t="shared" si="10"/>
        <v>0</v>
      </c>
      <c r="U12" s="2"/>
      <c r="V12" s="2">
        <f t="shared" si="11"/>
        <v>0</v>
      </c>
    </row>
    <row r="13" spans="1:22" x14ac:dyDescent="0.3">
      <c r="A13" s="3">
        <v>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</row>
    <row r="14" spans="1:22" x14ac:dyDescent="0.3">
      <c r="A14" s="84" t="s">
        <v>10</v>
      </c>
      <c r="B14" s="84"/>
      <c r="C14" s="84"/>
      <c r="D14" s="2">
        <f>SUM(D3:D13)</f>
        <v>7.6</v>
      </c>
      <c r="E14" s="2">
        <f>SUM(E3:E13)</f>
        <v>26.893920000000001</v>
      </c>
      <c r="G14" s="1">
        <v>5.6</v>
      </c>
      <c r="T14" s="1">
        <f>SUM(T10:T13)</f>
        <v>0</v>
      </c>
      <c r="U14" s="1">
        <f>SUM(U3:U13)</f>
        <v>0</v>
      </c>
      <c r="V14" s="1">
        <f>SUM(V3:V13)</f>
        <v>7.6</v>
      </c>
    </row>
    <row r="15" spans="1:22" x14ac:dyDescent="0.3">
      <c r="A15" s="84" t="s">
        <v>13</v>
      </c>
      <c r="B15" s="84"/>
      <c r="C15" s="84"/>
      <c r="D15" s="87">
        <f>E14/D14</f>
        <v>3.5386736842105266</v>
      </c>
      <c r="E15" s="88"/>
      <c r="G15" s="1">
        <v>3.6463000000000001</v>
      </c>
    </row>
    <row r="16" spans="1:22" x14ac:dyDescent="0.3">
      <c r="A16" s="84" t="s">
        <v>19</v>
      </c>
      <c r="B16" s="84"/>
      <c r="C16" s="84"/>
      <c r="D16" s="87">
        <f>汇总!H11</f>
        <v>2.9649999999999999</v>
      </c>
      <c r="E16" s="88"/>
    </row>
    <row r="17" spans="1:7" x14ac:dyDescent="0.3">
      <c r="A17" s="84" t="s">
        <v>20</v>
      </c>
      <c r="B17" s="84"/>
      <c r="C17" s="84"/>
      <c r="D17" s="89">
        <f>(D16-D15)/D15</f>
        <v>-0.16211545211705855</v>
      </c>
      <c r="E17" s="90"/>
    </row>
    <row r="20" spans="1:7" customFormat="1" x14ac:dyDescent="0.3">
      <c r="A20" s="83" t="s">
        <v>12</v>
      </c>
      <c r="B20" s="83"/>
      <c r="C20" s="83"/>
      <c r="D20" s="83"/>
      <c r="E20" s="83"/>
      <c r="F20" s="83"/>
      <c r="G20" s="91"/>
    </row>
    <row r="21" spans="1:7" customFormat="1" x14ac:dyDescent="0.3">
      <c r="A21" s="1" t="s">
        <v>43</v>
      </c>
      <c r="B21" s="2" t="s">
        <v>34</v>
      </c>
      <c r="C21" s="2" t="s">
        <v>30</v>
      </c>
      <c r="D21" s="2" t="s">
        <v>9</v>
      </c>
      <c r="E21" s="2" t="s">
        <v>35</v>
      </c>
      <c r="F21" s="2" t="s">
        <v>36</v>
      </c>
      <c r="G21" s="2" t="s">
        <v>11</v>
      </c>
    </row>
    <row r="22" spans="1:7" customFormat="1" x14ac:dyDescent="0.3">
      <c r="A22" s="3">
        <v>0</v>
      </c>
      <c r="B22" s="3">
        <v>0</v>
      </c>
      <c r="C22" s="3">
        <v>0</v>
      </c>
      <c r="D22" s="3">
        <v>0</v>
      </c>
      <c r="E22" s="3">
        <v>0</v>
      </c>
      <c r="F22" s="7">
        <v>0</v>
      </c>
      <c r="G22" s="8">
        <v>0</v>
      </c>
    </row>
    <row r="23" spans="1:7" customFormat="1" x14ac:dyDescent="0.3">
      <c r="A23" s="1"/>
      <c r="B23" s="4"/>
      <c r="C23" s="2"/>
      <c r="D23" s="2"/>
      <c r="E23" s="2"/>
      <c r="F23" s="5">
        <f t="shared" ref="F23:F26" si="12">E23*D23/5</f>
        <v>0</v>
      </c>
      <c r="G23" s="9">
        <f t="shared" ref="G23:G26" si="13">E23*D23 - C23*D23 - (C23*D23 + E23*D23)*0.05%</f>
        <v>0</v>
      </c>
    </row>
    <row r="24" spans="1:7" customFormat="1" x14ac:dyDescent="0.3">
      <c r="A24" s="1"/>
      <c r="B24" s="4"/>
      <c r="C24" s="2"/>
      <c r="D24" s="2"/>
      <c r="E24" s="2"/>
      <c r="F24" s="5">
        <f t="shared" si="12"/>
        <v>0</v>
      </c>
      <c r="G24" s="9">
        <f t="shared" si="13"/>
        <v>0</v>
      </c>
    </row>
    <row r="25" spans="1:7" customFormat="1" x14ac:dyDescent="0.3">
      <c r="A25" s="1"/>
      <c r="B25" s="4"/>
      <c r="C25" s="2"/>
      <c r="D25" s="2"/>
      <c r="E25" s="2"/>
      <c r="F25" s="5">
        <f t="shared" si="12"/>
        <v>0</v>
      </c>
      <c r="G25" s="9">
        <f t="shared" si="13"/>
        <v>0</v>
      </c>
    </row>
    <row r="26" spans="1:7" customFormat="1" x14ac:dyDescent="0.3">
      <c r="A26" s="1"/>
      <c r="B26" s="4"/>
      <c r="C26" s="2"/>
      <c r="D26" s="2"/>
      <c r="E26" s="2"/>
      <c r="F26" s="5">
        <f t="shared" si="12"/>
        <v>0</v>
      </c>
      <c r="G26" s="9">
        <f t="shared" si="13"/>
        <v>0</v>
      </c>
    </row>
    <row r="27" spans="1:7" customFormat="1" x14ac:dyDescent="0.3">
      <c r="A27" s="1"/>
      <c r="B27" s="4"/>
      <c r="C27" s="2"/>
      <c r="D27" s="2"/>
      <c r="E27" s="2"/>
      <c r="F27" s="5">
        <f t="shared" ref="F27:F32" si="14">E27*D27/5</f>
        <v>0</v>
      </c>
      <c r="G27" s="9">
        <f t="shared" ref="G27:G32" si="15">E27*D27 - C27*D27 - (C27*D27 + E27*D27)*0.05%</f>
        <v>0</v>
      </c>
    </row>
    <row r="28" spans="1:7" customFormat="1" x14ac:dyDescent="0.3">
      <c r="A28" s="1"/>
      <c r="B28" s="4"/>
      <c r="C28" s="2"/>
      <c r="D28" s="2"/>
      <c r="E28" s="2"/>
      <c r="F28" s="5">
        <f t="shared" si="14"/>
        <v>0</v>
      </c>
      <c r="G28" s="9">
        <f t="shared" si="15"/>
        <v>0</v>
      </c>
    </row>
    <row r="29" spans="1:7" customFormat="1" x14ac:dyDescent="0.3">
      <c r="A29" s="1"/>
      <c r="B29" s="4"/>
      <c r="C29" s="2"/>
      <c r="D29" s="2"/>
      <c r="E29" s="2"/>
      <c r="F29" s="5">
        <f t="shared" si="14"/>
        <v>0</v>
      </c>
      <c r="G29" s="9">
        <f t="shared" si="15"/>
        <v>0</v>
      </c>
    </row>
    <row r="30" spans="1:7" customFormat="1" x14ac:dyDescent="0.3">
      <c r="A30" s="1"/>
      <c r="B30" s="4"/>
      <c r="C30" s="2"/>
      <c r="D30" s="2"/>
      <c r="E30" s="2"/>
      <c r="F30" s="5">
        <f t="shared" si="14"/>
        <v>0</v>
      </c>
      <c r="G30" s="9">
        <f t="shared" si="15"/>
        <v>0</v>
      </c>
    </row>
    <row r="31" spans="1:7" customFormat="1" x14ac:dyDescent="0.3">
      <c r="A31" s="1"/>
      <c r="B31" s="4"/>
      <c r="C31" s="2"/>
      <c r="D31" s="2"/>
      <c r="E31" s="2"/>
      <c r="F31" s="5">
        <f t="shared" si="14"/>
        <v>0</v>
      </c>
      <c r="G31" s="9">
        <f t="shared" si="15"/>
        <v>0</v>
      </c>
    </row>
    <row r="32" spans="1:7" customFormat="1" x14ac:dyDescent="0.3">
      <c r="A32" s="1"/>
      <c r="B32" s="4"/>
      <c r="C32" s="2"/>
      <c r="D32" s="2"/>
      <c r="E32" s="2"/>
      <c r="F32" s="5">
        <f t="shared" si="14"/>
        <v>0</v>
      </c>
      <c r="G32" s="9">
        <f t="shared" si="15"/>
        <v>0</v>
      </c>
    </row>
    <row r="33" spans="1:7" customFormat="1" x14ac:dyDescent="0.3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</row>
    <row r="34" spans="1:7" customFormat="1" x14ac:dyDescent="0.3">
      <c r="A34" s="85" t="s">
        <v>42</v>
      </c>
      <c r="B34" s="85"/>
      <c r="C34" s="85"/>
      <c r="D34" s="85"/>
      <c r="E34" s="85"/>
      <c r="F34" s="86"/>
      <c r="G34" s="9">
        <f>SUM(G22:G33)</f>
        <v>0</v>
      </c>
    </row>
  </sheetData>
  <sortState xmlns:xlrd2="http://schemas.microsoft.com/office/spreadsheetml/2017/richdata2" ref="A4:V4">
    <sortCondition descending="1" ref="C4"/>
  </sortState>
  <mergeCells count="12">
    <mergeCell ref="A1:V1"/>
    <mergeCell ref="A17:C17"/>
    <mergeCell ref="A34:F34"/>
    <mergeCell ref="D15:E15"/>
    <mergeCell ref="D16:E16"/>
    <mergeCell ref="D17:E17"/>
    <mergeCell ref="A20:G20"/>
    <mergeCell ref="A14:C14"/>
    <mergeCell ref="A15:C15"/>
    <mergeCell ref="A16:C16"/>
    <mergeCell ref="F2:M2"/>
    <mergeCell ref="O2:Q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0994D-3EF9-4ADF-843A-C7F669DF61A7}">
  <dimension ref="A1:V41"/>
  <sheetViews>
    <sheetView zoomScaleNormal="100" workbookViewId="0">
      <pane xSplit="1" ySplit="3" topLeftCell="B4" activePane="bottomRight" state="frozen"/>
      <selection activeCell="E37" sqref="E37"/>
      <selection pane="topRight" activeCell="E37" sqref="E37"/>
      <selection pane="bottomLeft" activeCell="E37" sqref="E37"/>
      <selection pane="bottomRight" activeCell="O6" sqref="O6"/>
    </sheetView>
  </sheetViews>
  <sheetFormatPr defaultRowHeight="14" x14ac:dyDescent="0.3"/>
  <cols>
    <col min="1" max="1" width="4.83203125" style="1" bestFit="1" customWidth="1"/>
    <col min="2" max="2" width="16.33203125" style="1" bestFit="1" customWidth="1"/>
    <col min="3" max="3" width="11.1640625" style="1" bestFit="1" customWidth="1"/>
    <col min="4" max="4" width="4.83203125" style="1" bestFit="1" customWidth="1"/>
    <col min="5" max="5" width="9.1640625" style="1" bestFit="1" customWidth="1"/>
    <col min="6" max="6" width="10.4140625" style="1" bestFit="1" customWidth="1"/>
    <col min="7" max="7" width="8.5" style="1" bestFit="1" customWidth="1"/>
    <col min="8" max="14" width="7.08203125" style="1" bestFit="1" customWidth="1"/>
    <col min="15" max="16" width="7.08203125" style="1" customWidth="1"/>
    <col min="17" max="17" width="7.08203125" style="1" bestFit="1" customWidth="1"/>
    <col min="18" max="18" width="7.1640625" style="1" bestFit="1" customWidth="1"/>
    <col min="19" max="19" width="13.58203125" style="1" bestFit="1" customWidth="1"/>
    <col min="20" max="20" width="8.5" style="1" bestFit="1" customWidth="1"/>
    <col min="21" max="21" width="8.5" style="1" customWidth="1"/>
    <col min="22" max="16384" width="8.6640625" style="1"/>
  </cols>
  <sheetData>
    <row r="1" spans="1:22" x14ac:dyDescent="0.3">
      <c r="A1" s="98" t="s">
        <v>6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</row>
    <row r="2" spans="1:22" x14ac:dyDescent="0.3">
      <c r="A2" s="24" t="s">
        <v>43</v>
      </c>
      <c r="B2" s="24" t="s">
        <v>37</v>
      </c>
      <c r="C2" s="24" t="s">
        <v>32</v>
      </c>
      <c r="D2" s="24" t="s">
        <v>9</v>
      </c>
      <c r="E2" s="24" t="s">
        <v>44</v>
      </c>
      <c r="F2" s="106" t="s">
        <v>71</v>
      </c>
      <c r="G2" s="106"/>
      <c r="H2" s="106"/>
      <c r="I2" s="106"/>
      <c r="J2" s="106"/>
      <c r="K2" s="106"/>
      <c r="L2" s="106"/>
      <c r="M2" s="106"/>
      <c r="N2" s="50" t="s">
        <v>119</v>
      </c>
      <c r="O2" s="95" t="s">
        <v>122</v>
      </c>
      <c r="P2" s="96"/>
      <c r="Q2" s="97"/>
      <c r="R2" s="2" t="s">
        <v>20</v>
      </c>
      <c r="S2" s="2" t="s">
        <v>60</v>
      </c>
      <c r="T2" s="43" t="s">
        <v>107</v>
      </c>
      <c r="U2" s="43" t="s">
        <v>108</v>
      </c>
      <c r="V2" s="43" t="s">
        <v>106</v>
      </c>
    </row>
    <row r="3" spans="1:22" x14ac:dyDescent="0.3">
      <c r="A3" s="3">
        <v>0</v>
      </c>
      <c r="B3" s="3">
        <v>0</v>
      </c>
      <c r="C3" s="3">
        <v>0</v>
      </c>
      <c r="D3" s="3">
        <v>0</v>
      </c>
      <c r="E3" s="3">
        <v>0</v>
      </c>
      <c r="F3" s="32">
        <v>-0.10100000000000001</v>
      </c>
      <c r="G3" s="32">
        <v>-1.0999999999999999E-2</v>
      </c>
      <c r="H3" s="32">
        <v>-1.6E-2</v>
      </c>
      <c r="I3" s="32">
        <v>-2.1000000000000001E-2</v>
      </c>
      <c r="J3" s="32">
        <v>-3.1E-2</v>
      </c>
      <c r="K3" s="32">
        <v>-5.0999999999999997E-2</v>
      </c>
      <c r="L3" s="32">
        <v>-7.0999999999999994E-2</v>
      </c>
      <c r="M3" s="32">
        <v>-0.121</v>
      </c>
      <c r="N3" s="32">
        <v>0.2</v>
      </c>
      <c r="O3" s="32">
        <v>-0.05</v>
      </c>
      <c r="P3" s="32">
        <v>0.1</v>
      </c>
      <c r="Q3" s="32">
        <v>0.2</v>
      </c>
      <c r="R3" s="3">
        <v>0</v>
      </c>
      <c r="S3" s="3">
        <v>0</v>
      </c>
      <c r="T3" s="45">
        <v>0.5</v>
      </c>
      <c r="U3" s="3">
        <v>0</v>
      </c>
      <c r="V3" s="3">
        <v>0</v>
      </c>
    </row>
    <row r="4" spans="1:22" x14ac:dyDescent="0.3">
      <c r="A4" s="2">
        <f t="shared" ref="A4:A15" si="0">ROW()-3</f>
        <v>1</v>
      </c>
      <c r="B4" s="4">
        <v>45617.445462962962</v>
      </c>
      <c r="C4" s="10">
        <v>2.9843000000000002</v>
      </c>
      <c r="D4" s="2">
        <v>3.3</v>
      </c>
      <c r="E4" s="2">
        <f>C4*D4</f>
        <v>9.8481900000000007</v>
      </c>
      <c r="F4" s="27">
        <f t="shared" ref="F4:Q5" si="1">$C4*(1+F$3)</f>
        <v>2.6828857000000004</v>
      </c>
      <c r="G4" s="25">
        <f t="shared" si="1"/>
        <v>2.9514727000000001</v>
      </c>
      <c r="H4" s="27">
        <f t="shared" si="1"/>
        <v>2.9365512000000003</v>
      </c>
      <c r="I4" s="25">
        <f t="shared" si="1"/>
        <v>2.9216297</v>
      </c>
      <c r="J4" s="27">
        <f t="shared" si="1"/>
        <v>2.8917866999999999</v>
      </c>
      <c r="K4" s="25">
        <f t="shared" si="1"/>
        <v>2.8321007000000002</v>
      </c>
      <c r="L4" s="27">
        <f t="shared" si="1"/>
        <v>2.7724147000000001</v>
      </c>
      <c r="M4" s="25">
        <f t="shared" si="1"/>
        <v>2.6231997000000002</v>
      </c>
      <c r="N4" s="51">
        <f t="shared" si="1"/>
        <v>3.5811600000000001</v>
      </c>
      <c r="O4" s="28">
        <f t="shared" si="1"/>
        <v>2.8350849999999999</v>
      </c>
      <c r="P4" s="25">
        <f t="shared" si="1"/>
        <v>3.2827300000000004</v>
      </c>
      <c r="Q4" s="28">
        <f t="shared" si="1"/>
        <v>3.5811600000000001</v>
      </c>
      <c r="R4" s="12">
        <f>(C4-汇总!$H$11)/C4</f>
        <v>6.4671782327515052E-3</v>
      </c>
      <c r="S4" s="2" t="s">
        <v>135</v>
      </c>
      <c r="T4" s="2">
        <f>D4/2</f>
        <v>1.65</v>
      </c>
      <c r="U4" s="2"/>
      <c r="V4" s="2">
        <f>D4-U4</f>
        <v>3.3</v>
      </c>
    </row>
    <row r="5" spans="1:22" x14ac:dyDescent="0.3">
      <c r="A5" s="2">
        <f t="shared" ref="A5" si="2">ROW()-3</f>
        <v>2</v>
      </c>
      <c r="B5" s="4">
        <v>45617.016886574071</v>
      </c>
      <c r="C5" s="10">
        <v>3.1414</v>
      </c>
      <c r="D5" s="2">
        <v>3.1</v>
      </c>
      <c r="E5" s="2">
        <f t="shared" ref="E5" si="3">C5*D5</f>
        <v>9.7383400000000009</v>
      </c>
      <c r="F5" s="27">
        <f t="shared" si="1"/>
        <v>2.8241186000000003</v>
      </c>
      <c r="G5" s="25">
        <f t="shared" si="1"/>
        <v>3.1068446000000001</v>
      </c>
      <c r="H5" s="27">
        <f t="shared" si="1"/>
        <v>3.0911375999999997</v>
      </c>
      <c r="I5" s="25">
        <f t="shared" si="1"/>
        <v>3.0754305999999998</v>
      </c>
      <c r="J5" s="27">
        <f t="shared" si="1"/>
        <v>3.0440166</v>
      </c>
      <c r="K5" s="25">
        <f t="shared" si="1"/>
        <v>2.9811885999999999</v>
      </c>
      <c r="L5" s="27">
        <f t="shared" si="1"/>
        <v>2.9183606000000002</v>
      </c>
      <c r="M5" s="25">
        <f t="shared" si="1"/>
        <v>2.7612906000000002</v>
      </c>
      <c r="N5" s="51">
        <f t="shared" si="1"/>
        <v>3.7696799999999997</v>
      </c>
      <c r="O5" s="28">
        <f t="shared" si="1"/>
        <v>2.9843299999999999</v>
      </c>
      <c r="P5" s="25">
        <f t="shared" si="1"/>
        <v>3.4555400000000001</v>
      </c>
      <c r="Q5" s="28">
        <f t="shared" si="1"/>
        <v>3.7696799999999997</v>
      </c>
      <c r="R5" s="12">
        <f>(C5-汇总!$H$11)/C5</f>
        <v>5.6153307442541579E-2</v>
      </c>
      <c r="S5" s="2" t="s">
        <v>134</v>
      </c>
      <c r="T5" s="2">
        <f>D5/2</f>
        <v>1.55</v>
      </c>
      <c r="U5" s="2"/>
      <c r="V5" s="2">
        <f t="shared" ref="V5" si="4">D5-U5</f>
        <v>3.1</v>
      </c>
    </row>
    <row r="6" spans="1:22" ht="42" x14ac:dyDescent="0.3">
      <c r="A6" s="2">
        <f t="shared" si="0"/>
        <v>3</v>
      </c>
      <c r="B6" s="4" t="s">
        <v>136</v>
      </c>
      <c r="C6" s="10">
        <v>3.5198272727272726</v>
      </c>
      <c r="D6" s="2">
        <v>0.7</v>
      </c>
      <c r="E6" s="2">
        <f t="shared" ref="E6:E15" si="5">C6*D6</f>
        <v>2.4638790909090909</v>
      </c>
      <c r="F6" s="27">
        <f t="shared" ref="F6:Q12" si="6">$C6*(1+F$3)</f>
        <v>3.1643247181818182</v>
      </c>
      <c r="G6" s="25">
        <f t="shared" si="6"/>
        <v>3.4811091727272725</v>
      </c>
      <c r="H6" s="27">
        <f t="shared" si="6"/>
        <v>3.463510036363636</v>
      </c>
      <c r="I6" s="25">
        <f t="shared" si="6"/>
        <v>3.4459108999999999</v>
      </c>
      <c r="J6" s="27">
        <f t="shared" si="6"/>
        <v>3.4107126272727268</v>
      </c>
      <c r="K6" s="25">
        <f t="shared" si="6"/>
        <v>3.3403160818181816</v>
      </c>
      <c r="L6" s="27">
        <f t="shared" si="6"/>
        <v>3.2699195363636364</v>
      </c>
      <c r="M6" s="25">
        <f t="shared" si="6"/>
        <v>3.0939281727272725</v>
      </c>
      <c r="N6" s="51">
        <f t="shared" si="6"/>
        <v>4.2237927272727269</v>
      </c>
      <c r="O6" s="28">
        <f t="shared" si="6"/>
        <v>3.3438359090909087</v>
      </c>
      <c r="P6" s="25">
        <f t="shared" si="6"/>
        <v>3.87181</v>
      </c>
      <c r="Q6" s="28">
        <f t="shared" si="6"/>
        <v>4.2237927272727269</v>
      </c>
      <c r="R6" s="12">
        <f>(C6-汇总!$H$11)/C6</f>
        <v>0.15762911919748129</v>
      </c>
      <c r="S6" s="30" t="s">
        <v>137</v>
      </c>
      <c r="T6" s="2">
        <f t="shared" ref="T6" si="7">D6/2</f>
        <v>0.35</v>
      </c>
      <c r="U6" s="2"/>
      <c r="V6" s="2">
        <f t="shared" ref="V6:V15" si="8">D6-U6</f>
        <v>0.7</v>
      </c>
    </row>
    <row r="7" spans="1:22" x14ac:dyDescent="0.3">
      <c r="A7" s="2">
        <f t="shared" si="0"/>
        <v>4</v>
      </c>
      <c r="B7" s="4"/>
      <c r="C7" s="10">
        <v>0</v>
      </c>
      <c r="D7" s="2">
        <v>0</v>
      </c>
      <c r="E7" s="2">
        <f t="shared" si="5"/>
        <v>0</v>
      </c>
      <c r="F7" s="27">
        <f t="shared" si="6"/>
        <v>0</v>
      </c>
      <c r="G7" s="25">
        <f t="shared" si="6"/>
        <v>0</v>
      </c>
      <c r="H7" s="27">
        <f t="shared" si="6"/>
        <v>0</v>
      </c>
      <c r="I7" s="25">
        <f t="shared" si="6"/>
        <v>0</v>
      </c>
      <c r="J7" s="27">
        <f t="shared" si="6"/>
        <v>0</v>
      </c>
      <c r="K7" s="25">
        <f t="shared" si="6"/>
        <v>0</v>
      </c>
      <c r="L7" s="27">
        <f t="shared" si="6"/>
        <v>0</v>
      </c>
      <c r="M7" s="25">
        <f t="shared" si="6"/>
        <v>0</v>
      </c>
      <c r="N7" s="51">
        <f t="shared" si="6"/>
        <v>0</v>
      </c>
      <c r="O7" s="28">
        <f t="shared" si="6"/>
        <v>0</v>
      </c>
      <c r="P7" s="25">
        <f t="shared" si="6"/>
        <v>0</v>
      </c>
      <c r="Q7" s="28">
        <f t="shared" si="6"/>
        <v>0</v>
      </c>
      <c r="R7" s="12" t="e">
        <f>(C7-汇总!$H$11)/C7</f>
        <v>#DIV/0!</v>
      </c>
      <c r="S7" s="2"/>
      <c r="T7" s="2">
        <f t="shared" ref="T7:T15" si="9">D7/2</f>
        <v>0</v>
      </c>
      <c r="U7" s="2"/>
      <c r="V7" s="2">
        <f t="shared" si="8"/>
        <v>0</v>
      </c>
    </row>
    <row r="8" spans="1:22" x14ac:dyDescent="0.3">
      <c r="A8" s="2">
        <f t="shared" si="0"/>
        <v>5</v>
      </c>
      <c r="B8" s="4"/>
      <c r="C8" s="10">
        <v>0</v>
      </c>
      <c r="D8" s="2">
        <v>0</v>
      </c>
      <c r="E8" s="2">
        <f t="shared" si="5"/>
        <v>0</v>
      </c>
      <c r="F8" s="27">
        <f t="shared" si="6"/>
        <v>0</v>
      </c>
      <c r="G8" s="25">
        <f t="shared" si="6"/>
        <v>0</v>
      </c>
      <c r="H8" s="27">
        <f t="shared" si="6"/>
        <v>0</v>
      </c>
      <c r="I8" s="25">
        <f t="shared" si="6"/>
        <v>0</v>
      </c>
      <c r="J8" s="27">
        <f t="shared" si="6"/>
        <v>0</v>
      </c>
      <c r="K8" s="25">
        <f t="shared" si="6"/>
        <v>0</v>
      </c>
      <c r="L8" s="27">
        <f t="shared" si="6"/>
        <v>0</v>
      </c>
      <c r="M8" s="25">
        <f t="shared" si="6"/>
        <v>0</v>
      </c>
      <c r="N8" s="51">
        <f t="shared" si="6"/>
        <v>0</v>
      </c>
      <c r="O8" s="28">
        <f t="shared" si="6"/>
        <v>0</v>
      </c>
      <c r="P8" s="25">
        <f t="shared" si="6"/>
        <v>0</v>
      </c>
      <c r="Q8" s="28">
        <f t="shared" si="6"/>
        <v>0</v>
      </c>
      <c r="R8" s="12" t="e">
        <f>(C8-汇总!$H$11)/C8</f>
        <v>#DIV/0!</v>
      </c>
      <c r="S8" s="2"/>
      <c r="T8" s="2">
        <f t="shared" si="9"/>
        <v>0</v>
      </c>
      <c r="U8" s="2"/>
      <c r="V8" s="2">
        <f t="shared" si="8"/>
        <v>0</v>
      </c>
    </row>
    <row r="9" spans="1:22" x14ac:dyDescent="0.3">
      <c r="A9" s="2">
        <f t="shared" si="0"/>
        <v>6</v>
      </c>
      <c r="B9" s="4"/>
      <c r="C9" s="10">
        <v>0</v>
      </c>
      <c r="D9" s="2">
        <v>0</v>
      </c>
      <c r="E9" s="2">
        <f t="shared" si="5"/>
        <v>0</v>
      </c>
      <c r="F9" s="27">
        <f t="shared" si="6"/>
        <v>0</v>
      </c>
      <c r="G9" s="25">
        <f t="shared" si="6"/>
        <v>0</v>
      </c>
      <c r="H9" s="27">
        <f t="shared" si="6"/>
        <v>0</v>
      </c>
      <c r="I9" s="25">
        <f t="shared" si="6"/>
        <v>0</v>
      </c>
      <c r="J9" s="27">
        <f t="shared" si="6"/>
        <v>0</v>
      </c>
      <c r="K9" s="25">
        <f t="shared" si="6"/>
        <v>0</v>
      </c>
      <c r="L9" s="27">
        <f t="shared" si="6"/>
        <v>0</v>
      </c>
      <c r="M9" s="25">
        <f t="shared" si="6"/>
        <v>0</v>
      </c>
      <c r="N9" s="51">
        <f t="shared" si="6"/>
        <v>0</v>
      </c>
      <c r="O9" s="28">
        <f t="shared" si="6"/>
        <v>0</v>
      </c>
      <c r="P9" s="25">
        <f t="shared" si="6"/>
        <v>0</v>
      </c>
      <c r="Q9" s="28">
        <f t="shared" si="6"/>
        <v>0</v>
      </c>
      <c r="R9" s="12" t="e">
        <f>(C9-汇总!$H$11)/C9</f>
        <v>#DIV/0!</v>
      </c>
      <c r="S9" s="2"/>
      <c r="T9" s="2">
        <f t="shared" si="9"/>
        <v>0</v>
      </c>
      <c r="U9" s="2"/>
      <c r="V9" s="2">
        <f t="shared" si="8"/>
        <v>0</v>
      </c>
    </row>
    <row r="10" spans="1:22" x14ac:dyDescent="0.3">
      <c r="A10" s="2">
        <f t="shared" si="0"/>
        <v>7</v>
      </c>
      <c r="B10" s="4"/>
      <c r="C10" s="10">
        <v>0</v>
      </c>
      <c r="D10" s="2">
        <v>0</v>
      </c>
      <c r="E10" s="2">
        <f t="shared" ref="E10:E12" si="10">C10*D10</f>
        <v>0</v>
      </c>
      <c r="F10" s="27">
        <f t="shared" si="6"/>
        <v>0</v>
      </c>
      <c r="G10" s="25">
        <f t="shared" si="6"/>
        <v>0</v>
      </c>
      <c r="H10" s="27">
        <f t="shared" si="6"/>
        <v>0</v>
      </c>
      <c r="I10" s="25">
        <f t="shared" si="6"/>
        <v>0</v>
      </c>
      <c r="J10" s="27">
        <f t="shared" si="6"/>
        <v>0</v>
      </c>
      <c r="K10" s="25">
        <f t="shared" si="6"/>
        <v>0</v>
      </c>
      <c r="L10" s="27">
        <f t="shared" si="6"/>
        <v>0</v>
      </c>
      <c r="M10" s="25">
        <f t="shared" si="6"/>
        <v>0</v>
      </c>
      <c r="N10" s="51">
        <f t="shared" si="6"/>
        <v>0</v>
      </c>
      <c r="O10" s="28">
        <f t="shared" si="6"/>
        <v>0</v>
      </c>
      <c r="P10" s="25">
        <f t="shared" si="6"/>
        <v>0</v>
      </c>
      <c r="Q10" s="28">
        <f t="shared" si="6"/>
        <v>0</v>
      </c>
      <c r="R10" s="12" t="e">
        <f>(C10-汇总!$H$11)/C10</f>
        <v>#DIV/0!</v>
      </c>
      <c r="S10" s="2"/>
      <c r="T10" s="2">
        <f t="shared" si="9"/>
        <v>0</v>
      </c>
      <c r="U10" s="2"/>
      <c r="V10" s="2">
        <f t="shared" ref="V10:V12" si="11">D10-U10</f>
        <v>0</v>
      </c>
    </row>
    <row r="11" spans="1:22" x14ac:dyDescent="0.3">
      <c r="A11" s="2">
        <f t="shared" si="0"/>
        <v>8</v>
      </c>
      <c r="B11" s="4"/>
      <c r="C11" s="10">
        <v>0</v>
      </c>
      <c r="D11" s="2">
        <v>0</v>
      </c>
      <c r="E11" s="2">
        <f t="shared" si="10"/>
        <v>0</v>
      </c>
      <c r="F11" s="27">
        <f t="shared" si="6"/>
        <v>0</v>
      </c>
      <c r="G11" s="25">
        <f t="shared" si="6"/>
        <v>0</v>
      </c>
      <c r="H11" s="27">
        <f t="shared" si="6"/>
        <v>0</v>
      </c>
      <c r="I11" s="25">
        <f t="shared" si="6"/>
        <v>0</v>
      </c>
      <c r="J11" s="27">
        <f t="shared" si="6"/>
        <v>0</v>
      </c>
      <c r="K11" s="25">
        <f t="shared" si="6"/>
        <v>0</v>
      </c>
      <c r="L11" s="27">
        <f t="shared" si="6"/>
        <v>0</v>
      </c>
      <c r="M11" s="25">
        <f t="shared" si="6"/>
        <v>0</v>
      </c>
      <c r="N11" s="51">
        <f t="shared" si="6"/>
        <v>0</v>
      </c>
      <c r="O11" s="28">
        <f t="shared" si="6"/>
        <v>0</v>
      </c>
      <c r="P11" s="25">
        <f t="shared" si="6"/>
        <v>0</v>
      </c>
      <c r="Q11" s="28">
        <f t="shared" si="6"/>
        <v>0</v>
      </c>
      <c r="R11" s="12" t="e">
        <f>(C11-汇总!$H$11)/C11</f>
        <v>#DIV/0!</v>
      </c>
      <c r="S11" s="2"/>
      <c r="T11" s="2">
        <f t="shared" si="9"/>
        <v>0</v>
      </c>
      <c r="U11" s="2"/>
      <c r="V11" s="2">
        <f t="shared" si="11"/>
        <v>0</v>
      </c>
    </row>
    <row r="12" spans="1:22" x14ac:dyDescent="0.3">
      <c r="A12" s="2">
        <f t="shared" si="0"/>
        <v>9</v>
      </c>
      <c r="B12" s="4"/>
      <c r="C12" s="10">
        <v>0</v>
      </c>
      <c r="D12" s="2">
        <v>0</v>
      </c>
      <c r="E12" s="2">
        <f t="shared" si="10"/>
        <v>0</v>
      </c>
      <c r="F12" s="27">
        <f t="shared" si="6"/>
        <v>0</v>
      </c>
      <c r="G12" s="25">
        <f t="shared" si="6"/>
        <v>0</v>
      </c>
      <c r="H12" s="27">
        <f t="shared" si="6"/>
        <v>0</v>
      </c>
      <c r="I12" s="25">
        <f t="shared" si="6"/>
        <v>0</v>
      </c>
      <c r="J12" s="27">
        <f t="shared" si="6"/>
        <v>0</v>
      </c>
      <c r="K12" s="25">
        <f t="shared" si="6"/>
        <v>0</v>
      </c>
      <c r="L12" s="27">
        <f t="shared" si="6"/>
        <v>0</v>
      </c>
      <c r="M12" s="25">
        <f t="shared" si="6"/>
        <v>0</v>
      </c>
      <c r="N12" s="51">
        <f t="shared" si="6"/>
        <v>0</v>
      </c>
      <c r="O12" s="28">
        <f t="shared" si="6"/>
        <v>0</v>
      </c>
      <c r="P12" s="25">
        <f t="shared" si="6"/>
        <v>0</v>
      </c>
      <c r="Q12" s="28">
        <f t="shared" si="6"/>
        <v>0</v>
      </c>
      <c r="R12" s="12" t="e">
        <f>(C12-汇总!$H$11)/C12</f>
        <v>#DIV/0!</v>
      </c>
      <c r="S12" s="2"/>
      <c r="T12" s="2">
        <f t="shared" si="9"/>
        <v>0</v>
      </c>
      <c r="U12" s="2"/>
      <c r="V12" s="2">
        <f t="shared" si="11"/>
        <v>0</v>
      </c>
    </row>
    <row r="13" spans="1:22" x14ac:dyDescent="0.3">
      <c r="A13" s="2">
        <f t="shared" si="0"/>
        <v>10</v>
      </c>
      <c r="B13" s="4"/>
      <c r="C13" s="10">
        <v>0</v>
      </c>
      <c r="D13" s="2">
        <v>0</v>
      </c>
      <c r="E13" s="2">
        <f t="shared" si="5"/>
        <v>0</v>
      </c>
      <c r="F13" s="27">
        <f t="shared" ref="F13:Q15" si="12">$C13*(1+F$3)</f>
        <v>0</v>
      </c>
      <c r="G13" s="25">
        <f t="shared" si="12"/>
        <v>0</v>
      </c>
      <c r="H13" s="27">
        <f t="shared" si="12"/>
        <v>0</v>
      </c>
      <c r="I13" s="25">
        <f t="shared" si="12"/>
        <v>0</v>
      </c>
      <c r="J13" s="27">
        <f t="shared" si="12"/>
        <v>0</v>
      </c>
      <c r="K13" s="25">
        <f t="shared" si="12"/>
        <v>0</v>
      </c>
      <c r="L13" s="27">
        <f t="shared" si="12"/>
        <v>0</v>
      </c>
      <c r="M13" s="25">
        <f t="shared" si="12"/>
        <v>0</v>
      </c>
      <c r="N13" s="51">
        <f t="shared" si="12"/>
        <v>0</v>
      </c>
      <c r="O13" s="28">
        <f t="shared" si="12"/>
        <v>0</v>
      </c>
      <c r="P13" s="25">
        <f t="shared" si="12"/>
        <v>0</v>
      </c>
      <c r="Q13" s="28">
        <f t="shared" si="12"/>
        <v>0</v>
      </c>
      <c r="R13" s="12" t="e">
        <f>(C13-汇总!$H$11)/C13</f>
        <v>#DIV/0!</v>
      </c>
      <c r="S13" s="2"/>
      <c r="T13" s="2">
        <f t="shared" si="9"/>
        <v>0</v>
      </c>
      <c r="U13" s="2"/>
      <c r="V13" s="2">
        <f t="shared" si="8"/>
        <v>0</v>
      </c>
    </row>
    <row r="14" spans="1:22" x14ac:dyDescent="0.3">
      <c r="A14" s="2">
        <f t="shared" si="0"/>
        <v>11</v>
      </c>
      <c r="B14" s="4"/>
      <c r="C14" s="10">
        <v>0</v>
      </c>
      <c r="D14" s="2">
        <v>0</v>
      </c>
      <c r="E14" s="2">
        <f t="shared" si="5"/>
        <v>0</v>
      </c>
      <c r="F14" s="27">
        <f t="shared" si="12"/>
        <v>0</v>
      </c>
      <c r="G14" s="25">
        <f t="shared" si="12"/>
        <v>0</v>
      </c>
      <c r="H14" s="27">
        <f t="shared" si="12"/>
        <v>0</v>
      </c>
      <c r="I14" s="25">
        <f t="shared" si="12"/>
        <v>0</v>
      </c>
      <c r="J14" s="27">
        <f t="shared" si="12"/>
        <v>0</v>
      </c>
      <c r="K14" s="25">
        <f t="shared" si="12"/>
        <v>0</v>
      </c>
      <c r="L14" s="27">
        <f t="shared" si="12"/>
        <v>0</v>
      </c>
      <c r="M14" s="25">
        <f t="shared" si="12"/>
        <v>0</v>
      </c>
      <c r="N14" s="51">
        <f t="shared" si="12"/>
        <v>0</v>
      </c>
      <c r="O14" s="28">
        <f t="shared" si="12"/>
        <v>0</v>
      </c>
      <c r="P14" s="25">
        <f t="shared" si="12"/>
        <v>0</v>
      </c>
      <c r="Q14" s="28">
        <f t="shared" si="12"/>
        <v>0</v>
      </c>
      <c r="R14" s="12" t="e">
        <f>(C14-汇总!$H$11)/C14</f>
        <v>#DIV/0!</v>
      </c>
      <c r="S14" s="2"/>
      <c r="T14" s="2">
        <f t="shared" si="9"/>
        <v>0</v>
      </c>
      <c r="U14" s="2"/>
      <c r="V14" s="2">
        <f t="shared" si="8"/>
        <v>0</v>
      </c>
    </row>
    <row r="15" spans="1:22" x14ac:dyDescent="0.3">
      <c r="A15" s="2">
        <f t="shared" si="0"/>
        <v>12</v>
      </c>
      <c r="B15" s="4"/>
      <c r="C15" s="10">
        <v>0</v>
      </c>
      <c r="D15" s="2">
        <v>0</v>
      </c>
      <c r="E15" s="2">
        <f t="shared" si="5"/>
        <v>0</v>
      </c>
      <c r="F15" s="27">
        <f t="shared" si="12"/>
        <v>0</v>
      </c>
      <c r="G15" s="25">
        <f t="shared" si="12"/>
        <v>0</v>
      </c>
      <c r="H15" s="27">
        <f t="shared" si="12"/>
        <v>0</v>
      </c>
      <c r="I15" s="25">
        <f t="shared" si="12"/>
        <v>0</v>
      </c>
      <c r="J15" s="27">
        <f t="shared" si="12"/>
        <v>0</v>
      </c>
      <c r="K15" s="25">
        <f t="shared" si="12"/>
        <v>0</v>
      </c>
      <c r="L15" s="27">
        <f t="shared" si="12"/>
        <v>0</v>
      </c>
      <c r="M15" s="25">
        <f t="shared" si="12"/>
        <v>0</v>
      </c>
      <c r="N15" s="51">
        <f t="shared" si="12"/>
        <v>0</v>
      </c>
      <c r="O15" s="28">
        <f t="shared" si="12"/>
        <v>0</v>
      </c>
      <c r="P15" s="25">
        <f t="shared" si="12"/>
        <v>0</v>
      </c>
      <c r="Q15" s="28">
        <f t="shared" si="12"/>
        <v>0</v>
      </c>
      <c r="R15" s="12" t="e">
        <f>(C15-汇总!$H$11)/C15</f>
        <v>#DIV/0!</v>
      </c>
      <c r="S15" s="2"/>
      <c r="T15" s="2">
        <f t="shared" si="9"/>
        <v>0</v>
      </c>
      <c r="U15" s="2"/>
      <c r="V15" s="2">
        <f t="shared" si="8"/>
        <v>0</v>
      </c>
    </row>
    <row r="16" spans="1:22" x14ac:dyDescent="0.3">
      <c r="A16" s="3">
        <v>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</row>
    <row r="17" spans="1:22" x14ac:dyDescent="0.3">
      <c r="A17" s="100" t="s">
        <v>10</v>
      </c>
      <c r="B17" s="101"/>
      <c r="C17" s="102"/>
      <c r="D17" s="2">
        <f>SUM(D3:D16)</f>
        <v>7.1000000000000005</v>
      </c>
      <c r="E17" s="2">
        <f>SUM(E3:E16)</f>
        <v>22.050409090909096</v>
      </c>
      <c r="G17" s="1">
        <v>8.6</v>
      </c>
      <c r="T17" s="1">
        <f>SUM(T4:T16)</f>
        <v>3.5500000000000003</v>
      </c>
      <c r="U17" s="1">
        <f>SUM(U3:U16)</f>
        <v>0</v>
      </c>
      <c r="V17" s="1">
        <f>SUM(V3:V16)</f>
        <v>7.1000000000000005</v>
      </c>
    </row>
    <row r="18" spans="1:22" x14ac:dyDescent="0.3">
      <c r="A18" s="100" t="s">
        <v>13</v>
      </c>
      <c r="B18" s="101"/>
      <c r="C18" s="102"/>
      <c r="D18" s="75">
        <f>E17/D17</f>
        <v>3.1056914212548019</v>
      </c>
      <c r="E18" s="75"/>
      <c r="G18" s="1">
        <v>3.1779000000000002</v>
      </c>
      <c r="T18"/>
      <c r="U18"/>
      <c r="V18"/>
    </row>
    <row r="19" spans="1:22" x14ac:dyDescent="0.3">
      <c r="A19" s="100" t="s">
        <v>19</v>
      </c>
      <c r="B19" s="101"/>
      <c r="C19" s="102"/>
      <c r="D19" s="75">
        <f>汇总!H11</f>
        <v>2.9649999999999999</v>
      </c>
      <c r="E19" s="75"/>
      <c r="T19"/>
      <c r="U19"/>
      <c r="V19"/>
    </row>
    <row r="20" spans="1:22" x14ac:dyDescent="0.3">
      <c r="A20" s="100" t="s">
        <v>20</v>
      </c>
      <c r="B20" s="101"/>
      <c r="C20" s="102"/>
      <c r="D20" s="74">
        <f>(D18-D19)/D18</f>
        <v>4.5301159120939988E-2</v>
      </c>
      <c r="E20" s="74"/>
      <c r="T20"/>
      <c r="U20"/>
      <c r="V20"/>
    </row>
    <row r="21" spans="1:22" x14ac:dyDescent="0.3">
      <c r="T21"/>
      <c r="U21"/>
      <c r="V21"/>
    </row>
    <row r="22" spans="1:22" x14ac:dyDescent="0.3">
      <c r="T22"/>
      <c r="U22"/>
      <c r="V22"/>
    </row>
    <row r="23" spans="1:22" customFormat="1" x14ac:dyDescent="0.3">
      <c r="A23" s="99" t="s">
        <v>39</v>
      </c>
      <c r="B23" s="99"/>
      <c r="C23" s="99"/>
      <c r="D23" s="99"/>
      <c r="E23" s="99"/>
      <c r="F23" s="99"/>
      <c r="G23" s="105"/>
    </row>
    <row r="24" spans="1:22" customFormat="1" x14ac:dyDescent="0.3">
      <c r="A24" s="2" t="s">
        <v>43</v>
      </c>
      <c r="B24" s="2" t="s">
        <v>38</v>
      </c>
      <c r="C24" s="2" t="s">
        <v>31</v>
      </c>
      <c r="D24" s="2" t="s">
        <v>9</v>
      </c>
      <c r="E24" s="2" t="s">
        <v>40</v>
      </c>
      <c r="F24" s="2" t="s">
        <v>36</v>
      </c>
      <c r="G24" s="2" t="s">
        <v>11</v>
      </c>
    </row>
    <row r="25" spans="1:22" customFormat="1" x14ac:dyDescent="0.3">
      <c r="A25" s="3">
        <v>0</v>
      </c>
      <c r="B25" s="3">
        <v>0</v>
      </c>
      <c r="C25" s="3">
        <v>0</v>
      </c>
      <c r="D25" s="3">
        <v>0</v>
      </c>
      <c r="E25" s="3">
        <v>0</v>
      </c>
      <c r="F25" s="7">
        <v>0</v>
      </c>
      <c r="G25" s="7">
        <v>0</v>
      </c>
    </row>
    <row r="26" spans="1:22" customFormat="1" x14ac:dyDescent="0.3">
      <c r="A26" s="21"/>
      <c r="B26" s="4">
        <v>45620.012048611112</v>
      </c>
      <c r="C26" s="10">
        <v>3.5198272727272726</v>
      </c>
      <c r="D26" s="2">
        <v>0.7</v>
      </c>
      <c r="E26" s="2">
        <v>3.41</v>
      </c>
      <c r="F26" s="5">
        <f t="shared" ref="F26:F29" si="13">E26*D26/5</f>
        <v>0.47739999999999999</v>
      </c>
      <c r="G26" s="9">
        <f t="shared" ref="G26:G29" si="14">C26*D26 - E26*D26 - (C26*D26 + E26*D26)*0.05%</f>
        <v>7.4453651363636297E-2</v>
      </c>
    </row>
    <row r="27" spans="1:22" customFormat="1" x14ac:dyDescent="0.3">
      <c r="A27" s="21"/>
      <c r="B27" s="4">
        <v>45620.781956018516</v>
      </c>
      <c r="C27" s="10">
        <v>3.5198272727272726</v>
      </c>
      <c r="D27" s="2">
        <v>0.8</v>
      </c>
      <c r="E27" s="2">
        <v>3.1661999999999999</v>
      </c>
      <c r="F27" s="5">
        <f t="shared" si="13"/>
        <v>0.50659200000000004</v>
      </c>
      <c r="G27" s="9">
        <f t="shared" si="14"/>
        <v>0.28022740727272721</v>
      </c>
    </row>
    <row r="28" spans="1:22" customFormat="1" x14ac:dyDescent="0.3">
      <c r="A28" s="21"/>
      <c r="B28" s="4"/>
      <c r="C28" s="2"/>
      <c r="D28" s="2"/>
      <c r="E28" s="2"/>
      <c r="F28" s="5">
        <f t="shared" si="13"/>
        <v>0</v>
      </c>
      <c r="G28" s="9">
        <f t="shared" si="14"/>
        <v>0</v>
      </c>
    </row>
    <row r="29" spans="1:22" customFormat="1" x14ac:dyDescent="0.3">
      <c r="A29" s="21"/>
      <c r="B29" s="4"/>
      <c r="C29" s="2"/>
      <c r="D29" s="2"/>
      <c r="E29" s="2"/>
      <c r="F29" s="5">
        <f t="shared" si="13"/>
        <v>0</v>
      </c>
      <c r="G29" s="9">
        <f t="shared" si="14"/>
        <v>0</v>
      </c>
    </row>
    <row r="30" spans="1:22" customFormat="1" x14ac:dyDescent="0.3">
      <c r="A30" s="21"/>
      <c r="B30" s="4"/>
      <c r="C30" s="2"/>
      <c r="D30" s="2"/>
      <c r="E30" s="2"/>
      <c r="F30" s="5">
        <f t="shared" ref="F30" si="15">E30*D30/5</f>
        <v>0</v>
      </c>
      <c r="G30" s="9">
        <f t="shared" ref="G30" si="16">C30*D30 - E30*D30 - (C30*D30 + E30*D30)*0.05%</f>
        <v>0</v>
      </c>
    </row>
    <row r="31" spans="1:22" customFormat="1" x14ac:dyDescent="0.3">
      <c r="A31" s="21"/>
      <c r="B31" s="4"/>
      <c r="C31" s="2"/>
      <c r="D31" s="2"/>
      <c r="E31" s="2"/>
      <c r="F31" s="5">
        <f t="shared" ref="F31:F32" si="17">E31*D31/5</f>
        <v>0</v>
      </c>
      <c r="G31" s="9">
        <f t="shared" ref="G31:G32" si="18">C31*D31 - E31*D31 - (C31*D31 + E31*D31)*0.05%</f>
        <v>0</v>
      </c>
    </row>
    <row r="32" spans="1:22" customFormat="1" x14ac:dyDescent="0.3">
      <c r="A32" s="21"/>
      <c r="B32" s="4"/>
      <c r="C32" s="2"/>
      <c r="D32" s="2"/>
      <c r="E32" s="2"/>
      <c r="F32" s="5">
        <f t="shared" si="17"/>
        <v>0</v>
      </c>
      <c r="G32" s="9">
        <f t="shared" si="18"/>
        <v>0</v>
      </c>
    </row>
    <row r="33" spans="1:22" customFormat="1" x14ac:dyDescent="0.3">
      <c r="A33" s="21"/>
      <c r="B33" s="4"/>
      <c r="C33" s="2"/>
      <c r="D33" s="2"/>
      <c r="E33" s="2"/>
      <c r="F33" s="5">
        <f t="shared" ref="F33:F35" si="19">E33*D33/5</f>
        <v>0</v>
      </c>
      <c r="G33" s="9">
        <f t="shared" ref="G33:G35" si="20">C33*D33 - E33*D33 - (C33*D33 + E33*D33)*0.05%</f>
        <v>0</v>
      </c>
    </row>
    <row r="34" spans="1:22" customFormat="1" x14ac:dyDescent="0.3">
      <c r="A34" s="21"/>
      <c r="B34" s="4"/>
      <c r="C34" s="2"/>
      <c r="D34" s="2"/>
      <c r="E34" s="2"/>
      <c r="F34" s="5">
        <f t="shared" si="19"/>
        <v>0</v>
      </c>
      <c r="G34" s="9">
        <f t="shared" si="20"/>
        <v>0</v>
      </c>
    </row>
    <row r="35" spans="1:22" customFormat="1" x14ac:dyDescent="0.3">
      <c r="A35" s="21"/>
      <c r="B35" s="4"/>
      <c r="C35" s="2"/>
      <c r="D35" s="2"/>
      <c r="E35" s="2"/>
      <c r="F35" s="5">
        <f t="shared" si="19"/>
        <v>0</v>
      </c>
      <c r="G35" s="9">
        <f t="shared" si="20"/>
        <v>0</v>
      </c>
    </row>
    <row r="36" spans="1:22" customFormat="1" x14ac:dyDescent="0.3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</row>
    <row r="37" spans="1:22" customFormat="1" x14ac:dyDescent="0.3">
      <c r="A37" s="103" t="s">
        <v>41</v>
      </c>
      <c r="B37" s="103"/>
      <c r="C37" s="103"/>
      <c r="D37" s="103"/>
      <c r="E37" s="103"/>
      <c r="F37" s="104"/>
      <c r="G37" s="9">
        <f>SUM(G25:G36)</f>
        <v>0.35468105863636351</v>
      </c>
    </row>
    <row r="38" spans="1:22" x14ac:dyDescent="0.3">
      <c r="T38"/>
      <c r="U38"/>
      <c r="V38"/>
    </row>
    <row r="39" spans="1:22" x14ac:dyDescent="0.3">
      <c r="T39"/>
      <c r="U39"/>
      <c r="V39"/>
    </row>
    <row r="40" spans="1:22" x14ac:dyDescent="0.3">
      <c r="T40"/>
      <c r="U40"/>
      <c r="V40"/>
    </row>
    <row r="41" spans="1:22" x14ac:dyDescent="0.3">
      <c r="T41"/>
      <c r="U41"/>
      <c r="V41"/>
    </row>
  </sheetData>
  <mergeCells count="12">
    <mergeCell ref="A1:V1"/>
    <mergeCell ref="A20:C20"/>
    <mergeCell ref="A37:F37"/>
    <mergeCell ref="D18:E18"/>
    <mergeCell ref="D19:E19"/>
    <mergeCell ref="D20:E20"/>
    <mergeCell ref="A23:G23"/>
    <mergeCell ref="A17:C17"/>
    <mergeCell ref="A18:C18"/>
    <mergeCell ref="A19:C19"/>
    <mergeCell ref="F2:M2"/>
    <mergeCell ref="O2:Q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6265A-6CB3-4E0E-BBEB-1007F11DD0B4}">
  <dimension ref="A1:F22"/>
  <sheetViews>
    <sheetView zoomScale="160" zoomScaleNormal="160" workbookViewId="0">
      <selection activeCell="C10" sqref="C10"/>
    </sheetView>
  </sheetViews>
  <sheetFormatPr defaultRowHeight="14" x14ac:dyDescent="0.3"/>
  <cols>
    <col min="1" max="2" width="10.08203125" style="1" bestFit="1" customWidth="1"/>
    <col min="3" max="3" width="9.08203125" style="1" bestFit="1" customWidth="1"/>
    <col min="4" max="4" width="8.6640625" style="1"/>
    <col min="5" max="5" width="7.08203125" style="1" bestFit="1" customWidth="1"/>
    <col min="6" max="16384" width="8.6640625" style="1"/>
  </cols>
  <sheetData>
    <row r="1" spans="1:6" x14ac:dyDescent="0.3">
      <c r="A1" s="76" t="s">
        <v>104</v>
      </c>
      <c r="B1" s="77"/>
      <c r="C1" s="77"/>
      <c r="D1" s="78"/>
    </row>
    <row r="2" spans="1:6" x14ac:dyDescent="0.3">
      <c r="A2" s="24" t="s">
        <v>101</v>
      </c>
      <c r="B2" s="24" t="s">
        <v>25</v>
      </c>
      <c r="C2" s="24" t="s">
        <v>9</v>
      </c>
      <c r="D2" s="1" t="s">
        <v>102</v>
      </c>
    </row>
    <row r="3" spans="1:6" x14ac:dyDescent="0.3">
      <c r="A3" s="3">
        <v>0</v>
      </c>
      <c r="B3" s="3">
        <v>0</v>
      </c>
      <c r="C3" s="3">
        <v>0</v>
      </c>
      <c r="D3" s="3">
        <v>0</v>
      </c>
    </row>
    <row r="4" spans="1:6" x14ac:dyDescent="0.3">
      <c r="A4" s="44">
        <f>ROW()-3</f>
        <v>1</v>
      </c>
      <c r="B4" s="55">
        <v>1.23991E-2</v>
      </c>
      <c r="C4" s="2">
        <v>1259</v>
      </c>
      <c r="D4" s="2">
        <f>B4*C4</f>
        <v>15.6104669</v>
      </c>
    </row>
    <row r="5" spans="1:6" x14ac:dyDescent="0.3">
      <c r="A5" s="44">
        <f>ROW()-3</f>
        <v>2</v>
      </c>
      <c r="B5" s="55">
        <v>1.0663300000000001E-2</v>
      </c>
      <c r="C5" s="2">
        <v>1381</v>
      </c>
      <c r="D5" s="2">
        <f>B5*C5</f>
        <v>14.726017300000001</v>
      </c>
    </row>
    <row r="6" spans="1:6" x14ac:dyDescent="0.3">
      <c r="A6" s="44">
        <f>ROW()-3</f>
        <v>3</v>
      </c>
      <c r="B6" s="55">
        <v>1.10743E-2</v>
      </c>
      <c r="C6" s="2">
        <v>0</v>
      </c>
      <c r="D6" s="2">
        <f>B6*C6</f>
        <v>0</v>
      </c>
    </row>
    <row r="7" spans="1:6" x14ac:dyDescent="0.3">
      <c r="A7" s="44">
        <f>ROW()-3</f>
        <v>4</v>
      </c>
      <c r="B7" s="55">
        <v>1.10743E-2</v>
      </c>
      <c r="C7" s="2">
        <v>0</v>
      </c>
      <c r="D7" s="2">
        <f>B7*C7</f>
        <v>0</v>
      </c>
    </row>
    <row r="8" spans="1:6" x14ac:dyDescent="0.3">
      <c r="A8" s="3">
        <v>0</v>
      </c>
      <c r="B8" s="3">
        <v>0</v>
      </c>
      <c r="C8" s="3">
        <v>0</v>
      </c>
      <c r="D8" s="3">
        <v>0</v>
      </c>
    </row>
    <row r="9" spans="1:6" x14ac:dyDescent="0.3">
      <c r="A9" s="2" t="s">
        <v>29</v>
      </c>
      <c r="B9" s="1" t="s">
        <v>103</v>
      </c>
      <c r="C9" s="2" t="s">
        <v>67</v>
      </c>
      <c r="D9" s="2" t="s">
        <v>26</v>
      </c>
      <c r="E9" s="2" t="s">
        <v>27</v>
      </c>
      <c r="F9" s="2" t="s">
        <v>28</v>
      </c>
    </row>
    <row r="10" spans="1:6" x14ac:dyDescent="0.3">
      <c r="A10" s="55">
        <f>C10/B10</f>
        <v>1.1491092500000001E-2</v>
      </c>
      <c r="B10" s="2">
        <f>SUM($C$3:$C$8)</f>
        <v>2640</v>
      </c>
      <c r="C10" s="9">
        <f>SUM($D$3:$D$8)</f>
        <v>30.336484200000001</v>
      </c>
      <c r="D10" s="15">
        <v>2.1000000000000001E-2</v>
      </c>
      <c r="E10" s="9">
        <f>A10*(1+D10)</f>
        <v>1.17324054425E-2</v>
      </c>
      <c r="F10" s="9">
        <f>C10*D10</f>
        <v>0.63706616820000006</v>
      </c>
    </row>
    <row r="13" spans="1:6" x14ac:dyDescent="0.3">
      <c r="A13" s="100" t="s">
        <v>105</v>
      </c>
      <c r="B13" s="101"/>
      <c r="C13" s="101"/>
      <c r="D13" s="102"/>
    </row>
    <row r="14" spans="1:6" x14ac:dyDescent="0.3">
      <c r="A14" s="24" t="s">
        <v>101</v>
      </c>
      <c r="B14" s="24" t="s">
        <v>25</v>
      </c>
      <c r="C14" s="24" t="s">
        <v>9</v>
      </c>
      <c r="D14" s="1" t="s">
        <v>102</v>
      </c>
    </row>
    <row r="15" spans="1:6" x14ac:dyDescent="0.3">
      <c r="A15" s="3">
        <v>0</v>
      </c>
      <c r="B15" s="3">
        <v>0</v>
      </c>
      <c r="C15" s="3">
        <v>0</v>
      </c>
      <c r="D15" s="3">
        <v>0</v>
      </c>
    </row>
    <row r="16" spans="1:6" x14ac:dyDescent="0.3">
      <c r="A16" s="44">
        <f>ROW()-3</f>
        <v>13</v>
      </c>
      <c r="B16" s="55">
        <v>1.10743E-2</v>
      </c>
      <c r="C16" s="2">
        <v>0.4</v>
      </c>
      <c r="D16" s="2">
        <f>B16*C16</f>
        <v>4.4297200000000007E-3</v>
      </c>
    </row>
    <row r="17" spans="1:6" x14ac:dyDescent="0.3">
      <c r="A17" s="44">
        <f>ROW()-3</f>
        <v>14</v>
      </c>
      <c r="B17" s="55">
        <v>1.10743E-2</v>
      </c>
      <c r="C17" s="2">
        <v>1.8</v>
      </c>
      <c r="D17" s="2">
        <f>B17*C17</f>
        <v>1.9933740000000002E-2</v>
      </c>
    </row>
    <row r="18" spans="1:6" x14ac:dyDescent="0.3">
      <c r="A18" s="44">
        <f>ROW()-3</f>
        <v>15</v>
      </c>
      <c r="B18" s="55">
        <v>1.10743E-2</v>
      </c>
      <c r="C18" s="2">
        <v>0</v>
      </c>
      <c r="D18" s="2">
        <f>B18*C18</f>
        <v>0</v>
      </c>
    </row>
    <row r="19" spans="1:6" x14ac:dyDescent="0.3">
      <c r="A19" s="44">
        <f>ROW()-3</f>
        <v>16</v>
      </c>
      <c r="B19" s="55">
        <v>1.10743E-2</v>
      </c>
      <c r="C19" s="2">
        <v>0</v>
      </c>
      <c r="D19" s="2">
        <f>B19*C19</f>
        <v>0</v>
      </c>
    </row>
    <row r="20" spans="1:6" x14ac:dyDescent="0.3">
      <c r="A20" s="3">
        <v>0</v>
      </c>
      <c r="B20" s="3">
        <v>0</v>
      </c>
      <c r="C20" s="3">
        <v>0</v>
      </c>
      <c r="D20" s="3">
        <v>0</v>
      </c>
    </row>
    <row r="21" spans="1:6" x14ac:dyDescent="0.3">
      <c r="A21" s="2" t="s">
        <v>29</v>
      </c>
      <c r="B21" s="1" t="s">
        <v>103</v>
      </c>
      <c r="C21" s="2" t="s">
        <v>67</v>
      </c>
      <c r="D21" s="2" t="s">
        <v>26</v>
      </c>
      <c r="E21" s="2" t="s">
        <v>27</v>
      </c>
      <c r="F21" s="2" t="s">
        <v>28</v>
      </c>
    </row>
    <row r="22" spans="1:6" x14ac:dyDescent="0.3">
      <c r="A22" s="10">
        <f>C22/B22</f>
        <v>1.10743E-2</v>
      </c>
      <c r="B22" s="2">
        <f>SUM($C$15:$C$20)</f>
        <v>2.2000000000000002</v>
      </c>
      <c r="C22" s="9">
        <f>SUM($D$15:$D$20)</f>
        <v>2.4363460000000003E-2</v>
      </c>
      <c r="D22" s="15">
        <v>2.1000000000000001E-2</v>
      </c>
      <c r="E22" s="9">
        <f>A22*(1-D22)</f>
        <v>1.08417397E-2</v>
      </c>
      <c r="F22" s="9">
        <f>C22*D22</f>
        <v>5.1163266000000011E-4</v>
      </c>
    </row>
  </sheetData>
  <mergeCells count="2">
    <mergeCell ref="A1:D1"/>
    <mergeCell ref="A13:D1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35FF-2336-49D8-827C-B6DACC59E2C7}">
  <dimension ref="B1:M22"/>
  <sheetViews>
    <sheetView tabSelected="1" topLeftCell="F7" zoomScale="175" zoomScaleNormal="175" workbookViewId="0">
      <selection activeCell="J18" sqref="J18"/>
    </sheetView>
  </sheetViews>
  <sheetFormatPr defaultRowHeight="14" x14ac:dyDescent="0.3"/>
  <cols>
    <col min="1" max="9" width="8.6640625" style="1"/>
    <col min="10" max="10" width="11.1640625" style="1" bestFit="1" customWidth="1"/>
    <col min="11" max="12" width="12.33203125" style="1" bestFit="1" customWidth="1"/>
    <col min="13" max="16384" width="8.6640625" style="1"/>
  </cols>
  <sheetData>
    <row r="1" spans="2:12" x14ac:dyDescent="0.3">
      <c r="B1" s="84" t="s">
        <v>5</v>
      </c>
      <c r="C1" s="84"/>
      <c r="E1" s="70" t="s">
        <v>6</v>
      </c>
      <c r="F1" s="70"/>
      <c r="I1" s="107" t="s">
        <v>7</v>
      </c>
      <c r="J1" s="107"/>
    </row>
    <row r="2" spans="2:12" x14ac:dyDescent="0.3">
      <c r="B2" s="12">
        <v>0.19</v>
      </c>
      <c r="C2" s="9">
        <f t="shared" ref="C2:C9" si="0">C$10*(1+$B2)</f>
        <v>4.2110216842105261</v>
      </c>
      <c r="E2" s="12">
        <v>0.19</v>
      </c>
      <c r="F2" s="9">
        <f t="shared" ref="F2:F9" si="1">F$10*(1+$E2)</f>
        <v>3.6957727912932139</v>
      </c>
      <c r="I2" s="12">
        <v>5.0999999999999997E-2</v>
      </c>
      <c r="J2" s="57">
        <f>J$10*(1+$I2)</f>
        <v>1.14930003E-2</v>
      </c>
    </row>
    <row r="3" spans="2:12" x14ac:dyDescent="0.3">
      <c r="B3" s="12" t="s">
        <v>1</v>
      </c>
      <c r="C3" s="9">
        <f t="shared" si="0"/>
        <v>4.0694747368421051</v>
      </c>
      <c r="E3" s="12" t="s">
        <v>1</v>
      </c>
      <c r="F3" s="9">
        <f t="shared" si="1"/>
        <v>3.571545134443022</v>
      </c>
      <c r="I3" s="12">
        <v>6.0999999999999999E-2</v>
      </c>
      <c r="J3" s="57">
        <f>J$10*(1+$I3)</f>
        <v>1.16023533E-2</v>
      </c>
    </row>
    <row r="4" spans="2:12" x14ac:dyDescent="0.3">
      <c r="B4" s="12" t="s">
        <v>4</v>
      </c>
      <c r="C4" s="9">
        <f t="shared" si="0"/>
        <v>3.8925410526315796</v>
      </c>
      <c r="E4" s="12" t="s">
        <v>4</v>
      </c>
      <c r="F4" s="9">
        <f t="shared" si="1"/>
        <v>3.4162605633802823</v>
      </c>
      <c r="I4" s="12">
        <v>0.10100000000000001</v>
      </c>
      <c r="J4" s="57">
        <f t="shared" ref="J4:J9" si="2">J$10*(1+$I4)</f>
        <v>1.20397653E-2</v>
      </c>
    </row>
    <row r="5" spans="2:12" x14ac:dyDescent="0.3">
      <c r="B5" s="12" t="s">
        <v>50</v>
      </c>
      <c r="C5" s="9">
        <f t="shared" si="0"/>
        <v>3.7191460421052631</v>
      </c>
      <c r="E5" s="12" t="s">
        <v>50</v>
      </c>
      <c r="F5" s="9">
        <f t="shared" si="1"/>
        <v>3.2640816837387967</v>
      </c>
      <c r="I5" s="12">
        <v>9.0999999999999998E-2</v>
      </c>
      <c r="J5" s="57">
        <f t="shared" si="2"/>
        <v>1.19304123E-2</v>
      </c>
    </row>
    <row r="6" spans="2:12" x14ac:dyDescent="0.3">
      <c r="B6" s="12" t="s">
        <v>51</v>
      </c>
      <c r="C6" s="9">
        <f t="shared" si="0"/>
        <v>3.6483725684210526</v>
      </c>
      <c r="E6" s="12" t="s">
        <v>51</v>
      </c>
      <c r="F6" s="9">
        <f t="shared" si="1"/>
        <v>3.2019678553137005</v>
      </c>
      <c r="I6" s="33">
        <v>1.0999999999999999E-2</v>
      </c>
      <c r="J6" s="58">
        <f t="shared" si="2"/>
        <v>1.1055588299999999E-2</v>
      </c>
      <c r="K6" s="10">
        <f>J7</f>
        <v>1.1700771E-2</v>
      </c>
      <c r="L6" s="10">
        <f>K6*1.01</f>
        <v>1.1817778710000001E-2</v>
      </c>
    </row>
    <row r="7" spans="2:12" x14ac:dyDescent="0.3">
      <c r="B7" s="12" t="s">
        <v>52</v>
      </c>
      <c r="C7" s="9">
        <f t="shared" si="0"/>
        <v>3.6129858315789471</v>
      </c>
      <c r="E7" s="12" t="s">
        <v>52</v>
      </c>
      <c r="F7" s="9">
        <f t="shared" si="1"/>
        <v>3.1709109411011527</v>
      </c>
      <c r="I7" s="34">
        <v>7.0000000000000007E-2</v>
      </c>
      <c r="J7" s="59">
        <f t="shared" si="2"/>
        <v>1.1700771E-2</v>
      </c>
      <c r="K7" s="3" t="s">
        <v>74</v>
      </c>
      <c r="L7" s="3" t="s">
        <v>72</v>
      </c>
    </row>
    <row r="8" spans="2:12" x14ac:dyDescent="0.3">
      <c r="B8" s="12" t="s">
        <v>53</v>
      </c>
      <c r="C8" s="9">
        <f t="shared" si="0"/>
        <v>3.5775990947368421</v>
      </c>
      <c r="E8" s="12" t="s">
        <v>53</v>
      </c>
      <c r="F8" s="9">
        <f t="shared" si="1"/>
        <v>3.1398540268886044</v>
      </c>
      <c r="H8" s="16" t="s">
        <v>78</v>
      </c>
      <c r="I8" s="29">
        <v>2.1000000000000001E-2</v>
      </c>
      <c r="J8" s="60">
        <f t="shared" si="2"/>
        <v>1.11649413E-2</v>
      </c>
      <c r="K8" s="18">
        <f>J9</f>
        <v>1.1044653E-2</v>
      </c>
      <c r="L8" s="18">
        <f>K8*1.021</f>
        <v>1.1276590712999999E-2</v>
      </c>
    </row>
    <row r="9" spans="2:12" x14ac:dyDescent="0.3">
      <c r="B9" s="12" t="s">
        <v>54</v>
      </c>
      <c r="C9" s="9">
        <f t="shared" si="0"/>
        <v>3.5422123578947367</v>
      </c>
      <c r="E9" s="12" t="s">
        <v>54</v>
      </c>
      <c r="F9" s="9">
        <f t="shared" si="1"/>
        <v>3.1087971126760565</v>
      </c>
      <c r="I9" s="35">
        <v>0.01</v>
      </c>
      <c r="J9" s="61">
        <f t="shared" si="2"/>
        <v>1.1044653E-2</v>
      </c>
      <c r="K9" s="17" t="s">
        <v>85</v>
      </c>
      <c r="L9" s="17" t="s">
        <v>76</v>
      </c>
    </row>
    <row r="10" spans="2:12" x14ac:dyDescent="0.3">
      <c r="B10" s="17" t="s">
        <v>30</v>
      </c>
      <c r="C10" s="18">
        <f>多仓!D15</f>
        <v>3.5386736842105266</v>
      </c>
      <c r="E10" s="19" t="s">
        <v>32</v>
      </c>
      <c r="F10" s="20">
        <f>空仓!D18</f>
        <v>3.1056914212548019</v>
      </c>
      <c r="I10" s="13" t="s">
        <v>0</v>
      </c>
      <c r="J10" s="56">
        <v>1.09353E-2</v>
      </c>
    </row>
    <row r="11" spans="2:12" x14ac:dyDescent="0.3">
      <c r="B11" s="12" t="s">
        <v>55</v>
      </c>
      <c r="C11" s="9">
        <f t="shared" ref="C11:C18" si="3">C$10*(1+$B11)</f>
        <v>3.5351350105263162</v>
      </c>
      <c r="E11" s="12" t="s">
        <v>55</v>
      </c>
      <c r="F11" s="9">
        <f t="shared" ref="F11:F18" si="4">F$10*(1+$E11)</f>
        <v>3.1025857298335473</v>
      </c>
      <c r="I11" s="36">
        <v>-0.01</v>
      </c>
      <c r="J11" s="62">
        <f>J$10*(1+$I11)</f>
        <v>1.0825947000000001E-2</v>
      </c>
      <c r="K11" s="19" t="s">
        <v>86</v>
      </c>
      <c r="L11" s="19" t="s">
        <v>75</v>
      </c>
    </row>
    <row r="12" spans="2:12" x14ac:dyDescent="0.3">
      <c r="B12" s="12" t="s">
        <v>56</v>
      </c>
      <c r="C12" s="9">
        <f t="shared" si="3"/>
        <v>3.4997482736842107</v>
      </c>
      <c r="E12" s="12" t="s">
        <v>56</v>
      </c>
      <c r="F12" s="9">
        <f t="shared" si="4"/>
        <v>3.071528815620999</v>
      </c>
      <c r="H12" s="16" t="s">
        <v>79</v>
      </c>
      <c r="I12" s="29">
        <v>-2.1000000000000001E-2</v>
      </c>
      <c r="J12" s="60">
        <f>J$10*(1+$I12)</f>
        <v>1.0705658700000001E-2</v>
      </c>
      <c r="K12" s="20">
        <f>J11</f>
        <v>1.0825947000000001E-2</v>
      </c>
      <c r="L12" s="20">
        <f>K12*0.979</f>
        <v>1.0598602113E-2</v>
      </c>
    </row>
    <row r="13" spans="2:12" x14ac:dyDescent="0.3">
      <c r="B13" s="12" t="s">
        <v>57</v>
      </c>
      <c r="C13" s="9">
        <f t="shared" si="3"/>
        <v>3.4643615368421057</v>
      </c>
      <c r="E13" s="12" t="s">
        <v>57</v>
      </c>
      <c r="F13" s="9">
        <f t="shared" si="4"/>
        <v>3.0404719014084511</v>
      </c>
      <c r="I13" s="37">
        <v>-3.1E-2</v>
      </c>
      <c r="J13" s="63">
        <f t="shared" ref="J13:J18" si="5">J$10*(1+$I13)</f>
        <v>1.0596305699999999E-2</v>
      </c>
      <c r="K13" s="3" t="s">
        <v>73</v>
      </c>
      <c r="L13" s="3" t="s">
        <v>77</v>
      </c>
    </row>
    <row r="14" spans="2:12" x14ac:dyDescent="0.3">
      <c r="B14" s="12" t="s">
        <v>58</v>
      </c>
      <c r="C14" s="9">
        <f t="shared" si="3"/>
        <v>3.4289748000000002</v>
      </c>
      <c r="E14" s="12" t="s">
        <v>58</v>
      </c>
      <c r="F14" s="9">
        <f t="shared" si="4"/>
        <v>3.0094149871959028</v>
      </c>
      <c r="I14" s="12">
        <v>-5.0999999999999997E-2</v>
      </c>
      <c r="J14" s="57">
        <f t="shared" si="5"/>
        <v>1.03775997E-2</v>
      </c>
      <c r="K14" s="10">
        <f>J13</f>
        <v>1.0596305699999999E-2</v>
      </c>
      <c r="L14" s="10">
        <f>K14*0.979</f>
        <v>1.0373783280299999E-2</v>
      </c>
    </row>
    <row r="15" spans="2:12" x14ac:dyDescent="0.3">
      <c r="B15" s="12" t="s">
        <v>59</v>
      </c>
      <c r="C15" s="9">
        <f t="shared" si="3"/>
        <v>3.3582013263157897</v>
      </c>
      <c r="E15" s="12" t="s">
        <v>59</v>
      </c>
      <c r="F15" s="9">
        <f t="shared" si="4"/>
        <v>2.9473011587708067</v>
      </c>
      <c r="I15" s="12">
        <v>-7.0999999999999994E-2</v>
      </c>
      <c r="J15" s="57">
        <f t="shared" si="5"/>
        <v>1.0158893700000001E-2</v>
      </c>
    </row>
    <row r="16" spans="2:12" x14ac:dyDescent="0.3">
      <c r="B16" s="12" t="s">
        <v>3</v>
      </c>
      <c r="C16" s="9">
        <f t="shared" si="3"/>
        <v>3.1848063157894742</v>
      </c>
      <c r="E16" s="12" t="s">
        <v>3</v>
      </c>
      <c r="F16" s="9">
        <f t="shared" si="4"/>
        <v>2.795122279129322</v>
      </c>
      <c r="I16" s="12">
        <v>-0.10100000000000001</v>
      </c>
      <c r="J16" s="57">
        <f t="shared" si="5"/>
        <v>9.8308347000000008E-3</v>
      </c>
    </row>
    <row r="17" spans="2:13" x14ac:dyDescent="0.3">
      <c r="B17" s="12" t="s">
        <v>2</v>
      </c>
      <c r="C17" s="9">
        <f t="shared" si="3"/>
        <v>3.0078726315789477</v>
      </c>
      <c r="E17" s="12" t="s">
        <v>2</v>
      </c>
      <c r="F17" s="9">
        <f t="shared" si="4"/>
        <v>2.6398377080665814</v>
      </c>
      <c r="I17" s="12">
        <v>-9.0999999999999998E-2</v>
      </c>
      <c r="J17" s="57">
        <f t="shared" si="5"/>
        <v>9.9401877000000003E-3</v>
      </c>
    </row>
    <row r="18" spans="2:13" x14ac:dyDescent="0.3">
      <c r="B18" s="12">
        <v>-0.19</v>
      </c>
      <c r="C18" s="9">
        <f t="shared" si="3"/>
        <v>2.8663256842105267</v>
      </c>
      <c r="E18" s="12">
        <v>-0.19</v>
      </c>
      <c r="F18" s="9">
        <f t="shared" si="4"/>
        <v>2.5156100512163899</v>
      </c>
      <c r="I18" s="12">
        <v>-0.34</v>
      </c>
      <c r="J18" s="57">
        <f t="shared" si="5"/>
        <v>7.2172979999999996E-3</v>
      </c>
    </row>
    <row r="21" spans="2:13" x14ac:dyDescent="0.3">
      <c r="I21" s="2" t="s">
        <v>101</v>
      </c>
      <c r="J21" s="42">
        <v>0.25</v>
      </c>
      <c r="K21" s="42">
        <v>0.33333333333333331</v>
      </c>
      <c r="L21" s="42">
        <v>0.5</v>
      </c>
      <c r="M21" s="42">
        <v>0.25</v>
      </c>
    </row>
    <row r="22" spans="2:13" x14ac:dyDescent="0.3">
      <c r="I22" s="2">
        <v>149</v>
      </c>
      <c r="J22" s="5">
        <f>$I22*J21</f>
        <v>37.25</v>
      </c>
      <c r="K22" s="5">
        <f>$I22*K21</f>
        <v>49.666666666666664</v>
      </c>
      <c r="L22" s="5">
        <f>$I22*L21</f>
        <v>74.5</v>
      </c>
      <c r="M22" s="5">
        <f>$I22*M21</f>
        <v>37.25</v>
      </c>
    </row>
  </sheetData>
  <mergeCells count="3">
    <mergeCell ref="B1:C1"/>
    <mergeCell ref="E1:F1"/>
    <mergeCell ref="I1:J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E9BA-EC0C-4788-9257-5F967EC0F3F5}">
  <dimension ref="A1:F7"/>
  <sheetViews>
    <sheetView workbookViewId="0">
      <selection activeCell="E12" sqref="E12"/>
    </sheetView>
  </sheetViews>
  <sheetFormatPr defaultRowHeight="14" x14ac:dyDescent="0.3"/>
  <cols>
    <col min="1" max="3" width="8.6640625" style="49"/>
    <col min="4" max="4" width="8.6640625" style="48"/>
    <col min="5" max="5" width="8.6640625" style="49"/>
    <col min="6" max="6" width="8.6640625" style="48"/>
    <col min="7" max="16384" width="8.6640625" style="1"/>
  </cols>
  <sheetData>
    <row r="1" spans="1:6" x14ac:dyDescent="0.3">
      <c r="A1" s="49" t="s">
        <v>116</v>
      </c>
      <c r="B1" s="49" t="s">
        <v>117</v>
      </c>
      <c r="C1" s="49" t="s">
        <v>118</v>
      </c>
      <c r="D1" s="48" t="s">
        <v>120</v>
      </c>
      <c r="E1" s="49" t="s">
        <v>119</v>
      </c>
      <c r="F1" s="48" t="s">
        <v>121</v>
      </c>
    </row>
    <row r="2" spans="1:6" x14ac:dyDescent="0.3">
      <c r="A2" s="49">
        <f>API!B3</f>
        <v>2.9649999999999999</v>
      </c>
      <c r="B2" s="49">
        <v>7.7999999999999996E-3</v>
      </c>
      <c r="C2" s="49">
        <f>A2+B2*3</f>
        <v>2.9883999999999999</v>
      </c>
      <c r="D2" s="48">
        <f>(C2-A2)/A2</f>
        <v>7.8920741989882259E-3</v>
      </c>
      <c r="E2" s="49">
        <f>A2-B2*2</f>
        <v>2.9493999999999998</v>
      </c>
      <c r="F2" s="48">
        <f>(E2-A2)/A2</f>
        <v>-5.2613827993254836E-3</v>
      </c>
    </row>
    <row r="6" spans="1:6" x14ac:dyDescent="0.3">
      <c r="A6" s="49" t="s">
        <v>116</v>
      </c>
      <c r="B6" s="49" t="s">
        <v>117</v>
      </c>
      <c r="C6" s="49" t="s">
        <v>118</v>
      </c>
      <c r="D6" s="48" t="s">
        <v>120</v>
      </c>
      <c r="E6" s="49" t="s">
        <v>119</v>
      </c>
      <c r="F6" s="48" t="s">
        <v>121</v>
      </c>
    </row>
    <row r="7" spans="1:6" x14ac:dyDescent="0.3">
      <c r="A7" s="49">
        <f>API!B3</f>
        <v>2.9649999999999999</v>
      </c>
      <c r="B7" s="49">
        <v>7.7999999999999996E-3</v>
      </c>
      <c r="C7" s="49">
        <f>A7-B7*3</f>
        <v>2.9415999999999998</v>
      </c>
      <c r="D7" s="48">
        <f>(A7-C7)/A7</f>
        <v>7.8920741989882259E-3</v>
      </c>
      <c r="E7" s="49">
        <f>A7+B7*2</f>
        <v>2.9805999999999999</v>
      </c>
      <c r="F7" s="48">
        <f>(A7-E7)/A7</f>
        <v>-5.2613827993254836E-3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0E979-3473-46D1-BB5B-7F20DC38C58E}">
  <dimension ref="A1:F21"/>
  <sheetViews>
    <sheetView workbookViewId="0">
      <selection activeCell="F6" sqref="F6"/>
    </sheetView>
  </sheetViews>
  <sheetFormatPr defaultRowHeight="14" x14ac:dyDescent="0.3"/>
  <cols>
    <col min="3" max="3" width="7.1640625" bestFit="1" customWidth="1"/>
    <col min="6" max="6" width="13.58203125" customWidth="1"/>
  </cols>
  <sheetData>
    <row r="1" spans="1:6" s="1" customFormat="1" x14ac:dyDescent="0.3"/>
    <row r="2" spans="1:6" s="1" customFormat="1" x14ac:dyDescent="0.3">
      <c r="A2" s="108" t="s">
        <v>66</v>
      </c>
      <c r="B2" s="108"/>
      <c r="C2" s="108"/>
    </row>
    <row r="3" spans="1:6" s="1" customFormat="1" x14ac:dyDescent="0.3">
      <c r="A3" s="2"/>
      <c r="B3" s="2" t="s">
        <v>64</v>
      </c>
      <c r="C3" s="2" t="s">
        <v>65</v>
      </c>
    </row>
    <row r="4" spans="1:6" s="1" customFormat="1" x14ac:dyDescent="0.3">
      <c r="A4" s="2" t="s">
        <v>61</v>
      </c>
      <c r="B4" s="10">
        <v>2.3694999999999999</v>
      </c>
      <c r="C4" s="10">
        <v>2.8542000000000001</v>
      </c>
    </row>
    <row r="5" spans="1:6" s="1" customFormat="1" x14ac:dyDescent="0.3">
      <c r="A5" s="2" t="s">
        <v>62</v>
      </c>
      <c r="B5" s="10">
        <v>2.4241999999999999</v>
      </c>
      <c r="C5" s="10">
        <v>3.1356999999999999</v>
      </c>
    </row>
    <row r="6" spans="1:6" s="1" customFormat="1" x14ac:dyDescent="0.3">
      <c r="A6" s="2" t="s">
        <v>63</v>
      </c>
      <c r="B6" s="12">
        <f>(B4-B5)/B4</f>
        <v>-2.3085039037771669E-2</v>
      </c>
      <c r="C6" s="12">
        <f>(C5-C4)/C4</f>
        <v>9.8626585382944387E-2</v>
      </c>
    </row>
    <row r="7" spans="1:6" s="1" customFormat="1" x14ac:dyDescent="0.3"/>
    <row r="8" spans="1:6" s="1" customFormat="1" x14ac:dyDescent="0.3"/>
    <row r="9" spans="1:6" s="1" customFormat="1" ht="43.5" customHeight="1" x14ac:dyDescent="0.3">
      <c r="A9" s="109" t="s">
        <v>97</v>
      </c>
      <c r="B9" s="110"/>
      <c r="C9" s="111"/>
      <c r="E9" s="112" t="s">
        <v>98</v>
      </c>
      <c r="F9" s="107"/>
    </row>
    <row r="10" spans="1:6" s="1" customFormat="1" x14ac:dyDescent="0.3">
      <c r="A10" s="2"/>
      <c r="B10" s="2" t="s">
        <v>87</v>
      </c>
      <c r="C10" s="2" t="s">
        <v>88</v>
      </c>
      <c r="E10" s="2" t="s">
        <v>87</v>
      </c>
      <c r="F10" s="2" t="s">
        <v>88</v>
      </c>
    </row>
    <row r="11" spans="1:6" s="1" customFormat="1" x14ac:dyDescent="0.3">
      <c r="A11" s="2" t="s">
        <v>89</v>
      </c>
      <c r="B11" s="2">
        <v>73600</v>
      </c>
      <c r="C11" s="2">
        <v>2.6985999999999999</v>
      </c>
      <c r="E11" s="2">
        <v>73620</v>
      </c>
      <c r="F11" s="2">
        <v>2.9721000000000002</v>
      </c>
    </row>
    <row r="12" spans="1:6" s="1" customFormat="1" x14ac:dyDescent="0.3">
      <c r="A12" s="2" t="s">
        <v>90</v>
      </c>
      <c r="B12" s="2">
        <v>67864</v>
      </c>
      <c r="C12" s="2">
        <v>2.0308000000000002</v>
      </c>
      <c r="E12" s="2">
        <v>59828</v>
      </c>
      <c r="F12" s="2">
        <v>1.9673</v>
      </c>
    </row>
    <row r="13" spans="1:6" s="1" customFormat="1" x14ac:dyDescent="0.3">
      <c r="A13" s="2" t="s">
        <v>91</v>
      </c>
      <c r="B13" s="12">
        <f>(B12-B11)/B11</f>
        <v>-7.7934782608695657E-2</v>
      </c>
      <c r="C13" s="12">
        <f>(C12-C11)/C11</f>
        <v>-0.24746164677981167</v>
      </c>
      <c r="E13" s="12">
        <f>(E11-E12)/E12</f>
        <v>0.23052751220164472</v>
      </c>
      <c r="F13" s="12">
        <f>(F11-F12)/F12</f>
        <v>0.51075077517409651</v>
      </c>
    </row>
    <row r="14" spans="1:6" s="1" customFormat="1" x14ac:dyDescent="0.3">
      <c r="A14" s="2" t="s">
        <v>96</v>
      </c>
      <c r="B14" s="81">
        <f>C13/B13</f>
        <v>3.1752400981510003</v>
      </c>
      <c r="C14" s="81"/>
      <c r="E14" s="113">
        <f>F13/E13</f>
        <v>2.21557405576536</v>
      </c>
      <c r="F14" s="114"/>
    </row>
    <row r="15" spans="1:6" s="1" customFormat="1" x14ac:dyDescent="0.3"/>
    <row r="16" spans="1:6" s="1" customFormat="1" x14ac:dyDescent="0.3">
      <c r="A16" s="107" t="s">
        <v>92</v>
      </c>
      <c r="B16" s="107"/>
      <c r="C16" s="107"/>
    </row>
    <row r="17" spans="1:3" s="1" customFormat="1" x14ac:dyDescent="0.3">
      <c r="A17" s="2"/>
      <c r="B17" s="2" t="s">
        <v>87</v>
      </c>
      <c r="C17" s="2" t="s">
        <v>88</v>
      </c>
    </row>
    <row r="18" spans="1:3" s="1" customFormat="1" x14ac:dyDescent="0.3">
      <c r="A18" s="2" t="s">
        <v>94</v>
      </c>
      <c r="B18" s="2">
        <v>68000</v>
      </c>
      <c r="C18" s="2"/>
    </row>
    <row r="19" spans="1:3" s="1" customFormat="1" x14ac:dyDescent="0.3">
      <c r="A19" s="2" t="s">
        <v>95</v>
      </c>
      <c r="B19" s="2">
        <v>60000</v>
      </c>
      <c r="C19" s="2"/>
    </row>
    <row r="20" spans="1:3" s="1" customFormat="1" x14ac:dyDescent="0.3">
      <c r="A20" s="2" t="s">
        <v>93</v>
      </c>
      <c r="B20" s="12">
        <f>(B19-B18)/B18</f>
        <v>-0.11764705882352941</v>
      </c>
      <c r="C20" s="12">
        <f>B20*3</f>
        <v>-0.3529411764705882</v>
      </c>
    </row>
    <row r="21" spans="1:3" s="1" customFormat="1" x14ac:dyDescent="0.3"/>
  </sheetData>
  <mergeCells count="6">
    <mergeCell ref="A2:C2"/>
    <mergeCell ref="A9:C9"/>
    <mergeCell ref="A16:C16"/>
    <mergeCell ref="B14:C14"/>
    <mergeCell ref="E9:F9"/>
    <mergeCell ref="E14:F1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FA2C3-6434-406E-9986-D88883E7B033}">
  <dimension ref="A1:B15"/>
  <sheetViews>
    <sheetView workbookViewId="0">
      <pane ySplit="1" topLeftCell="A2" activePane="bottomLeft" state="frozen"/>
      <selection pane="bottomLeft" activeCell="D9" sqref="D9"/>
    </sheetView>
  </sheetViews>
  <sheetFormatPr defaultRowHeight="14" x14ac:dyDescent="0.3"/>
  <cols>
    <col min="1" max="1" width="11.08203125" style="1" bestFit="1" customWidth="1"/>
    <col min="2" max="16384" width="8.6640625" style="1"/>
  </cols>
  <sheetData>
    <row r="1" spans="1:2" x14ac:dyDescent="0.3">
      <c r="A1" s="53" t="s">
        <v>129</v>
      </c>
      <c r="B1" s="54">
        <f>多仓!G34+空仓!G37</f>
        <v>0.35468105863636351</v>
      </c>
    </row>
    <row r="2" spans="1:2" x14ac:dyDescent="0.3">
      <c r="A2" s="2" t="s">
        <v>17</v>
      </c>
      <c r="B2" s="2" t="s">
        <v>18</v>
      </c>
    </row>
    <row r="3" spans="1:2" x14ac:dyDescent="0.3">
      <c r="A3" s="3">
        <v>0</v>
      </c>
      <c r="B3" s="3">
        <v>0</v>
      </c>
    </row>
    <row r="4" spans="1:2" x14ac:dyDescent="0.3">
      <c r="A4" s="22">
        <f t="shared" ref="A4:A10" si="0">DATE(2024, 11, 18) + ROW() - 4</f>
        <v>45614</v>
      </c>
      <c r="B4" s="2">
        <v>0.4</v>
      </c>
    </row>
    <row r="5" spans="1:2" x14ac:dyDescent="0.3">
      <c r="A5" s="22">
        <f t="shared" si="0"/>
        <v>45615</v>
      </c>
      <c r="B5" s="2">
        <v>9.8699999999999996E-2</v>
      </c>
    </row>
    <row r="6" spans="1:2" x14ac:dyDescent="0.3">
      <c r="A6" s="22">
        <f t="shared" si="0"/>
        <v>45616</v>
      </c>
      <c r="B6" s="2">
        <v>0.67593450999999949</v>
      </c>
    </row>
    <row r="7" spans="1:2" x14ac:dyDescent="0.3">
      <c r="A7" s="22">
        <f t="shared" si="0"/>
        <v>45617</v>
      </c>
      <c r="B7" s="2">
        <v>0</v>
      </c>
    </row>
    <row r="8" spans="1:2" x14ac:dyDescent="0.3">
      <c r="A8" s="22">
        <f t="shared" si="0"/>
        <v>45618</v>
      </c>
      <c r="B8" s="2">
        <v>0</v>
      </c>
    </row>
    <row r="9" spans="1:2" x14ac:dyDescent="0.3">
      <c r="A9" s="22">
        <f t="shared" si="0"/>
        <v>45619</v>
      </c>
      <c r="B9" s="2">
        <v>0.13900000000000001</v>
      </c>
    </row>
    <row r="10" spans="1:2" x14ac:dyDescent="0.3">
      <c r="A10" s="22">
        <f t="shared" si="0"/>
        <v>45620</v>
      </c>
      <c r="B10" s="2">
        <v>0</v>
      </c>
    </row>
    <row r="11" spans="1:2" x14ac:dyDescent="0.3">
      <c r="A11" s="3">
        <v>0</v>
      </c>
      <c r="B11" s="3">
        <v>0</v>
      </c>
    </row>
    <row r="12" spans="1:2" x14ac:dyDescent="0.3">
      <c r="A12" s="52" t="s">
        <v>125</v>
      </c>
      <c r="B12" s="3">
        <f>SUM(B3:B11)</f>
        <v>1.3136345099999995</v>
      </c>
    </row>
    <row r="13" spans="1:2" x14ac:dyDescent="0.3">
      <c r="A13" s="52" t="s">
        <v>126</v>
      </c>
      <c r="B13" s="3">
        <f>COUNT(B3:B11)-2</f>
        <v>7</v>
      </c>
    </row>
    <row r="14" spans="1:2" x14ac:dyDescent="0.3">
      <c r="A14" s="52" t="s">
        <v>127</v>
      </c>
      <c r="B14" s="8">
        <f>B12/B13</f>
        <v>0.18766207285714279</v>
      </c>
    </row>
    <row r="15" spans="1:2" x14ac:dyDescent="0.3">
      <c r="A15" s="52" t="s">
        <v>128</v>
      </c>
      <c r="B15" s="23">
        <f>((200+B12)/200)^(1/B13)-1</f>
        <v>9.3567977460673468E-4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B5CF-900F-4174-AC13-4CCF1DE3AFB2}">
  <dimension ref="A1:B9"/>
  <sheetViews>
    <sheetView workbookViewId="0">
      <pane ySplit="1" topLeftCell="A2" activePane="bottomLeft" state="frozen"/>
      <selection pane="bottomLeft" activeCell="F4" sqref="F4"/>
    </sheetView>
  </sheetViews>
  <sheetFormatPr defaultRowHeight="14" x14ac:dyDescent="0.3"/>
  <cols>
    <col min="1" max="1" width="11.08203125" style="1" bestFit="1" customWidth="1"/>
    <col min="2" max="16384" width="8.6640625" style="1"/>
  </cols>
  <sheetData>
    <row r="1" spans="1:2" x14ac:dyDescent="0.3">
      <c r="A1" s="53" t="s">
        <v>130</v>
      </c>
      <c r="B1" s="26">
        <f>'2024-11'!B12</f>
        <v>1.3136345099999995</v>
      </c>
    </row>
    <row r="2" spans="1:2" x14ac:dyDescent="0.3">
      <c r="A2" s="2" t="s">
        <v>80</v>
      </c>
      <c r="B2" s="2" t="s">
        <v>18</v>
      </c>
    </row>
    <row r="3" spans="1:2" x14ac:dyDescent="0.3">
      <c r="A3" s="3">
        <v>0</v>
      </c>
      <c r="B3" s="3">
        <v>0</v>
      </c>
    </row>
    <row r="4" spans="1:2" x14ac:dyDescent="0.3">
      <c r="A4" s="38">
        <v>202411</v>
      </c>
      <c r="B4" s="2">
        <v>108.8</v>
      </c>
    </row>
    <row r="5" spans="1:2" x14ac:dyDescent="0.3">
      <c r="A5" s="3">
        <v>0</v>
      </c>
      <c r="B5" s="3">
        <v>0</v>
      </c>
    </row>
    <row r="6" spans="1:2" x14ac:dyDescent="0.3">
      <c r="A6" s="3" t="s">
        <v>83</v>
      </c>
      <c r="B6" s="3">
        <f>SUM(B3:B5)</f>
        <v>108.8</v>
      </c>
    </row>
    <row r="7" spans="1:2" x14ac:dyDescent="0.3">
      <c r="A7" s="3" t="s">
        <v>81</v>
      </c>
      <c r="B7" s="3">
        <f>COUNT(B3:B5)-2</f>
        <v>1</v>
      </c>
    </row>
    <row r="8" spans="1:2" x14ac:dyDescent="0.3">
      <c r="A8" s="3" t="s">
        <v>82</v>
      </c>
      <c r="B8" s="8">
        <f>B6/B7</f>
        <v>108.8</v>
      </c>
    </row>
    <row r="9" spans="1:2" x14ac:dyDescent="0.3">
      <c r="A9" s="3" t="s">
        <v>84</v>
      </c>
      <c r="B9" s="23">
        <f>((2000+B6)/2000)^(1/B7)-1</f>
        <v>5.4400000000000004E-2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6 4 d 1 8 7 4 - e b a a - 4 3 7 f - 8 9 7 1 - 1 6 9 a e 2 4 0 2 a d a "   x m l n s = " h t t p : / / s c h e m a s . m i c r o s o f t . c o m / D a t a M a s h u p " > A A A A A P 4 D A A B Q S w M E F A A C A A g A v I y K W Y p U G w m m A A A A 9 g A A A B I A H A B D b 2 5 m a W c v U G F j a 2 F n Z S 5 4 b W w g o h g A K K A U A A A A A A A A A A A A A A A A A A A A A A A A A A A A h Y 9 L D o I w G I S v Q r q n D z B R y U 9 Z s B V j Y m L c N l C h E Y q h x R K v 5 s I j e Q U x i r p z O T P f J D P 3 6 w 2 S o a m 9 s + y M a n W M G K b I k z p v C 6 X L G P X 2 4 C 9 Q w m E j 8 q M o p T f C 2 k S D U T G q r D 1 F h D j n s A t x 2 5 U k o J S R f b b a 5 p V s h K + 0 s U L n E n 1 a x f 8 W 4 r B 7 j e E B Z u E M s / k S U y C T C Z n S X y A Y 9 z 7 T H x P S v r Z 9 J / m l 8 t M 1 k E k C e X / g D 1 B L A w Q U A A I A C A C 8 j I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I y K W a s D 5 P X 2 A A A A O w E A A B M A H A B G b 3 J t d W x h c y 9 T Z W N 0 a W 9 u M S 5 t I K I Y A C i g F A A A A A A A A A A A A A A A A A A A A A A A A A A A A C t O T S 7 J z M 9 T C I b Q h t a 8 X L x c x R m J R a k p C s p K B U W Z y a n 2 x Z W 5 S f k 5 t u G e b q H B L i F K C r Y K O a k l v F w K Q P B s 1 w Q g 1 6 s 4 P 0 / P J T + 5 N D c 1 r 0 Q j P D V J z z k / r w T I L t Z Q y i g p K S i 2 0 t d P L M j U S 8 r M S 8 x L T t V L z s 8 F 8 f X L j P V L M p O z U 4 v 0 s V q k q a k D s e X F 3 j X P e h c 9 2 b H r x c I V Q O u C U p P z i 1 L 0 Q v J D E p N y U j W A b o A p f D Z 7 y 7 M p O 5 / P a n m + c f f T e d 1 A t W A l e i F F i X n F a f l F u c 7 5 O a W 5 e S G V B a n F G s i m 6 l R X K 4 U l 5 p S m K u k o l A B l F f J K c 5 N S i 2 p r N X m 5 M v O w G m 4 N A F B L A Q I t A B Q A A g A I A L y M i l m K V B s J p g A A A P Y A A A A S A A A A A A A A A A A A A A A A A A A A A A B D b 2 5 m a W c v U G F j a 2 F n Z S 5 4 b W x Q S w E C L Q A U A A I A C A C 8 j I p Z D 8 r p q 6 Q A A A D p A A A A E w A A A A A A A A A A A A A A A A D y A A A A W 0 N v b n R l b n R f V H l w Z X N d L n h t b F B L A Q I t A B Q A A g A I A L y M i l m r A + T 1 9 g A A A D s B A A A T A A A A A A A A A A A A A A A A A O M B A A B G b 3 J t d W x h c y 9 T Z W N 0 a W 9 u M S 5 t U E s F B g A A A A A D A A M A w g A A A C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4 K A A A A A A A A P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y a W N l J T N G c 3 l t Y m 9 s J T N E V 0 l G V V N E V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x M D k 2 N j c y L W Z l O G E t N D A 1 Y S 0 4 Z j I 5 L T E w O D d i Z T A w Z T M x Z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w c m l j Z V 9 z e W 1 i b 2 x f V 0 l G V V N E V C I g L z 4 8 R W 5 0 c n k g V H l w Z T 0 i R m l s b G V k Q 2 9 t c G x l d G V S Z X N 1 b H R U b 1 d v c m t z a G V l d C I g V m F s d W U 9 I m w x I i A v P j x F b n R y e S B U e X B l P S J M b 2 F k Z W R U b 0 F u Y W x 5 c 2 l z U 2 V y d m l j Z X M i I F Z h b H V l P S J s M C I g L z 4 8 R W 5 0 c n k g V H l w Z T 0 i R m l s b E x h c 3 R V c G R h d G V k I i B W Y W x 1 Z T 0 i Z D I w M j Q t M T I t M T B U M D k 6 M z c 6 N T E u M z k w N z c 3 O V o i I C 8 + P E V u d H J 5 I F R 5 c G U 9 I k Z p b G x D b 2 x 1 b W 5 U e X B l c y I g V m F s d W U 9 I n N C Z 1 U 9 I i A v P j x F b n R y e S B U e X B l P S J G a W x s Q 2 9 s d W 1 u T m F t Z X M i I F Z h b H V l P S J z W y Z x d W 9 0 O 0 5 h b W U m c X V v d D s s J n F 1 b 3 Q 7 V m F s d W U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G a W x s U 3 R h d H V z I i B W Y W x 1 Z T 0 i c 1 d h a X R p b m d G b 3 J F e G N l b F J l Z n J l c 2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p Y 2 U / c 3 l t Y m 9 s P V d J R l V T R F Q v 6 L 2 s 5 o 2 i 5 L i 6 6 K G o L n t O Y W 1 l L D B 9 J n F 1 b 3 Q 7 L C Z x d W 9 0 O 1 N l Y 3 R p b 2 4 x L 3 B y a W N l P 3 N 5 b W J v b D 1 X S U Z V U 0 R U L + a b t O a U u e e a h O e x u + W e i y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J p Y 2 U / c 3 l t Y m 9 s P V d J R l V T R F Q v 6 L 2 s 5 o 2 i 5 L i 6 6 K G o L n t O Y W 1 l L D B 9 J n F 1 b 3 Q 7 L C Z x d W 9 0 O 1 N l Y 3 R p b 2 4 x L 3 B y a W N l P 3 N 5 b W J v b D 1 X S U Z V U 0 R U L + a b t O a U u e e a h O e x u + W e i y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a W N l J T N G c 3 l t Y m 9 s J T N E V 0 l G V V N E V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j Z S U z R n N 5 b W J v b C U z R F d J R l V T R F Q v J U U 4 J U J E J U F D J U U 2 J T h E J U E y J U U 0 J U I 4 J U J B J U U 4 J U E x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Y 2 U l M 0 Z z e W 1 i b 2 w l M 0 R X S U Z V U 0 R U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O i C P Z a b K Q Y f f 4 W O I P / A m A A A A A A I A A A A A A B B m A A A A A Q A A I A A A A C S / j 5 m a O / n p P D R x D n V h X v W x M x d p T f 1 H w W M O x g G w k T j F A A A A A A 6 A A A A A A g A A I A A A A A g R C R 1 8 8 8 w u e w v l H V B j I X C 8 U n p C + p K B l 2 + t J e m 0 c c n d U A A A A P n 7 7 k K / w q G F x N K L G / K c C E H 2 V / q F 4 h K + D H s a F / 3 b P 2 w f 8 d V t S f E m Q V V z X z 8 n B 7 W q 2 w B e T I S J S E g f J 8 P G G f f j c 4 4 k / b 2 j 7 s E e k R / Z J a p f B 9 p w Q A A A A A 2 h V n 1 q e 5 8 d h p D C N 8 F O D M b R N E a L z x w t Y H 5 4 f A h v F N v W P C b t l j f m w l y 0 Q Y c K V T T k U 5 1 Y 3 i v I U C g Y A X A 5 1 / N j W m A = < / D a t a M a s h u p > 
</file>

<file path=customXml/itemProps1.xml><?xml version="1.0" encoding="utf-8"?>
<ds:datastoreItem xmlns:ds="http://schemas.openxmlformats.org/officeDocument/2006/customXml" ds:itemID="{AFB8D355-AFC0-4F3B-8BE0-DACB0A855A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汇总</vt:lpstr>
      <vt:lpstr>多仓</vt:lpstr>
      <vt:lpstr>空仓</vt:lpstr>
      <vt:lpstr>合并计算</vt:lpstr>
      <vt:lpstr>计算器</vt:lpstr>
      <vt:lpstr>Sheet1</vt:lpstr>
      <vt:lpstr>变化计算</vt:lpstr>
      <vt:lpstr>2024-11</vt:lpstr>
      <vt:lpstr>2024年</vt:lpstr>
      <vt:lpstr>期望值</vt:lpstr>
      <vt:lpstr>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Jinyu Bai</dc:creator>
  <cp:lastModifiedBy>Jinyu Bai</cp:lastModifiedBy>
  <dcterms:created xsi:type="dcterms:W3CDTF">2015-06-05T18:19:34Z</dcterms:created>
  <dcterms:modified xsi:type="dcterms:W3CDTF">2024-12-10T09:37:58Z</dcterms:modified>
</cp:coreProperties>
</file>