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文件\加密货币\"/>
    </mc:Choice>
  </mc:AlternateContent>
  <xr:revisionPtr revIDLastSave="0" documentId="13_ncr:1_{1B74E1CC-FE90-4FE6-AD2F-DE558D2F4521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期望值" sheetId="27" r:id="rId1"/>
    <sheet name="主从对冲区间" sheetId="24" r:id="rId2"/>
    <sheet name="第一次连续下跌" sheetId="12" r:id="rId3"/>
    <sheet name="最初3天" sheetId="4" r:id="rId4"/>
    <sheet name="其它计算" sheetId="5" r:id="rId5"/>
    <sheet name="对冲百分比" sheetId="11" r:id="rId6"/>
    <sheet name="对冲" sheetId="6" r:id="rId7"/>
    <sheet name="旧对冲" sheetId="10" r:id="rId8"/>
    <sheet name="分7份" sheetId="19" r:id="rId9"/>
    <sheet name="百分比模板" sheetId="7" r:id="rId10"/>
    <sheet name="备忘" sheetId="9" r:id="rId11"/>
    <sheet name="对冲百分比(3位)" sheetId="13" r:id="rId12"/>
    <sheet name="多空合并" sheetId="14" r:id="rId13"/>
    <sheet name="多" sheetId="15" r:id="rId14"/>
    <sheet name="空" sheetId="16" r:id="rId15"/>
    <sheet name="对冲百分比 (4位)" sheetId="17" r:id="rId16"/>
    <sheet name="总览" sheetId="18" r:id="rId17"/>
    <sheet name="微利" sheetId="20" r:id="rId18"/>
    <sheet name="其它计算 (2)" sheetId="21" r:id="rId19"/>
    <sheet name="警报 (2)" sheetId="22" r:id="rId20"/>
    <sheet name="网格" sheetId="23" r:id="rId21"/>
    <sheet name="复投计划" sheetId="25" r:id="rId22"/>
    <sheet name="实验统计" sheetId="26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27" l="1"/>
  <c r="A25" i="27"/>
  <c r="A24" i="27"/>
  <c r="A23" i="27"/>
  <c r="A22" i="27"/>
  <c r="A21" i="27"/>
  <c r="A20" i="27"/>
  <c r="A19" i="27"/>
  <c r="A18" i="27"/>
  <c r="A17" i="27"/>
  <c r="D11" i="27"/>
  <c r="K11" i="27" s="1"/>
  <c r="A11" i="27"/>
  <c r="D10" i="27"/>
  <c r="K10" i="27" s="1"/>
  <c r="A10" i="27"/>
  <c r="L9" i="27"/>
  <c r="D9" i="27"/>
  <c r="K9" i="27" s="1"/>
  <c r="A9" i="27"/>
  <c r="D8" i="27"/>
  <c r="K8" i="27" s="1"/>
  <c r="A8" i="27"/>
  <c r="D7" i="27"/>
  <c r="K7" i="27" s="1"/>
  <c r="A7" i="27"/>
  <c r="D6" i="27"/>
  <c r="K6" i="27" s="1"/>
  <c r="A6" i="27"/>
  <c r="D5" i="27"/>
  <c r="K5" i="27" s="1"/>
  <c r="A5" i="27"/>
  <c r="D4" i="27"/>
  <c r="K4" i="27" s="1"/>
  <c r="A4" i="27"/>
  <c r="D3" i="27"/>
  <c r="K3" i="27" s="1"/>
  <c r="A3" i="27"/>
  <c r="D2" i="27"/>
  <c r="K2" i="27" s="1"/>
  <c r="A2" i="27"/>
  <c r="G2" i="26"/>
  <c r="H2" i="26"/>
  <c r="A3" i="26"/>
  <c r="F3" i="26"/>
  <c r="G3" i="26"/>
  <c r="H3" i="26"/>
  <c r="H24" i="26" s="1"/>
  <c r="A4" i="26"/>
  <c r="F4" i="26"/>
  <c r="G4" i="26"/>
  <c r="H4" i="26"/>
  <c r="A5" i="26"/>
  <c r="F5" i="26"/>
  <c r="G5" i="26"/>
  <c r="H5" i="26"/>
  <c r="A6" i="26"/>
  <c r="F6" i="26"/>
  <c r="G6" i="26"/>
  <c r="H6" i="26"/>
  <c r="A7" i="26"/>
  <c r="F7" i="26"/>
  <c r="G7" i="26"/>
  <c r="H7" i="26"/>
  <c r="A8" i="26"/>
  <c r="F8" i="26"/>
  <c r="G8" i="26"/>
  <c r="H8" i="26"/>
  <c r="A9" i="26"/>
  <c r="F9" i="26"/>
  <c r="G9" i="26"/>
  <c r="H9" i="26"/>
  <c r="A10" i="26"/>
  <c r="F10" i="26"/>
  <c r="G10" i="26"/>
  <c r="H10" i="26"/>
  <c r="A11" i="26"/>
  <c r="F11" i="26"/>
  <c r="G11" i="26"/>
  <c r="H11" i="26"/>
  <c r="A12" i="26"/>
  <c r="F12" i="26"/>
  <c r="G12" i="26"/>
  <c r="H12" i="26"/>
  <c r="A13" i="26"/>
  <c r="F13" i="26"/>
  <c r="G13" i="26"/>
  <c r="H13" i="26"/>
  <c r="A14" i="26"/>
  <c r="F14" i="26"/>
  <c r="G14" i="26"/>
  <c r="H14" i="26"/>
  <c r="A15" i="26"/>
  <c r="F15" i="26"/>
  <c r="G15" i="26"/>
  <c r="H15" i="26"/>
  <c r="A16" i="26"/>
  <c r="F16" i="26"/>
  <c r="G16" i="26"/>
  <c r="H16" i="26"/>
  <c r="A17" i="26"/>
  <c r="F17" i="26"/>
  <c r="G17" i="26"/>
  <c r="H17" i="26"/>
  <c r="A18" i="26"/>
  <c r="F18" i="26"/>
  <c r="G18" i="26"/>
  <c r="H18" i="26"/>
  <c r="A19" i="26"/>
  <c r="F19" i="26"/>
  <c r="G19" i="26"/>
  <c r="H19" i="26"/>
  <c r="A20" i="26"/>
  <c r="F20" i="26"/>
  <c r="G20" i="26"/>
  <c r="H20" i="26"/>
  <c r="A21" i="26"/>
  <c r="F21" i="26"/>
  <c r="G21" i="26"/>
  <c r="H21" i="26"/>
  <c r="A22" i="26"/>
  <c r="F22" i="26"/>
  <c r="G22" i="26"/>
  <c r="H22" i="26"/>
  <c r="G23" i="26"/>
  <c r="H23" i="26"/>
  <c r="D24" i="26"/>
  <c r="G24" i="26" s="1"/>
  <c r="E24" i="26"/>
  <c r="F24" i="26"/>
  <c r="G28" i="26"/>
  <c r="H28" i="26"/>
  <c r="A29" i="26"/>
  <c r="F29" i="26"/>
  <c r="G29" i="26"/>
  <c r="H29" i="26"/>
  <c r="H52" i="26" s="1"/>
  <c r="A30" i="26"/>
  <c r="F30" i="26"/>
  <c r="G30" i="26"/>
  <c r="H30" i="26"/>
  <c r="A31" i="26"/>
  <c r="F31" i="26"/>
  <c r="G31" i="26"/>
  <c r="H31" i="26"/>
  <c r="A32" i="26"/>
  <c r="F32" i="26"/>
  <c r="G32" i="26"/>
  <c r="H32" i="26"/>
  <c r="A33" i="26"/>
  <c r="F33" i="26"/>
  <c r="G33" i="26"/>
  <c r="H33" i="26"/>
  <c r="A34" i="26"/>
  <c r="F34" i="26"/>
  <c r="G34" i="26"/>
  <c r="H34" i="26"/>
  <c r="A35" i="26"/>
  <c r="F35" i="26"/>
  <c r="G35" i="26"/>
  <c r="H35" i="26"/>
  <c r="A36" i="26"/>
  <c r="F36" i="26"/>
  <c r="G36" i="26"/>
  <c r="H36" i="26"/>
  <c r="A37" i="26"/>
  <c r="F37" i="26"/>
  <c r="G37" i="26"/>
  <c r="H37" i="26"/>
  <c r="A38" i="26"/>
  <c r="F38" i="26"/>
  <c r="G38" i="26"/>
  <c r="H38" i="26"/>
  <c r="A39" i="26"/>
  <c r="F39" i="26"/>
  <c r="G39" i="26"/>
  <c r="H39" i="26"/>
  <c r="A40" i="26"/>
  <c r="F40" i="26"/>
  <c r="G40" i="26"/>
  <c r="H40" i="26"/>
  <c r="A41" i="26"/>
  <c r="F41" i="26"/>
  <c r="G41" i="26"/>
  <c r="H41" i="26"/>
  <c r="A42" i="26"/>
  <c r="F42" i="26"/>
  <c r="G42" i="26"/>
  <c r="H42" i="26"/>
  <c r="A43" i="26"/>
  <c r="F43" i="26"/>
  <c r="G43" i="26"/>
  <c r="H43" i="26"/>
  <c r="A44" i="26"/>
  <c r="F44" i="26"/>
  <c r="G44" i="26"/>
  <c r="H44" i="26"/>
  <c r="A45" i="26"/>
  <c r="F45" i="26"/>
  <c r="G45" i="26"/>
  <c r="H45" i="26"/>
  <c r="A46" i="26"/>
  <c r="F46" i="26"/>
  <c r="G46" i="26"/>
  <c r="H46" i="26"/>
  <c r="A47" i="26"/>
  <c r="F47" i="26"/>
  <c r="G47" i="26"/>
  <c r="H47" i="26"/>
  <c r="A48" i="26"/>
  <c r="F48" i="26"/>
  <c r="G48" i="26"/>
  <c r="H48" i="26"/>
  <c r="A49" i="26"/>
  <c r="F49" i="26"/>
  <c r="G49" i="26"/>
  <c r="H49" i="26"/>
  <c r="A50" i="26"/>
  <c r="F50" i="26"/>
  <c r="G50" i="26"/>
  <c r="H50" i="26"/>
  <c r="G51" i="26"/>
  <c r="H51" i="26"/>
  <c r="D52" i="26"/>
  <c r="G52" i="26" s="1"/>
  <c r="E52" i="26"/>
  <c r="F52" i="26" s="1"/>
  <c r="G56" i="26"/>
  <c r="H56" i="26"/>
  <c r="A57" i="26"/>
  <c r="F57" i="26"/>
  <c r="G57" i="26"/>
  <c r="H57" i="26"/>
  <c r="A58" i="26"/>
  <c r="F58" i="26"/>
  <c r="G58" i="26"/>
  <c r="H58" i="26"/>
  <c r="A59" i="26"/>
  <c r="F59" i="26"/>
  <c r="G59" i="26"/>
  <c r="H59" i="26"/>
  <c r="A60" i="26"/>
  <c r="F60" i="26"/>
  <c r="G60" i="26"/>
  <c r="H60" i="26"/>
  <c r="A61" i="26"/>
  <c r="F61" i="26"/>
  <c r="G61" i="26"/>
  <c r="H61" i="26"/>
  <c r="A62" i="26"/>
  <c r="F62" i="26"/>
  <c r="G62" i="26"/>
  <c r="H62" i="26"/>
  <c r="A63" i="26"/>
  <c r="F63" i="26"/>
  <c r="G63" i="26"/>
  <c r="H63" i="26"/>
  <c r="A64" i="26"/>
  <c r="F64" i="26"/>
  <c r="G64" i="26"/>
  <c r="H64" i="26"/>
  <c r="A65" i="26"/>
  <c r="F65" i="26"/>
  <c r="G65" i="26"/>
  <c r="H65" i="26"/>
  <c r="A66" i="26"/>
  <c r="F66" i="26"/>
  <c r="G66" i="26"/>
  <c r="H66" i="26"/>
  <c r="A67" i="26"/>
  <c r="F67" i="26"/>
  <c r="G67" i="26"/>
  <c r="H67" i="26"/>
  <c r="A68" i="26"/>
  <c r="F68" i="26"/>
  <c r="G68" i="26"/>
  <c r="H68" i="26"/>
  <c r="A69" i="26"/>
  <c r="F69" i="26"/>
  <c r="G69" i="26"/>
  <c r="H69" i="26"/>
  <c r="A70" i="26"/>
  <c r="F70" i="26"/>
  <c r="G70" i="26"/>
  <c r="H70" i="26"/>
  <c r="A71" i="26"/>
  <c r="F71" i="26"/>
  <c r="G71" i="26"/>
  <c r="H71" i="26"/>
  <c r="A72" i="26"/>
  <c r="F72" i="26"/>
  <c r="G72" i="26"/>
  <c r="H72" i="26"/>
  <c r="A73" i="26"/>
  <c r="F73" i="26"/>
  <c r="G73" i="26"/>
  <c r="H73" i="26"/>
  <c r="A74" i="26"/>
  <c r="F74" i="26"/>
  <c r="G74" i="26"/>
  <c r="H74" i="26"/>
  <c r="A75" i="26"/>
  <c r="F75" i="26"/>
  <c r="G75" i="26"/>
  <c r="H75" i="26"/>
  <c r="A76" i="26"/>
  <c r="F76" i="26"/>
  <c r="G76" i="26"/>
  <c r="H76" i="26"/>
  <c r="G77" i="26"/>
  <c r="H77" i="26"/>
  <c r="H78" i="26" s="1"/>
  <c r="D78" i="26"/>
  <c r="G78" i="26" s="1"/>
  <c r="E78" i="26"/>
  <c r="F78" i="26" s="1"/>
  <c r="G82" i="26"/>
  <c r="H82" i="26"/>
  <c r="A83" i="26"/>
  <c r="F83" i="26"/>
  <c r="G83" i="26"/>
  <c r="H83" i="26"/>
  <c r="A84" i="26"/>
  <c r="F84" i="26"/>
  <c r="G84" i="26"/>
  <c r="H84" i="26"/>
  <c r="A85" i="26"/>
  <c r="F85" i="26"/>
  <c r="G85" i="26"/>
  <c r="H85" i="26"/>
  <c r="A86" i="26"/>
  <c r="F86" i="26"/>
  <c r="G86" i="26"/>
  <c r="H86" i="26"/>
  <c r="A87" i="26"/>
  <c r="F87" i="26"/>
  <c r="G87" i="26"/>
  <c r="H87" i="26"/>
  <c r="A88" i="26"/>
  <c r="F88" i="26"/>
  <c r="G88" i="26"/>
  <c r="H88" i="26"/>
  <c r="A89" i="26"/>
  <c r="F89" i="26"/>
  <c r="G89" i="26"/>
  <c r="H89" i="26"/>
  <c r="A90" i="26"/>
  <c r="F90" i="26"/>
  <c r="G90" i="26"/>
  <c r="H90" i="26"/>
  <c r="A91" i="26"/>
  <c r="F91" i="26"/>
  <c r="G91" i="26"/>
  <c r="H91" i="26"/>
  <c r="A92" i="26"/>
  <c r="F92" i="26"/>
  <c r="G92" i="26"/>
  <c r="H92" i="26"/>
  <c r="A93" i="26"/>
  <c r="F93" i="26"/>
  <c r="G93" i="26"/>
  <c r="H93" i="26"/>
  <c r="A94" i="26"/>
  <c r="F94" i="26"/>
  <c r="G94" i="26"/>
  <c r="H94" i="26"/>
  <c r="A95" i="26"/>
  <c r="F95" i="26"/>
  <c r="G95" i="26"/>
  <c r="H95" i="26"/>
  <c r="A96" i="26"/>
  <c r="F96" i="26"/>
  <c r="G96" i="26"/>
  <c r="H96" i="26"/>
  <c r="H98" i="26" s="1"/>
  <c r="G97" i="26"/>
  <c r="H97" i="26"/>
  <c r="D98" i="26"/>
  <c r="E98" i="26"/>
  <c r="F98" i="26"/>
  <c r="G98" i="26"/>
  <c r="G102" i="26"/>
  <c r="H102" i="26"/>
  <c r="H114" i="26" s="1"/>
  <c r="A103" i="26"/>
  <c r="F103" i="26"/>
  <c r="G103" i="26"/>
  <c r="H103" i="26"/>
  <c r="A104" i="26"/>
  <c r="F104" i="26"/>
  <c r="G104" i="26"/>
  <c r="H104" i="26"/>
  <c r="A105" i="26"/>
  <c r="F105" i="26"/>
  <c r="G105" i="26"/>
  <c r="H105" i="26"/>
  <c r="A106" i="26"/>
  <c r="F106" i="26"/>
  <c r="G106" i="26"/>
  <c r="H106" i="26"/>
  <c r="A107" i="26"/>
  <c r="F107" i="26"/>
  <c r="G107" i="26"/>
  <c r="H107" i="26"/>
  <c r="A108" i="26"/>
  <c r="F108" i="26"/>
  <c r="G108" i="26"/>
  <c r="H108" i="26"/>
  <c r="A109" i="26"/>
  <c r="F109" i="26"/>
  <c r="G109" i="26"/>
  <c r="H109" i="26"/>
  <c r="A110" i="26"/>
  <c r="F110" i="26"/>
  <c r="G110" i="26"/>
  <c r="H110" i="26"/>
  <c r="A111" i="26"/>
  <c r="F111" i="26"/>
  <c r="G111" i="26"/>
  <c r="H111" i="26"/>
  <c r="A112" i="26"/>
  <c r="F112" i="26"/>
  <c r="G112" i="26"/>
  <c r="H112" i="26"/>
  <c r="G113" i="26"/>
  <c r="H113" i="26"/>
  <c r="D114" i="26"/>
  <c r="G114" i="26" s="1"/>
  <c r="E114" i="26"/>
  <c r="F114" i="26"/>
  <c r="G118" i="26"/>
  <c r="H118" i="26"/>
  <c r="H140" i="26" s="1"/>
  <c r="A119" i="26"/>
  <c r="F119" i="26"/>
  <c r="G119" i="26"/>
  <c r="H119" i="26"/>
  <c r="A120" i="26"/>
  <c r="F120" i="26"/>
  <c r="G120" i="26"/>
  <c r="H120" i="26"/>
  <c r="A121" i="26"/>
  <c r="F121" i="26"/>
  <c r="G121" i="26"/>
  <c r="H121" i="26"/>
  <c r="A122" i="26"/>
  <c r="F122" i="26"/>
  <c r="G122" i="26"/>
  <c r="H122" i="26"/>
  <c r="A123" i="26"/>
  <c r="F123" i="26"/>
  <c r="G123" i="26"/>
  <c r="H123" i="26"/>
  <c r="A124" i="26"/>
  <c r="F124" i="26"/>
  <c r="G124" i="26"/>
  <c r="H124" i="26"/>
  <c r="A125" i="26"/>
  <c r="F125" i="26"/>
  <c r="G125" i="26"/>
  <c r="H125" i="26"/>
  <c r="A126" i="26"/>
  <c r="F126" i="26"/>
  <c r="G126" i="26"/>
  <c r="H126" i="26"/>
  <c r="A127" i="26"/>
  <c r="F127" i="26"/>
  <c r="G127" i="26"/>
  <c r="H127" i="26"/>
  <c r="A128" i="26"/>
  <c r="F128" i="26"/>
  <c r="G128" i="26"/>
  <c r="H128" i="26"/>
  <c r="A129" i="26"/>
  <c r="F129" i="26"/>
  <c r="G129" i="26"/>
  <c r="H129" i="26"/>
  <c r="A130" i="26"/>
  <c r="F130" i="26"/>
  <c r="G130" i="26"/>
  <c r="H130" i="26"/>
  <c r="A131" i="26"/>
  <c r="F131" i="26"/>
  <c r="G131" i="26"/>
  <c r="H131" i="26"/>
  <c r="A132" i="26"/>
  <c r="F132" i="26"/>
  <c r="G132" i="26"/>
  <c r="H132" i="26"/>
  <c r="A133" i="26"/>
  <c r="F133" i="26"/>
  <c r="G133" i="26"/>
  <c r="H133" i="26"/>
  <c r="A134" i="26"/>
  <c r="F134" i="26"/>
  <c r="G134" i="26"/>
  <c r="H134" i="26"/>
  <c r="A135" i="26"/>
  <c r="F135" i="26"/>
  <c r="G135" i="26"/>
  <c r="H135" i="26"/>
  <c r="A136" i="26"/>
  <c r="F136" i="26"/>
  <c r="G136" i="26"/>
  <c r="H136" i="26"/>
  <c r="A137" i="26"/>
  <c r="F137" i="26"/>
  <c r="G137" i="26"/>
  <c r="H137" i="26"/>
  <c r="A138" i="26"/>
  <c r="F138" i="26"/>
  <c r="G138" i="26"/>
  <c r="H138" i="26"/>
  <c r="G139" i="26"/>
  <c r="H139" i="26"/>
  <c r="D140" i="26"/>
  <c r="G140" i="26" s="1"/>
  <c r="E140" i="26"/>
  <c r="F140" i="26" s="1"/>
  <c r="A4" i="25"/>
  <c r="C4" i="25"/>
  <c r="D4" i="25"/>
  <c r="E4" i="25"/>
  <c r="G4" i="25"/>
  <c r="I4" i="25"/>
  <c r="J4" i="25"/>
  <c r="K4" i="25"/>
  <c r="A5" i="25"/>
  <c r="C5" i="25"/>
  <c r="D5" i="25"/>
  <c r="E5" i="25"/>
  <c r="G5" i="25"/>
  <c r="I5" i="25"/>
  <c r="J5" i="25"/>
  <c r="K5" i="25"/>
  <c r="A6" i="25"/>
  <c r="B6" i="25"/>
  <c r="C6" i="25"/>
  <c r="D6" i="25"/>
  <c r="E6" i="25"/>
  <c r="G6" i="25"/>
  <c r="H6" i="25"/>
  <c r="I6" i="25"/>
  <c r="J6" i="25"/>
  <c r="A7" i="25"/>
  <c r="B7" i="25"/>
  <c r="C7" i="25" s="1"/>
  <c r="G7" i="25"/>
  <c r="H7" i="25"/>
  <c r="A8" i="25"/>
  <c r="G8" i="25"/>
  <c r="A9" i="25"/>
  <c r="G9" i="25"/>
  <c r="A10" i="25"/>
  <c r="G10" i="25"/>
  <c r="A11" i="25"/>
  <c r="G11" i="25"/>
  <c r="N6" i="24"/>
  <c r="H6" i="24"/>
  <c r="F6" i="24"/>
  <c r="G6" i="24" s="1"/>
  <c r="I6" i="24" s="1"/>
  <c r="N5" i="24"/>
  <c r="H5" i="24"/>
  <c r="F5" i="24"/>
  <c r="G5" i="24" s="1"/>
  <c r="M5" i="24" s="1"/>
  <c r="G4" i="24"/>
  <c r="I4" i="24" s="1"/>
  <c r="F4" i="24"/>
  <c r="B4" i="24"/>
  <c r="A4" i="24"/>
  <c r="B4" i="23"/>
  <c r="E4" i="23"/>
  <c r="I4" i="23"/>
  <c r="L4" i="23"/>
  <c r="B5" i="23"/>
  <c r="E5" i="23"/>
  <c r="I5" i="23"/>
  <c r="L5" i="23"/>
  <c r="B6" i="23"/>
  <c r="E6" i="23"/>
  <c r="I6" i="23"/>
  <c r="L6" i="23"/>
  <c r="B7" i="23"/>
  <c r="E7" i="23"/>
  <c r="I7" i="23"/>
  <c r="L7" i="23"/>
  <c r="B8" i="23"/>
  <c r="E8" i="23"/>
  <c r="I8" i="23"/>
  <c r="L8" i="23"/>
  <c r="B9" i="23"/>
  <c r="E9" i="23"/>
  <c r="I9" i="23"/>
  <c r="L9" i="23"/>
  <c r="B10" i="23"/>
  <c r="E10" i="23"/>
  <c r="I10" i="23"/>
  <c r="L10" i="23"/>
  <c r="B11" i="23"/>
  <c r="E11" i="23"/>
  <c r="I11" i="23"/>
  <c r="L11" i="23"/>
  <c r="B12" i="23"/>
  <c r="E12" i="23"/>
  <c r="I12" i="23"/>
  <c r="L12" i="23"/>
  <c r="B13" i="23"/>
  <c r="E13" i="23"/>
  <c r="I13" i="23"/>
  <c r="L13" i="23"/>
  <c r="B14" i="23"/>
  <c r="E14" i="23"/>
  <c r="I14" i="23"/>
  <c r="L14" i="23"/>
  <c r="B15" i="23"/>
  <c r="E15" i="23"/>
  <c r="I15" i="23"/>
  <c r="L15" i="23"/>
  <c r="B16" i="23"/>
  <c r="E16" i="23"/>
  <c r="I16" i="23"/>
  <c r="L16" i="23"/>
  <c r="B17" i="23"/>
  <c r="E17" i="23"/>
  <c r="I17" i="23"/>
  <c r="L17" i="23"/>
  <c r="B18" i="23"/>
  <c r="E18" i="23"/>
  <c r="I18" i="23"/>
  <c r="L18" i="23"/>
  <c r="B20" i="23"/>
  <c r="E20" i="23"/>
  <c r="I20" i="23"/>
  <c r="L20" i="23"/>
  <c r="B21" i="23"/>
  <c r="E21" i="23"/>
  <c r="I21" i="23"/>
  <c r="L21" i="23"/>
  <c r="B22" i="23"/>
  <c r="E22" i="23"/>
  <c r="I22" i="23"/>
  <c r="L22" i="23"/>
  <c r="B23" i="23"/>
  <c r="E23" i="23"/>
  <c r="I23" i="23"/>
  <c r="L23" i="23"/>
  <c r="B24" i="23"/>
  <c r="E24" i="23"/>
  <c r="I24" i="23"/>
  <c r="L24" i="23"/>
  <c r="B25" i="23"/>
  <c r="E25" i="23"/>
  <c r="I25" i="23"/>
  <c r="L25" i="23"/>
  <c r="B26" i="23"/>
  <c r="E26" i="23"/>
  <c r="I26" i="23"/>
  <c r="L26" i="23"/>
  <c r="B27" i="23"/>
  <c r="E27" i="23"/>
  <c r="I27" i="23"/>
  <c r="L27" i="23"/>
  <c r="B28" i="23"/>
  <c r="E28" i="23"/>
  <c r="I28" i="23"/>
  <c r="L28" i="23"/>
  <c r="B29" i="23"/>
  <c r="E29" i="23"/>
  <c r="I29" i="23"/>
  <c r="L29" i="23"/>
  <c r="B30" i="23"/>
  <c r="E30" i="23"/>
  <c r="I30" i="23"/>
  <c r="L30" i="23"/>
  <c r="B31" i="23"/>
  <c r="E31" i="23"/>
  <c r="I31" i="23"/>
  <c r="L31" i="23"/>
  <c r="B32" i="23"/>
  <c r="E32" i="23"/>
  <c r="I32" i="23"/>
  <c r="L32" i="23"/>
  <c r="B33" i="23"/>
  <c r="E33" i="23"/>
  <c r="I33" i="23"/>
  <c r="L33" i="23"/>
  <c r="B34" i="23"/>
  <c r="E34" i="23"/>
  <c r="I34" i="23"/>
  <c r="L34" i="23"/>
  <c r="I3" i="22"/>
  <c r="J3" i="22"/>
  <c r="G4" i="22"/>
  <c r="H4" i="22"/>
  <c r="I4" i="22"/>
  <c r="J4" i="22"/>
  <c r="A11" i="22"/>
  <c r="B11" i="22"/>
  <c r="C11" i="22" s="1"/>
  <c r="G11" i="22"/>
  <c r="H11" i="22"/>
  <c r="I11" i="22" s="1"/>
  <c r="A12" i="22"/>
  <c r="B12" i="22"/>
  <c r="C12" i="22" s="1"/>
  <c r="G12" i="22"/>
  <c r="H12" i="22"/>
  <c r="I12" i="22" s="1"/>
  <c r="A13" i="22"/>
  <c r="B13" i="22"/>
  <c r="C13" i="22" s="1"/>
  <c r="G13" i="22"/>
  <c r="H13" i="22"/>
  <c r="I13" i="22" s="1"/>
  <c r="A14" i="22"/>
  <c r="B14" i="22"/>
  <c r="C14" i="22" s="1"/>
  <c r="G14" i="22"/>
  <c r="H14" i="22"/>
  <c r="I14" i="22" s="1"/>
  <c r="A15" i="22"/>
  <c r="B15" i="22"/>
  <c r="C15" i="22" s="1"/>
  <c r="G15" i="22"/>
  <c r="H15" i="22"/>
  <c r="I15" i="22" s="1"/>
  <c r="A16" i="22"/>
  <c r="B16" i="22"/>
  <c r="C16" i="22" s="1"/>
  <c r="G16" i="22"/>
  <c r="H16" i="22"/>
  <c r="I16" i="22" s="1"/>
  <c r="A17" i="22"/>
  <c r="B17" i="22"/>
  <c r="C17" i="22" s="1"/>
  <c r="G17" i="22"/>
  <c r="H17" i="22"/>
  <c r="I17" i="22" s="1"/>
  <c r="A18" i="22"/>
  <c r="B18" i="22"/>
  <c r="C18" i="22" s="1"/>
  <c r="G18" i="22"/>
  <c r="H18" i="22"/>
  <c r="I18" i="22" s="1"/>
  <c r="A19" i="22"/>
  <c r="B19" i="22"/>
  <c r="C19" i="22" s="1"/>
  <c r="G19" i="22"/>
  <c r="H19" i="22"/>
  <c r="I19" i="22" s="1"/>
  <c r="A20" i="22"/>
  <c r="B20" i="22"/>
  <c r="C20" i="22" s="1"/>
  <c r="G20" i="22"/>
  <c r="H20" i="22"/>
  <c r="I20" i="22" s="1"/>
  <c r="A21" i="22"/>
  <c r="B21" i="22"/>
  <c r="C21" i="22" s="1"/>
  <c r="G21" i="22"/>
  <c r="H21" i="22"/>
  <c r="I21" i="22" s="1"/>
  <c r="A22" i="22"/>
  <c r="B22" i="22"/>
  <c r="C22" i="22" s="1"/>
  <c r="G22" i="22"/>
  <c r="H22" i="22"/>
  <c r="I22" i="22" s="1"/>
  <c r="A23" i="22"/>
  <c r="B23" i="22"/>
  <c r="C23" i="22" s="1"/>
  <c r="G23" i="22"/>
  <c r="H23" i="22"/>
  <c r="I23" i="22" s="1"/>
  <c r="A24" i="22"/>
  <c r="B24" i="22"/>
  <c r="C24" i="22" s="1"/>
  <c r="G24" i="22"/>
  <c r="H24" i="22"/>
  <c r="I24" i="22" s="1"/>
  <c r="A25" i="22"/>
  <c r="B25" i="22"/>
  <c r="C25" i="22" s="1"/>
  <c r="G25" i="22"/>
  <c r="H25" i="22"/>
  <c r="I25" i="22" s="1"/>
  <c r="A26" i="22"/>
  <c r="B26" i="22"/>
  <c r="C26" i="22" s="1"/>
  <c r="G26" i="22"/>
  <c r="H26" i="22"/>
  <c r="I26" i="22" s="1"/>
  <c r="A27" i="22"/>
  <c r="B27" i="22"/>
  <c r="C27" i="22" s="1"/>
  <c r="G27" i="22"/>
  <c r="H27" i="22"/>
  <c r="I27" i="22" s="1"/>
  <c r="A28" i="22"/>
  <c r="B28" i="22"/>
  <c r="C28" i="22" s="1"/>
  <c r="G28" i="22"/>
  <c r="H28" i="22"/>
  <c r="I28" i="22" s="1"/>
  <c r="A29" i="22"/>
  <c r="B29" i="22"/>
  <c r="C29" i="22" s="1"/>
  <c r="G29" i="22"/>
  <c r="H29" i="22"/>
  <c r="I29" i="22" s="1"/>
  <c r="A30" i="22"/>
  <c r="B30" i="22"/>
  <c r="C30" i="22" s="1"/>
  <c r="G30" i="22"/>
  <c r="H30" i="22"/>
  <c r="I30" i="22" s="1"/>
  <c r="A31" i="22"/>
  <c r="B31" i="22"/>
  <c r="C31" i="22" s="1"/>
  <c r="G31" i="22"/>
  <c r="H31" i="22"/>
  <c r="I31" i="22" s="1"/>
  <c r="A32" i="22"/>
  <c r="B32" i="22"/>
  <c r="C32" i="22" s="1"/>
  <c r="G32" i="22"/>
  <c r="H32" i="22"/>
  <c r="I32" i="22" s="1"/>
  <c r="A33" i="22"/>
  <c r="B33" i="22"/>
  <c r="C33" i="22" s="1"/>
  <c r="G33" i="22"/>
  <c r="H33" i="22"/>
  <c r="I33" i="22" s="1"/>
  <c r="A34" i="22"/>
  <c r="B34" i="22"/>
  <c r="C34" i="22" s="1"/>
  <c r="G34" i="22"/>
  <c r="H34" i="22"/>
  <c r="I34" i="22" s="1"/>
  <c r="A35" i="22"/>
  <c r="B35" i="22"/>
  <c r="C35" i="22" s="1"/>
  <c r="G35" i="22"/>
  <c r="H35" i="22"/>
  <c r="I35" i="22" s="1"/>
  <c r="A36" i="22"/>
  <c r="B36" i="22"/>
  <c r="C36" i="22" s="1"/>
  <c r="G36" i="22"/>
  <c r="H36" i="22"/>
  <c r="I36" i="22" s="1"/>
  <c r="A37" i="22"/>
  <c r="B37" i="22"/>
  <c r="C37" i="22" s="1"/>
  <c r="G37" i="22"/>
  <c r="H37" i="22"/>
  <c r="I37" i="22" s="1"/>
  <c r="A38" i="22"/>
  <c r="B38" i="22"/>
  <c r="C38" i="22" s="1"/>
  <c r="G38" i="22"/>
  <c r="H38" i="22"/>
  <c r="I38" i="22" s="1"/>
  <c r="A39" i="22"/>
  <c r="B39" i="22"/>
  <c r="C39" i="22" s="1"/>
  <c r="G39" i="22"/>
  <c r="H39" i="22"/>
  <c r="I39" i="22" s="1"/>
  <c r="A40" i="22"/>
  <c r="B40" i="22"/>
  <c r="C40" i="22" s="1"/>
  <c r="G40" i="22"/>
  <c r="H40" i="22"/>
  <c r="I40" i="22" s="1"/>
  <c r="A41" i="22"/>
  <c r="B41" i="22"/>
  <c r="C41" i="22" s="1"/>
  <c r="G41" i="22"/>
  <c r="H41" i="22"/>
  <c r="I41" i="22" s="1"/>
  <c r="A42" i="22"/>
  <c r="B42" i="22"/>
  <c r="C42" i="22" s="1"/>
  <c r="G42" i="22"/>
  <c r="H42" i="22"/>
  <c r="I42" i="22" s="1"/>
  <c r="A43" i="22"/>
  <c r="B43" i="22"/>
  <c r="C43" i="22" s="1"/>
  <c r="G43" i="22"/>
  <c r="H43" i="22"/>
  <c r="I43" i="22" s="1"/>
  <c r="A44" i="22"/>
  <c r="B44" i="22"/>
  <c r="C44" i="22" s="1"/>
  <c r="G44" i="22"/>
  <c r="H44" i="22"/>
  <c r="I44" i="22" s="1"/>
  <c r="A45" i="22"/>
  <c r="B45" i="22"/>
  <c r="C45" i="22" s="1"/>
  <c r="G45" i="22"/>
  <c r="H45" i="22"/>
  <c r="I45" i="22" s="1"/>
  <c r="C46" i="22"/>
  <c r="D46" i="22"/>
  <c r="I46" i="22"/>
  <c r="J46" i="22"/>
  <c r="A47" i="22"/>
  <c r="B47" i="22"/>
  <c r="C47" i="22" s="1"/>
  <c r="G47" i="22"/>
  <c r="H47" i="22"/>
  <c r="I47" i="22" s="1"/>
  <c r="A48" i="22"/>
  <c r="B48" i="22"/>
  <c r="C48" i="22" s="1"/>
  <c r="G48" i="22"/>
  <c r="H48" i="22"/>
  <c r="I48" i="22" s="1"/>
  <c r="A49" i="22"/>
  <c r="B49" i="22"/>
  <c r="C49" i="22" s="1"/>
  <c r="G49" i="22"/>
  <c r="H49" i="22"/>
  <c r="I49" i="22" s="1"/>
  <c r="A50" i="22"/>
  <c r="B50" i="22"/>
  <c r="C50" i="22" s="1"/>
  <c r="G50" i="22"/>
  <c r="H50" i="22"/>
  <c r="I50" i="22" s="1"/>
  <c r="A51" i="22"/>
  <c r="B51" i="22"/>
  <c r="C51" i="22" s="1"/>
  <c r="G51" i="22"/>
  <c r="H51" i="22"/>
  <c r="I51" i="22" s="1"/>
  <c r="A52" i="22"/>
  <c r="B52" i="22"/>
  <c r="C52" i="22" s="1"/>
  <c r="G52" i="22"/>
  <c r="H52" i="22"/>
  <c r="I52" i="22" s="1"/>
  <c r="A53" i="22"/>
  <c r="B53" i="22"/>
  <c r="C53" i="22" s="1"/>
  <c r="G53" i="22"/>
  <c r="H53" i="22"/>
  <c r="I53" i="22" s="1"/>
  <c r="A54" i="22"/>
  <c r="B54" i="22"/>
  <c r="C54" i="22" s="1"/>
  <c r="G54" i="22"/>
  <c r="H54" i="22"/>
  <c r="I54" i="22" s="1"/>
  <c r="A55" i="22"/>
  <c r="B55" i="22"/>
  <c r="C55" i="22" s="1"/>
  <c r="G55" i="22"/>
  <c r="H55" i="22"/>
  <c r="I55" i="22" s="1"/>
  <c r="A56" i="22"/>
  <c r="B56" i="22"/>
  <c r="C56" i="22" s="1"/>
  <c r="G56" i="22"/>
  <c r="H56" i="22"/>
  <c r="I56" i="22" s="1"/>
  <c r="A57" i="22"/>
  <c r="B57" i="22"/>
  <c r="C57" i="22" s="1"/>
  <c r="G57" i="22"/>
  <c r="H57" i="22"/>
  <c r="I57" i="22" s="1"/>
  <c r="A58" i="22"/>
  <c r="B58" i="22"/>
  <c r="C58" i="22" s="1"/>
  <c r="G58" i="22"/>
  <c r="H58" i="22"/>
  <c r="I58" i="22" s="1"/>
  <c r="A59" i="22"/>
  <c r="B59" i="22"/>
  <c r="C59" i="22" s="1"/>
  <c r="G59" i="22"/>
  <c r="H59" i="22"/>
  <c r="I59" i="22" s="1"/>
  <c r="A60" i="22"/>
  <c r="B60" i="22"/>
  <c r="C60" i="22" s="1"/>
  <c r="G60" i="22"/>
  <c r="H60" i="22"/>
  <c r="I60" i="22" s="1"/>
  <c r="A61" i="22"/>
  <c r="B61" i="22"/>
  <c r="C61" i="22" s="1"/>
  <c r="G61" i="22"/>
  <c r="H61" i="22"/>
  <c r="I61" i="22" s="1"/>
  <c r="A62" i="22"/>
  <c r="B62" i="22"/>
  <c r="C62" i="22" s="1"/>
  <c r="G62" i="22"/>
  <c r="H62" i="22"/>
  <c r="I62" i="22" s="1"/>
  <c r="A63" i="22"/>
  <c r="B63" i="22"/>
  <c r="C63" i="22" s="1"/>
  <c r="G63" i="22"/>
  <c r="H63" i="22"/>
  <c r="I63" i="22" s="1"/>
  <c r="A64" i="22"/>
  <c r="B64" i="22"/>
  <c r="C64" i="22" s="1"/>
  <c r="G64" i="22"/>
  <c r="H64" i="22"/>
  <c r="I64" i="22" s="1"/>
  <c r="A65" i="22"/>
  <c r="B65" i="22"/>
  <c r="C65" i="22" s="1"/>
  <c r="G65" i="22"/>
  <c r="H65" i="22"/>
  <c r="I65" i="22" s="1"/>
  <c r="A66" i="22"/>
  <c r="B66" i="22"/>
  <c r="C66" i="22" s="1"/>
  <c r="G66" i="22"/>
  <c r="H66" i="22"/>
  <c r="I66" i="22" s="1"/>
  <c r="A67" i="22"/>
  <c r="B67" i="22"/>
  <c r="C67" i="22" s="1"/>
  <c r="G67" i="22"/>
  <c r="H67" i="22"/>
  <c r="I67" i="22" s="1"/>
  <c r="A68" i="22"/>
  <c r="B68" i="22"/>
  <c r="C68" i="22" s="1"/>
  <c r="G68" i="22"/>
  <c r="H68" i="22"/>
  <c r="I68" i="22" s="1"/>
  <c r="A69" i="22"/>
  <c r="B69" i="22"/>
  <c r="C69" i="22" s="1"/>
  <c r="G69" i="22"/>
  <c r="H69" i="22"/>
  <c r="I69" i="22" s="1"/>
  <c r="A70" i="22"/>
  <c r="B70" i="22"/>
  <c r="C70" i="22" s="1"/>
  <c r="G70" i="22"/>
  <c r="H70" i="22"/>
  <c r="I70" i="22" s="1"/>
  <c r="A71" i="22"/>
  <c r="B71" i="22"/>
  <c r="C71" i="22" s="1"/>
  <c r="G71" i="22"/>
  <c r="H71" i="22"/>
  <c r="I71" i="22" s="1"/>
  <c r="A72" i="22"/>
  <c r="B72" i="22"/>
  <c r="C72" i="22" s="1"/>
  <c r="G72" i="22"/>
  <c r="H72" i="22"/>
  <c r="I72" i="22" s="1"/>
  <c r="A73" i="22"/>
  <c r="B73" i="22"/>
  <c r="C73" i="22" s="1"/>
  <c r="G73" i="22"/>
  <c r="H73" i="22"/>
  <c r="I73" i="22" s="1"/>
  <c r="A74" i="22"/>
  <c r="B74" i="22"/>
  <c r="C74" i="22" s="1"/>
  <c r="G74" i="22"/>
  <c r="H74" i="22"/>
  <c r="I74" i="22" s="1"/>
  <c r="A75" i="22"/>
  <c r="B75" i="22"/>
  <c r="C75" i="22" s="1"/>
  <c r="G75" i="22"/>
  <c r="H75" i="22"/>
  <c r="I75" i="22" s="1"/>
  <c r="A76" i="22"/>
  <c r="B76" i="22"/>
  <c r="C76" i="22" s="1"/>
  <c r="G76" i="22"/>
  <c r="H76" i="22"/>
  <c r="I76" i="22" s="1"/>
  <c r="A77" i="22"/>
  <c r="B77" i="22"/>
  <c r="C77" i="22" s="1"/>
  <c r="G77" i="22"/>
  <c r="H77" i="22"/>
  <c r="I77" i="22" s="1"/>
  <c r="A78" i="22"/>
  <c r="B78" i="22"/>
  <c r="C78" i="22" s="1"/>
  <c r="G78" i="22"/>
  <c r="H78" i="22"/>
  <c r="I78" i="22" s="1"/>
  <c r="A79" i="22"/>
  <c r="B79" i="22"/>
  <c r="C79" i="22" s="1"/>
  <c r="G79" i="22"/>
  <c r="H79" i="22"/>
  <c r="I79" i="22" s="1"/>
  <c r="A80" i="22"/>
  <c r="B80" i="22"/>
  <c r="C80" i="22" s="1"/>
  <c r="G80" i="22"/>
  <c r="H80" i="22"/>
  <c r="I80" i="22" s="1"/>
  <c r="A81" i="22"/>
  <c r="B81" i="22"/>
  <c r="C81" i="22" s="1"/>
  <c r="G81" i="22"/>
  <c r="H81" i="22"/>
  <c r="I81" i="22" s="1"/>
  <c r="G82" i="22"/>
  <c r="H82" i="22"/>
  <c r="I82" i="22" s="1"/>
  <c r="G83" i="22"/>
  <c r="H83" i="22"/>
  <c r="I83" i="22" s="1"/>
  <c r="G84" i="22"/>
  <c r="H84" i="22"/>
  <c r="I84" i="22" s="1"/>
  <c r="G85" i="22"/>
  <c r="H85" i="22"/>
  <c r="I85" i="22" s="1"/>
  <c r="G86" i="22"/>
  <c r="H86" i="22"/>
  <c r="I86" i="22" s="1"/>
  <c r="G87" i="22"/>
  <c r="H87" i="22"/>
  <c r="I87" i="22" s="1"/>
  <c r="G88" i="22"/>
  <c r="H88" i="22"/>
  <c r="I88" i="22" s="1"/>
  <c r="G89" i="22"/>
  <c r="H89" i="22"/>
  <c r="I89" i="22" s="1"/>
  <c r="G90" i="22"/>
  <c r="H90" i="22"/>
  <c r="I90" i="22" s="1"/>
  <c r="G91" i="22"/>
  <c r="H91" i="22"/>
  <c r="I91" i="22" s="1"/>
  <c r="G92" i="22"/>
  <c r="H92" i="22"/>
  <c r="I92" i="22" s="1"/>
  <c r="G93" i="22"/>
  <c r="H93" i="22"/>
  <c r="I93" i="22" s="1"/>
  <c r="G94" i="22"/>
  <c r="H94" i="22"/>
  <c r="I94" i="22" s="1"/>
  <c r="G95" i="22"/>
  <c r="H95" i="22"/>
  <c r="I95" i="22" s="1"/>
  <c r="G96" i="22"/>
  <c r="H96" i="22"/>
  <c r="I96" i="22" s="1"/>
  <c r="G97" i="22"/>
  <c r="H97" i="22"/>
  <c r="I97" i="22" s="1"/>
  <c r="G98" i="22"/>
  <c r="H98" i="22"/>
  <c r="I98" i="22" s="1"/>
  <c r="G99" i="22"/>
  <c r="H99" i="22"/>
  <c r="I99" i="22" s="1"/>
  <c r="G100" i="22"/>
  <c r="H100" i="22"/>
  <c r="I100" i="22" s="1"/>
  <c r="G101" i="22"/>
  <c r="H101" i="22"/>
  <c r="I101" i="22" s="1"/>
  <c r="D2" i="21"/>
  <c r="E2" i="21"/>
  <c r="D3" i="21"/>
  <c r="E3" i="21" s="1"/>
  <c r="D4" i="21"/>
  <c r="E4" i="21" s="1"/>
  <c r="D5" i="21"/>
  <c r="E5" i="21" s="1"/>
  <c r="D6" i="21"/>
  <c r="E6" i="21"/>
  <c r="E13" i="21"/>
  <c r="F13" i="21" s="1"/>
  <c r="E14" i="21"/>
  <c r="E18" i="21"/>
  <c r="F18" i="21" s="1"/>
  <c r="E19" i="21"/>
  <c r="E24" i="21"/>
  <c r="F24" i="21"/>
  <c r="E25" i="21"/>
  <c r="D4" i="20"/>
  <c r="G4" i="20"/>
  <c r="K4" i="20"/>
  <c r="N4" i="20"/>
  <c r="D5" i="20"/>
  <c r="G5" i="20"/>
  <c r="K5" i="20"/>
  <c r="N5" i="20"/>
  <c r="D6" i="20"/>
  <c r="G6" i="20"/>
  <c r="K6" i="20"/>
  <c r="N6" i="20"/>
  <c r="D7" i="20"/>
  <c r="G7" i="20"/>
  <c r="K7" i="20"/>
  <c r="N7" i="20"/>
  <c r="D8" i="20"/>
  <c r="G8" i="20"/>
  <c r="K8" i="20"/>
  <c r="N8" i="20"/>
  <c r="D9" i="20"/>
  <c r="G9" i="20"/>
  <c r="K9" i="20"/>
  <c r="N9" i="20"/>
  <c r="D10" i="20"/>
  <c r="G10" i="20"/>
  <c r="K10" i="20"/>
  <c r="N10" i="20"/>
  <c r="D11" i="20"/>
  <c r="G11" i="20"/>
  <c r="K11" i="20"/>
  <c r="N11" i="20"/>
  <c r="D12" i="20"/>
  <c r="G12" i="20"/>
  <c r="K12" i="20"/>
  <c r="N12" i="20"/>
  <c r="D13" i="20"/>
  <c r="G13" i="20"/>
  <c r="K13" i="20"/>
  <c r="N13" i="20"/>
  <c r="D14" i="20"/>
  <c r="G14" i="20"/>
  <c r="K14" i="20"/>
  <c r="N14" i="20"/>
  <c r="D15" i="20"/>
  <c r="G15" i="20"/>
  <c r="K15" i="20"/>
  <c r="N15" i="20"/>
  <c r="D16" i="20"/>
  <c r="G16" i="20"/>
  <c r="K16" i="20"/>
  <c r="N16" i="20"/>
  <c r="D17" i="20"/>
  <c r="G17" i="20"/>
  <c r="K17" i="20"/>
  <c r="N17" i="20"/>
  <c r="D18" i="20"/>
  <c r="G18" i="20"/>
  <c r="K18" i="20"/>
  <c r="N18" i="20"/>
  <c r="D19" i="20"/>
  <c r="G19" i="20"/>
  <c r="K19" i="20"/>
  <c r="N19" i="20"/>
  <c r="D21" i="20"/>
  <c r="G21" i="20"/>
  <c r="K21" i="20"/>
  <c r="N21" i="20"/>
  <c r="D22" i="20"/>
  <c r="G22" i="20"/>
  <c r="K22" i="20"/>
  <c r="N22" i="20"/>
  <c r="D23" i="20"/>
  <c r="G23" i="20"/>
  <c r="K23" i="20"/>
  <c r="N23" i="20"/>
  <c r="D24" i="20"/>
  <c r="G24" i="20"/>
  <c r="K24" i="20"/>
  <c r="N24" i="20"/>
  <c r="D25" i="20"/>
  <c r="G25" i="20"/>
  <c r="K25" i="20"/>
  <c r="N25" i="20"/>
  <c r="D26" i="20"/>
  <c r="G26" i="20"/>
  <c r="K26" i="20"/>
  <c r="N26" i="20"/>
  <c r="D27" i="20"/>
  <c r="G27" i="20"/>
  <c r="K27" i="20"/>
  <c r="N27" i="20"/>
  <c r="D28" i="20"/>
  <c r="G28" i="20"/>
  <c r="K28" i="20"/>
  <c r="N28" i="20"/>
  <c r="D29" i="20"/>
  <c r="G29" i="20"/>
  <c r="K29" i="20"/>
  <c r="N29" i="20"/>
  <c r="D30" i="20"/>
  <c r="G30" i="20"/>
  <c r="K30" i="20"/>
  <c r="N30" i="20"/>
  <c r="D31" i="20"/>
  <c r="G31" i="20"/>
  <c r="K31" i="20"/>
  <c r="N31" i="20"/>
  <c r="D32" i="20"/>
  <c r="G32" i="20"/>
  <c r="K32" i="20"/>
  <c r="N32" i="20"/>
  <c r="D33" i="20"/>
  <c r="G33" i="20"/>
  <c r="K33" i="20"/>
  <c r="N33" i="20"/>
  <c r="D34" i="20"/>
  <c r="G34" i="20"/>
  <c r="K34" i="20"/>
  <c r="N34" i="20"/>
  <c r="D35" i="20"/>
  <c r="G35" i="20"/>
  <c r="K35" i="20"/>
  <c r="N35" i="20"/>
  <c r="D36" i="20"/>
  <c r="G36" i="20"/>
  <c r="K36" i="20"/>
  <c r="N36" i="20"/>
  <c r="E25" i="9"/>
  <c r="E24" i="9"/>
  <c r="E26" i="9" s="1"/>
  <c r="E20" i="9"/>
  <c r="E19" i="9"/>
  <c r="E18" i="9"/>
  <c r="E17" i="9"/>
  <c r="E14" i="9"/>
  <c r="E5" i="19"/>
  <c r="E4" i="19"/>
  <c r="E3" i="19"/>
  <c r="A3" i="18"/>
  <c r="E3" i="18"/>
  <c r="G3" i="18"/>
  <c r="H3" i="18" s="1"/>
  <c r="I3" i="18"/>
  <c r="L3" i="18"/>
  <c r="M3" i="18"/>
  <c r="Q3" i="18" s="1"/>
  <c r="S3" i="18" s="1"/>
  <c r="N3" i="18"/>
  <c r="P3" i="18"/>
  <c r="R3" i="18"/>
  <c r="U3" i="18"/>
  <c r="G4" i="18"/>
  <c r="H4" i="18" s="1"/>
  <c r="M4" i="18"/>
  <c r="N4" i="18"/>
  <c r="P4" i="18" s="1"/>
  <c r="Q4" i="18"/>
  <c r="S4" i="18" s="1"/>
  <c r="R4" i="18"/>
  <c r="A6" i="18"/>
  <c r="E6" i="18"/>
  <c r="I6" i="18" s="1"/>
  <c r="G6" i="18"/>
  <c r="H6" i="18" s="1"/>
  <c r="J6" i="18"/>
  <c r="L6" i="18" s="1"/>
  <c r="N6" i="18"/>
  <c r="P6" i="18" s="1"/>
  <c r="R6" i="18"/>
  <c r="U6" i="18"/>
  <c r="G7" i="18"/>
  <c r="H7" i="18" s="1"/>
  <c r="N7" i="18"/>
  <c r="R7" i="18"/>
  <c r="A9" i="18"/>
  <c r="E9" i="18"/>
  <c r="G9" i="18"/>
  <c r="H9" i="18" s="1"/>
  <c r="I9" i="18"/>
  <c r="J9" i="18"/>
  <c r="L9" i="18" s="1"/>
  <c r="M9" i="18"/>
  <c r="Q9" i="18" s="1"/>
  <c r="S9" i="18" s="1"/>
  <c r="N9" i="18"/>
  <c r="P9" i="18" s="1"/>
  <c r="R9" i="18"/>
  <c r="U9" i="18"/>
  <c r="G10" i="18"/>
  <c r="H10" i="18"/>
  <c r="M10" i="18"/>
  <c r="Q10" i="18" s="1"/>
  <c r="S10" i="18" s="1"/>
  <c r="N10" i="18"/>
  <c r="R10" i="18"/>
  <c r="A12" i="18"/>
  <c r="E12" i="18"/>
  <c r="I12" i="18" s="1"/>
  <c r="G12" i="18"/>
  <c r="H12" i="18" s="1"/>
  <c r="J12" i="18"/>
  <c r="L12" i="18"/>
  <c r="M12" i="18"/>
  <c r="N12" i="18"/>
  <c r="P12" i="18"/>
  <c r="Q12" i="18"/>
  <c r="S12" i="18" s="1"/>
  <c r="R12" i="18"/>
  <c r="U12" i="18"/>
  <c r="G13" i="18"/>
  <c r="H13" i="18"/>
  <c r="M13" i="18"/>
  <c r="Q13" i="18" s="1"/>
  <c r="S13" i="18" s="1"/>
  <c r="N13" i="18"/>
  <c r="P13" i="18"/>
  <c r="R13" i="18"/>
  <c r="E15" i="18"/>
  <c r="G15" i="18"/>
  <c r="H15" i="18"/>
  <c r="I15" i="18"/>
  <c r="J15" i="18"/>
  <c r="L15" i="18" s="1"/>
  <c r="N15" i="18"/>
  <c r="R15" i="18"/>
  <c r="U15" i="18"/>
  <c r="G16" i="18"/>
  <c r="H16" i="18"/>
  <c r="N16" i="18"/>
  <c r="R16" i="18"/>
  <c r="E18" i="18"/>
  <c r="G18" i="18"/>
  <c r="H18" i="18" s="1"/>
  <c r="I18" i="18"/>
  <c r="J18" i="18"/>
  <c r="P19" i="18" s="1"/>
  <c r="L18" i="18"/>
  <c r="M18" i="18"/>
  <c r="Q18" i="18" s="1"/>
  <c r="S18" i="18" s="1"/>
  <c r="N18" i="18"/>
  <c r="P18" i="18" s="1"/>
  <c r="R18" i="18"/>
  <c r="U18" i="18"/>
  <c r="G19" i="18"/>
  <c r="H19" i="18"/>
  <c r="M19" i="18"/>
  <c r="Q19" i="18" s="1"/>
  <c r="S19" i="18" s="1"/>
  <c r="N19" i="18"/>
  <c r="R19" i="18"/>
  <c r="E21" i="18"/>
  <c r="I21" i="18" s="1"/>
  <c r="G21" i="18"/>
  <c r="H21" i="18"/>
  <c r="J21" i="18"/>
  <c r="L21" i="18" s="1"/>
  <c r="N21" i="18"/>
  <c r="P21" i="18"/>
  <c r="R21" i="18"/>
  <c r="U21" i="18"/>
  <c r="G22" i="18"/>
  <c r="H22" i="18"/>
  <c r="M22" i="18"/>
  <c r="N22" i="18"/>
  <c r="P22" i="18"/>
  <c r="Q22" i="18"/>
  <c r="S22" i="18" s="1"/>
  <c r="R22" i="18"/>
  <c r="E24" i="18"/>
  <c r="G24" i="18"/>
  <c r="H24" i="18" s="1"/>
  <c r="J24" i="18"/>
  <c r="M25" i="18" s="1"/>
  <c r="Q25" i="18" s="1"/>
  <c r="S25" i="18" s="1"/>
  <c r="L24" i="18"/>
  <c r="M24" i="18"/>
  <c r="Q24" i="18" s="1"/>
  <c r="S24" i="18" s="1"/>
  <c r="N24" i="18"/>
  <c r="R24" i="18"/>
  <c r="U24" i="18"/>
  <c r="G25" i="18"/>
  <c r="H25" i="18"/>
  <c r="N25" i="18"/>
  <c r="P25" i="18" s="1"/>
  <c r="R25" i="18"/>
  <c r="E27" i="18"/>
  <c r="G27" i="18"/>
  <c r="H27" i="18" s="1"/>
  <c r="J27" i="18"/>
  <c r="L27" i="18" s="1"/>
  <c r="M27" i="18"/>
  <c r="N27" i="18"/>
  <c r="P27" i="18"/>
  <c r="Q27" i="18"/>
  <c r="S27" i="18" s="1"/>
  <c r="R27" i="18"/>
  <c r="U27" i="18"/>
  <c r="G28" i="18"/>
  <c r="H28" i="18"/>
  <c r="M28" i="18"/>
  <c r="N28" i="18"/>
  <c r="P28" i="18"/>
  <c r="Q28" i="18"/>
  <c r="S28" i="18" s="1"/>
  <c r="R28" i="18"/>
  <c r="C2" i="17"/>
  <c r="D2" i="17"/>
  <c r="E2" i="17"/>
  <c r="F2" i="17"/>
  <c r="G2" i="17"/>
  <c r="H2" i="17"/>
  <c r="I2" i="17"/>
  <c r="J2" i="17"/>
  <c r="K2" i="17"/>
  <c r="L2" i="17"/>
  <c r="C3" i="17"/>
  <c r="D3" i="17"/>
  <c r="E3" i="17"/>
  <c r="F3" i="17"/>
  <c r="G3" i="17"/>
  <c r="H3" i="17"/>
  <c r="I3" i="17"/>
  <c r="J3" i="17"/>
  <c r="K3" i="17"/>
  <c r="L3" i="17"/>
  <c r="C4" i="17"/>
  <c r="D4" i="17"/>
  <c r="E4" i="17"/>
  <c r="F4" i="17"/>
  <c r="G4" i="17"/>
  <c r="H4" i="17"/>
  <c r="I4" i="17"/>
  <c r="J4" i="17"/>
  <c r="K4" i="17"/>
  <c r="L4" i="17"/>
  <c r="C5" i="17"/>
  <c r="D5" i="17"/>
  <c r="E5" i="17"/>
  <c r="F5" i="17"/>
  <c r="G5" i="17"/>
  <c r="H5" i="17"/>
  <c r="I5" i="17"/>
  <c r="J5" i="17"/>
  <c r="K5" i="17"/>
  <c r="L5" i="17"/>
  <c r="C6" i="17"/>
  <c r="D6" i="17"/>
  <c r="E6" i="17"/>
  <c r="F6" i="17"/>
  <c r="G6" i="17"/>
  <c r="H6" i="17"/>
  <c r="I6" i="17"/>
  <c r="J6" i="17"/>
  <c r="K6" i="17"/>
  <c r="L6" i="17"/>
  <c r="C7" i="17"/>
  <c r="D7" i="17"/>
  <c r="E7" i="17"/>
  <c r="F7" i="17"/>
  <c r="G7" i="17"/>
  <c r="H7" i="17"/>
  <c r="I7" i="17"/>
  <c r="J7" i="17"/>
  <c r="K7" i="17"/>
  <c r="L7" i="17"/>
  <c r="C8" i="17"/>
  <c r="D8" i="17"/>
  <c r="E8" i="17"/>
  <c r="F8" i="17"/>
  <c r="G8" i="17"/>
  <c r="H8" i="17"/>
  <c r="I8" i="17"/>
  <c r="J8" i="17"/>
  <c r="K8" i="17"/>
  <c r="L8" i="17"/>
  <c r="C9" i="17"/>
  <c r="D9" i="17"/>
  <c r="E9" i="17"/>
  <c r="F9" i="17"/>
  <c r="G9" i="17"/>
  <c r="H9" i="17"/>
  <c r="I9" i="17"/>
  <c r="J9" i="17"/>
  <c r="K9" i="17"/>
  <c r="L9" i="17"/>
  <c r="C10" i="17"/>
  <c r="D10" i="17"/>
  <c r="E10" i="17"/>
  <c r="F10" i="17"/>
  <c r="G10" i="17"/>
  <c r="H10" i="17"/>
  <c r="I10" i="17"/>
  <c r="J10" i="17"/>
  <c r="K10" i="17"/>
  <c r="L10" i="17"/>
  <c r="C11" i="17"/>
  <c r="D11" i="17"/>
  <c r="E11" i="17"/>
  <c r="F11" i="17"/>
  <c r="G11" i="17"/>
  <c r="H11" i="17"/>
  <c r="I11" i="17"/>
  <c r="J11" i="17"/>
  <c r="K11" i="17"/>
  <c r="L11" i="17"/>
  <c r="C12" i="17"/>
  <c r="D12" i="17"/>
  <c r="E12" i="17"/>
  <c r="F12" i="17"/>
  <c r="G12" i="17"/>
  <c r="H12" i="17"/>
  <c r="I12" i="17"/>
  <c r="J12" i="17"/>
  <c r="K12" i="17"/>
  <c r="L12" i="17"/>
  <c r="C14" i="17"/>
  <c r="D14" i="17"/>
  <c r="E14" i="17"/>
  <c r="F14" i="17"/>
  <c r="G14" i="17"/>
  <c r="H14" i="17"/>
  <c r="I14" i="17"/>
  <c r="J14" i="17"/>
  <c r="K14" i="17"/>
  <c r="L14" i="17"/>
  <c r="C15" i="17"/>
  <c r="D15" i="17"/>
  <c r="E15" i="17"/>
  <c r="F15" i="17"/>
  <c r="G15" i="17"/>
  <c r="H15" i="17"/>
  <c r="I15" i="17"/>
  <c r="J15" i="17"/>
  <c r="K15" i="17"/>
  <c r="L15" i="17"/>
  <c r="C16" i="17"/>
  <c r="D16" i="17"/>
  <c r="E16" i="17"/>
  <c r="F16" i="17"/>
  <c r="G16" i="17"/>
  <c r="H16" i="17"/>
  <c r="I16" i="17"/>
  <c r="J16" i="17"/>
  <c r="K16" i="17"/>
  <c r="L16" i="17"/>
  <c r="C17" i="17"/>
  <c r="D17" i="17"/>
  <c r="E17" i="17"/>
  <c r="F17" i="17"/>
  <c r="G17" i="17"/>
  <c r="H17" i="17"/>
  <c r="I17" i="17"/>
  <c r="J17" i="17"/>
  <c r="K17" i="17"/>
  <c r="L17" i="17"/>
  <c r="C18" i="17"/>
  <c r="D18" i="17"/>
  <c r="E18" i="17"/>
  <c r="F18" i="17"/>
  <c r="G18" i="17"/>
  <c r="H18" i="17"/>
  <c r="I18" i="17"/>
  <c r="J18" i="17"/>
  <c r="K18" i="17"/>
  <c r="L18" i="17"/>
  <c r="C19" i="17"/>
  <c r="D19" i="17"/>
  <c r="E19" i="17"/>
  <c r="F19" i="17"/>
  <c r="G19" i="17"/>
  <c r="H19" i="17"/>
  <c r="I19" i="17"/>
  <c r="J19" i="17"/>
  <c r="K19" i="17"/>
  <c r="L19" i="17"/>
  <c r="C20" i="17"/>
  <c r="D20" i="17"/>
  <c r="E20" i="17"/>
  <c r="F20" i="17"/>
  <c r="G20" i="17"/>
  <c r="H20" i="17"/>
  <c r="I20" i="17"/>
  <c r="J20" i="17"/>
  <c r="K20" i="17"/>
  <c r="L20" i="17"/>
  <c r="C21" i="17"/>
  <c r="D21" i="17"/>
  <c r="E21" i="17"/>
  <c r="F21" i="17"/>
  <c r="G21" i="17"/>
  <c r="H21" i="17"/>
  <c r="I21" i="17"/>
  <c r="J21" i="17"/>
  <c r="K21" i="17"/>
  <c r="L21" i="17"/>
  <c r="C22" i="17"/>
  <c r="D22" i="17"/>
  <c r="E22" i="17"/>
  <c r="F22" i="17"/>
  <c r="G22" i="17"/>
  <c r="H22" i="17"/>
  <c r="I22" i="17"/>
  <c r="J22" i="17"/>
  <c r="K22" i="17"/>
  <c r="L22" i="17"/>
  <c r="C23" i="17"/>
  <c r="D23" i="17"/>
  <c r="E23" i="17"/>
  <c r="F23" i="17"/>
  <c r="G23" i="17"/>
  <c r="H23" i="17"/>
  <c r="I23" i="17"/>
  <c r="J23" i="17"/>
  <c r="K23" i="17"/>
  <c r="L23" i="17"/>
  <c r="C24" i="17"/>
  <c r="D24" i="17"/>
  <c r="E24" i="17"/>
  <c r="F24" i="17"/>
  <c r="G24" i="17"/>
  <c r="H24" i="17"/>
  <c r="I24" i="17"/>
  <c r="J24" i="17"/>
  <c r="K24" i="17"/>
  <c r="L24" i="17"/>
  <c r="G2" i="16"/>
  <c r="G3" i="16"/>
  <c r="G4" i="16"/>
  <c r="G5" i="16"/>
  <c r="C6" i="16"/>
  <c r="G6" i="16"/>
  <c r="C7" i="16"/>
  <c r="C9" i="16"/>
  <c r="C10" i="16"/>
  <c r="G10" i="16"/>
  <c r="G11" i="16"/>
  <c r="G13" i="16"/>
  <c r="G14" i="16"/>
  <c r="G2" i="15"/>
  <c r="G3" i="15"/>
  <c r="G5" i="15"/>
  <c r="C6" i="15"/>
  <c r="G6" i="15"/>
  <c r="C7" i="15"/>
  <c r="C9" i="15"/>
  <c r="C10" i="15"/>
  <c r="G10" i="15"/>
  <c r="G11" i="15"/>
  <c r="G13" i="15"/>
  <c r="G14" i="15"/>
  <c r="G4" i="14"/>
  <c r="G5" i="14" s="1"/>
  <c r="C5" i="14"/>
  <c r="C6" i="14"/>
  <c r="C7" i="14"/>
  <c r="C9" i="14"/>
  <c r="G12" i="14" s="1"/>
  <c r="C10" i="14"/>
  <c r="C11" i="14"/>
  <c r="C2" i="13"/>
  <c r="D2" i="13"/>
  <c r="E2" i="13"/>
  <c r="G2" i="13"/>
  <c r="I2" i="13"/>
  <c r="J2" i="13"/>
  <c r="K2" i="13"/>
  <c r="L2" i="13"/>
  <c r="M2" i="13"/>
  <c r="N2" i="13"/>
  <c r="C3" i="13"/>
  <c r="D3" i="13"/>
  <c r="E3" i="13"/>
  <c r="G3" i="13"/>
  <c r="I3" i="13"/>
  <c r="J3" i="13"/>
  <c r="K3" i="13"/>
  <c r="L3" i="13"/>
  <c r="M3" i="13"/>
  <c r="N3" i="13"/>
  <c r="C4" i="13"/>
  <c r="D4" i="13"/>
  <c r="E4" i="13"/>
  <c r="G4" i="13"/>
  <c r="I4" i="13"/>
  <c r="J4" i="13"/>
  <c r="K4" i="13"/>
  <c r="L4" i="13"/>
  <c r="M4" i="13"/>
  <c r="N4" i="13"/>
  <c r="C5" i="13"/>
  <c r="D5" i="13"/>
  <c r="E5" i="13"/>
  <c r="G5" i="13"/>
  <c r="I5" i="13"/>
  <c r="J5" i="13"/>
  <c r="K5" i="13"/>
  <c r="L5" i="13"/>
  <c r="M5" i="13"/>
  <c r="N5" i="13"/>
  <c r="C6" i="13"/>
  <c r="D6" i="13"/>
  <c r="E6" i="13"/>
  <c r="G6" i="13"/>
  <c r="I6" i="13"/>
  <c r="J6" i="13"/>
  <c r="K6" i="13"/>
  <c r="L6" i="13"/>
  <c r="M6" i="13"/>
  <c r="N6" i="13"/>
  <c r="C7" i="13"/>
  <c r="D7" i="13"/>
  <c r="E7" i="13"/>
  <c r="G7" i="13"/>
  <c r="H13" i="13" s="1"/>
  <c r="I7" i="13"/>
  <c r="J7" i="13"/>
  <c r="K7" i="13"/>
  <c r="L7" i="13"/>
  <c r="M7" i="13"/>
  <c r="N7" i="13"/>
  <c r="C8" i="13"/>
  <c r="D8" i="13"/>
  <c r="E8" i="13"/>
  <c r="G8" i="13"/>
  <c r="I8" i="13"/>
  <c r="J8" i="13"/>
  <c r="K8" i="13"/>
  <c r="L8" i="13"/>
  <c r="M8" i="13"/>
  <c r="N8" i="13"/>
  <c r="C9" i="13"/>
  <c r="D9" i="13"/>
  <c r="E9" i="13"/>
  <c r="G9" i="13"/>
  <c r="I9" i="13"/>
  <c r="J9" i="13"/>
  <c r="K9" i="13"/>
  <c r="L9" i="13"/>
  <c r="M9" i="13"/>
  <c r="N9" i="13"/>
  <c r="C10" i="13"/>
  <c r="D10" i="13"/>
  <c r="E10" i="13"/>
  <c r="G10" i="13"/>
  <c r="I10" i="13"/>
  <c r="J10" i="13"/>
  <c r="K10" i="13"/>
  <c r="L10" i="13"/>
  <c r="M10" i="13"/>
  <c r="N10" i="13"/>
  <c r="C11" i="13"/>
  <c r="D11" i="13"/>
  <c r="E11" i="13"/>
  <c r="G11" i="13"/>
  <c r="I11" i="13"/>
  <c r="J11" i="13"/>
  <c r="K11" i="13"/>
  <c r="L11" i="13"/>
  <c r="M11" i="13"/>
  <c r="N11" i="13"/>
  <c r="C12" i="13"/>
  <c r="D12" i="13"/>
  <c r="E12" i="13"/>
  <c r="G12" i="13"/>
  <c r="I12" i="13"/>
  <c r="J12" i="13"/>
  <c r="K12" i="13"/>
  <c r="L12" i="13"/>
  <c r="M12" i="13"/>
  <c r="N12" i="13"/>
  <c r="C14" i="13"/>
  <c r="D14" i="13"/>
  <c r="E14" i="13"/>
  <c r="G14" i="13"/>
  <c r="I14" i="13"/>
  <c r="J14" i="13"/>
  <c r="K14" i="13"/>
  <c r="L14" i="13"/>
  <c r="M14" i="13"/>
  <c r="N14" i="13"/>
  <c r="C15" i="13"/>
  <c r="D15" i="13"/>
  <c r="E15" i="13"/>
  <c r="G15" i="13"/>
  <c r="I15" i="13"/>
  <c r="J15" i="13"/>
  <c r="K15" i="13"/>
  <c r="L15" i="13"/>
  <c r="M15" i="13"/>
  <c r="N15" i="13"/>
  <c r="C16" i="13"/>
  <c r="D16" i="13"/>
  <c r="E16" i="13"/>
  <c r="G16" i="13"/>
  <c r="I16" i="13"/>
  <c r="J16" i="13"/>
  <c r="K16" i="13"/>
  <c r="L16" i="13"/>
  <c r="M16" i="13"/>
  <c r="N16" i="13"/>
  <c r="C17" i="13"/>
  <c r="D17" i="13"/>
  <c r="E17" i="13"/>
  <c r="G17" i="13"/>
  <c r="I17" i="13"/>
  <c r="J17" i="13"/>
  <c r="K17" i="13"/>
  <c r="L17" i="13"/>
  <c r="M17" i="13"/>
  <c r="N17" i="13"/>
  <c r="C18" i="13"/>
  <c r="D18" i="13"/>
  <c r="E18" i="13"/>
  <c r="G18" i="13"/>
  <c r="I18" i="13"/>
  <c r="J18" i="13"/>
  <c r="K18" i="13"/>
  <c r="L18" i="13"/>
  <c r="M18" i="13"/>
  <c r="N18" i="13"/>
  <c r="C19" i="13"/>
  <c r="D19" i="13"/>
  <c r="E19" i="13"/>
  <c r="G19" i="13"/>
  <c r="I19" i="13"/>
  <c r="J19" i="13"/>
  <c r="K19" i="13"/>
  <c r="L19" i="13"/>
  <c r="M19" i="13"/>
  <c r="N19" i="13"/>
  <c r="C20" i="13"/>
  <c r="D20" i="13"/>
  <c r="E20" i="13"/>
  <c r="G20" i="13"/>
  <c r="I20" i="13"/>
  <c r="J20" i="13"/>
  <c r="K20" i="13"/>
  <c r="L20" i="13"/>
  <c r="M20" i="13"/>
  <c r="N20" i="13"/>
  <c r="C21" i="13"/>
  <c r="D21" i="13"/>
  <c r="E21" i="13"/>
  <c r="F13" i="13" s="1"/>
  <c r="G21" i="13"/>
  <c r="I21" i="13"/>
  <c r="J21" i="13"/>
  <c r="K21" i="13"/>
  <c r="L21" i="13"/>
  <c r="M21" i="13"/>
  <c r="N21" i="13"/>
  <c r="C22" i="13"/>
  <c r="D22" i="13"/>
  <c r="E22" i="13"/>
  <c r="G22" i="13"/>
  <c r="I22" i="13"/>
  <c r="J22" i="13"/>
  <c r="K22" i="13"/>
  <c r="L22" i="13"/>
  <c r="M22" i="13"/>
  <c r="N22" i="13"/>
  <c r="C23" i="13"/>
  <c r="D23" i="13"/>
  <c r="E23" i="13"/>
  <c r="G23" i="13"/>
  <c r="I23" i="13"/>
  <c r="J23" i="13"/>
  <c r="K23" i="13"/>
  <c r="L23" i="13"/>
  <c r="M23" i="13"/>
  <c r="N23" i="13"/>
  <c r="C24" i="13"/>
  <c r="D24" i="13"/>
  <c r="E24" i="13"/>
  <c r="G24" i="13"/>
  <c r="I24" i="13"/>
  <c r="J24" i="13"/>
  <c r="K24" i="13"/>
  <c r="L24" i="13"/>
  <c r="M24" i="13"/>
  <c r="N24" i="13"/>
  <c r="G14" i="12"/>
  <c r="D17" i="12"/>
  <c r="D18" i="12"/>
  <c r="D19" i="12"/>
  <c r="D20" i="12"/>
  <c r="D21" i="12"/>
  <c r="D22" i="12"/>
  <c r="L30" i="11"/>
  <c r="K30" i="11"/>
  <c r="J30" i="11"/>
  <c r="I30" i="11"/>
  <c r="H30" i="11"/>
  <c r="G30" i="11"/>
  <c r="F30" i="11"/>
  <c r="E30" i="11"/>
  <c r="D30" i="11"/>
  <c r="C30" i="11"/>
  <c r="L29" i="11"/>
  <c r="K29" i="11"/>
  <c r="J29" i="11"/>
  <c r="I29" i="11"/>
  <c r="H29" i="11"/>
  <c r="G29" i="11"/>
  <c r="F29" i="11"/>
  <c r="E29" i="11"/>
  <c r="D29" i="11"/>
  <c r="C29" i="11"/>
  <c r="L28" i="11"/>
  <c r="K28" i="11"/>
  <c r="J28" i="11"/>
  <c r="I28" i="11"/>
  <c r="H28" i="11"/>
  <c r="G28" i="11"/>
  <c r="F28" i="11"/>
  <c r="E28" i="11"/>
  <c r="D28" i="11"/>
  <c r="C28" i="11"/>
  <c r="L27" i="11"/>
  <c r="K27" i="11"/>
  <c r="J27" i="11"/>
  <c r="I27" i="11"/>
  <c r="H27" i="11"/>
  <c r="G27" i="11"/>
  <c r="F27" i="11"/>
  <c r="E27" i="11"/>
  <c r="D27" i="11"/>
  <c r="C27" i="11"/>
  <c r="L26" i="11"/>
  <c r="K26" i="11"/>
  <c r="J26" i="11"/>
  <c r="I26" i="11"/>
  <c r="H26" i="11"/>
  <c r="G26" i="11"/>
  <c r="F26" i="11"/>
  <c r="E26" i="11"/>
  <c r="D26" i="11"/>
  <c r="C26" i="11"/>
  <c r="L25" i="11"/>
  <c r="K25" i="11"/>
  <c r="J25" i="11"/>
  <c r="I25" i="11"/>
  <c r="H25" i="11"/>
  <c r="G25" i="11"/>
  <c r="F25" i="11"/>
  <c r="E25" i="11"/>
  <c r="D25" i="11"/>
  <c r="C25" i="11"/>
  <c r="L24" i="11"/>
  <c r="K24" i="11"/>
  <c r="J24" i="11"/>
  <c r="I24" i="11"/>
  <c r="H24" i="11"/>
  <c r="G24" i="11"/>
  <c r="F24" i="11"/>
  <c r="E24" i="11"/>
  <c r="D24" i="11"/>
  <c r="C24" i="11"/>
  <c r="L23" i="11"/>
  <c r="K23" i="11"/>
  <c r="J23" i="11"/>
  <c r="I23" i="11"/>
  <c r="H23" i="11"/>
  <c r="G23" i="11"/>
  <c r="F23" i="11"/>
  <c r="E23" i="11"/>
  <c r="D23" i="11"/>
  <c r="C23" i="11"/>
  <c r="L22" i="11"/>
  <c r="K22" i="11"/>
  <c r="J22" i="11"/>
  <c r="I22" i="11"/>
  <c r="H22" i="11"/>
  <c r="G22" i="11"/>
  <c r="F22" i="11"/>
  <c r="E22" i="11"/>
  <c r="D22" i="11"/>
  <c r="C22" i="11"/>
  <c r="L21" i="11"/>
  <c r="K21" i="11"/>
  <c r="J21" i="11"/>
  <c r="I21" i="11"/>
  <c r="H21" i="11"/>
  <c r="G21" i="11"/>
  <c r="F21" i="11"/>
  <c r="E21" i="11"/>
  <c r="D21" i="11"/>
  <c r="C21" i="11"/>
  <c r="L20" i="11"/>
  <c r="K20" i="11"/>
  <c r="J20" i="11"/>
  <c r="I20" i="11"/>
  <c r="H20" i="11"/>
  <c r="G20" i="11"/>
  <c r="F20" i="11"/>
  <c r="E20" i="11"/>
  <c r="D20" i="11"/>
  <c r="C20" i="11"/>
  <c r="L19" i="11"/>
  <c r="K19" i="11"/>
  <c r="J19" i="11"/>
  <c r="I19" i="11"/>
  <c r="H19" i="11"/>
  <c r="G19" i="11"/>
  <c r="F19" i="11"/>
  <c r="E19" i="11"/>
  <c r="D19" i="11"/>
  <c r="C19" i="11"/>
  <c r="L18" i="11"/>
  <c r="K18" i="11"/>
  <c r="J18" i="11"/>
  <c r="I18" i="11"/>
  <c r="H18" i="11"/>
  <c r="G18" i="11"/>
  <c r="F18" i="11"/>
  <c r="E18" i="11"/>
  <c r="D18" i="11"/>
  <c r="C18" i="11"/>
  <c r="L17" i="11"/>
  <c r="K17" i="11"/>
  <c r="J17" i="11"/>
  <c r="I17" i="11"/>
  <c r="H17" i="11"/>
  <c r="G17" i="11"/>
  <c r="F17" i="11"/>
  <c r="E17" i="11"/>
  <c r="D17" i="11"/>
  <c r="C17" i="11"/>
  <c r="L15" i="11"/>
  <c r="K15" i="11"/>
  <c r="J15" i="11"/>
  <c r="I15" i="11"/>
  <c r="H15" i="11"/>
  <c r="G15" i="11"/>
  <c r="F15" i="11"/>
  <c r="E15" i="11"/>
  <c r="D15" i="11"/>
  <c r="C15" i="11"/>
  <c r="L14" i="11"/>
  <c r="K14" i="11"/>
  <c r="J14" i="11"/>
  <c r="I14" i="11"/>
  <c r="H14" i="11"/>
  <c r="G14" i="11"/>
  <c r="F14" i="11"/>
  <c r="E14" i="11"/>
  <c r="D14" i="11"/>
  <c r="C14" i="11"/>
  <c r="L13" i="11"/>
  <c r="K13" i="11"/>
  <c r="J13" i="11"/>
  <c r="I13" i="11"/>
  <c r="H13" i="11"/>
  <c r="G13" i="11"/>
  <c r="F13" i="11"/>
  <c r="E13" i="11"/>
  <c r="D13" i="11"/>
  <c r="C13" i="11"/>
  <c r="L12" i="11"/>
  <c r="K12" i="11"/>
  <c r="J12" i="11"/>
  <c r="I12" i="11"/>
  <c r="H12" i="11"/>
  <c r="G12" i="11"/>
  <c r="F12" i="11"/>
  <c r="E12" i="11"/>
  <c r="D12" i="11"/>
  <c r="C12" i="11"/>
  <c r="L11" i="11"/>
  <c r="K11" i="11"/>
  <c r="J11" i="11"/>
  <c r="I11" i="11"/>
  <c r="H11" i="11"/>
  <c r="G11" i="11"/>
  <c r="F11" i="11"/>
  <c r="E11" i="11"/>
  <c r="D11" i="11"/>
  <c r="C11" i="11"/>
  <c r="L10" i="11"/>
  <c r="K10" i="11"/>
  <c r="J10" i="11"/>
  <c r="I10" i="11"/>
  <c r="H10" i="11"/>
  <c r="G10" i="11"/>
  <c r="F10" i="11"/>
  <c r="E10" i="11"/>
  <c r="D10" i="11"/>
  <c r="C10" i="11"/>
  <c r="L9" i="11"/>
  <c r="K9" i="11"/>
  <c r="J9" i="11"/>
  <c r="I9" i="11"/>
  <c r="H9" i="11"/>
  <c r="G9" i="11"/>
  <c r="F9" i="11"/>
  <c r="E9" i="11"/>
  <c r="D9" i="11"/>
  <c r="C9" i="11"/>
  <c r="L8" i="11"/>
  <c r="K8" i="11"/>
  <c r="J8" i="11"/>
  <c r="I8" i="11"/>
  <c r="H8" i="11"/>
  <c r="G8" i="11"/>
  <c r="F8" i="11"/>
  <c r="E8" i="11"/>
  <c r="D8" i="11"/>
  <c r="C8" i="11"/>
  <c r="L7" i="11"/>
  <c r="K7" i="11"/>
  <c r="J7" i="11"/>
  <c r="I7" i="11"/>
  <c r="H7" i="11"/>
  <c r="G7" i="11"/>
  <c r="F7" i="11"/>
  <c r="E7" i="11"/>
  <c r="D7" i="11"/>
  <c r="C7" i="11"/>
  <c r="L6" i="11"/>
  <c r="K6" i="11"/>
  <c r="J6" i="11"/>
  <c r="I6" i="11"/>
  <c r="H6" i="11"/>
  <c r="G6" i="11"/>
  <c r="F6" i="11"/>
  <c r="E6" i="11"/>
  <c r="D6" i="11"/>
  <c r="C6" i="11"/>
  <c r="L5" i="11"/>
  <c r="K5" i="11"/>
  <c r="J5" i="11"/>
  <c r="I5" i="11"/>
  <c r="H5" i="11"/>
  <c r="G5" i="11"/>
  <c r="F5" i="11"/>
  <c r="E5" i="11"/>
  <c r="D5" i="11"/>
  <c r="C5" i="11"/>
  <c r="L4" i="11"/>
  <c r="K4" i="11"/>
  <c r="J4" i="11"/>
  <c r="I4" i="11"/>
  <c r="H4" i="11"/>
  <c r="G4" i="11"/>
  <c r="F4" i="11"/>
  <c r="E4" i="11"/>
  <c r="D4" i="11"/>
  <c r="C4" i="11"/>
  <c r="L3" i="11"/>
  <c r="K3" i="11"/>
  <c r="J3" i="11"/>
  <c r="I3" i="11"/>
  <c r="H3" i="11"/>
  <c r="G3" i="11"/>
  <c r="F3" i="11"/>
  <c r="E3" i="11"/>
  <c r="D3" i="11"/>
  <c r="C3" i="11"/>
  <c r="L2" i="11"/>
  <c r="K2" i="11"/>
  <c r="J2" i="11"/>
  <c r="I2" i="11"/>
  <c r="H2" i="11"/>
  <c r="G2" i="11"/>
  <c r="F2" i="11"/>
  <c r="E2" i="11"/>
  <c r="D2" i="11"/>
  <c r="C2" i="11"/>
  <c r="H3" i="10"/>
  <c r="H4" i="10"/>
  <c r="H5" i="10"/>
  <c r="H6" i="10"/>
  <c r="H7" i="10"/>
  <c r="H8" i="10"/>
  <c r="H9" i="10"/>
  <c r="D10" i="10"/>
  <c r="H10" i="10"/>
  <c r="D11" i="10"/>
  <c r="H11" i="10"/>
  <c r="D12" i="10"/>
  <c r="D3" i="10" s="1"/>
  <c r="H12" i="10"/>
  <c r="E2" i="9"/>
  <c r="E3" i="9"/>
  <c r="G3" i="9" s="1"/>
  <c r="F4" i="9"/>
  <c r="F5" i="9"/>
  <c r="A4" i="7"/>
  <c r="B4" i="7"/>
  <c r="C4" i="7"/>
  <c r="D4" i="7"/>
  <c r="E4" i="7"/>
  <c r="F4" i="7"/>
  <c r="H4" i="7"/>
  <c r="I4" i="7"/>
  <c r="J4" i="7"/>
  <c r="K4" i="7"/>
  <c r="L4" i="7"/>
  <c r="M4" i="7"/>
  <c r="A5" i="7"/>
  <c r="B5" i="7"/>
  <c r="C5" i="7"/>
  <c r="D5" i="7"/>
  <c r="E5" i="7"/>
  <c r="F5" i="7"/>
  <c r="H5" i="7"/>
  <c r="I5" i="7"/>
  <c r="J5" i="7"/>
  <c r="K5" i="7"/>
  <c r="L5" i="7"/>
  <c r="M5" i="7"/>
  <c r="A6" i="7"/>
  <c r="B6" i="7"/>
  <c r="C6" i="7"/>
  <c r="D6" i="7"/>
  <c r="E6" i="7"/>
  <c r="F6" i="7"/>
  <c r="H6" i="7"/>
  <c r="I6" i="7"/>
  <c r="J6" i="7"/>
  <c r="K6" i="7"/>
  <c r="L6" i="7"/>
  <c r="M6" i="7"/>
  <c r="A7" i="7"/>
  <c r="B7" i="7"/>
  <c r="C7" i="7"/>
  <c r="D7" i="7"/>
  <c r="E7" i="7"/>
  <c r="F7" i="7"/>
  <c r="H7" i="7"/>
  <c r="I7" i="7"/>
  <c r="J7" i="7"/>
  <c r="K7" i="7"/>
  <c r="L7" i="7"/>
  <c r="M7" i="7"/>
  <c r="A8" i="7"/>
  <c r="B8" i="7"/>
  <c r="C8" i="7"/>
  <c r="D8" i="7"/>
  <c r="E8" i="7"/>
  <c r="F8" i="7"/>
  <c r="H8" i="7"/>
  <c r="I8" i="7"/>
  <c r="J8" i="7"/>
  <c r="K8" i="7"/>
  <c r="L8" i="7"/>
  <c r="M8" i="7"/>
  <c r="A9" i="7"/>
  <c r="B9" i="7"/>
  <c r="C9" i="7"/>
  <c r="D9" i="7"/>
  <c r="E9" i="7"/>
  <c r="F9" i="7"/>
  <c r="H9" i="7"/>
  <c r="I9" i="7"/>
  <c r="J9" i="7"/>
  <c r="K9" i="7"/>
  <c r="L9" i="7"/>
  <c r="M9" i="7"/>
  <c r="A10" i="7"/>
  <c r="B10" i="7"/>
  <c r="C10" i="7"/>
  <c r="D10" i="7"/>
  <c r="E10" i="7"/>
  <c r="F10" i="7"/>
  <c r="H10" i="7"/>
  <c r="I10" i="7"/>
  <c r="J10" i="7"/>
  <c r="K10" i="7"/>
  <c r="L10" i="7"/>
  <c r="M10" i="7"/>
  <c r="A11" i="7"/>
  <c r="B11" i="7"/>
  <c r="C11" i="7"/>
  <c r="D11" i="7"/>
  <c r="E11" i="7"/>
  <c r="F11" i="7"/>
  <c r="H11" i="7"/>
  <c r="I11" i="7"/>
  <c r="J11" i="7"/>
  <c r="K11" i="7"/>
  <c r="L11" i="7"/>
  <c r="M11" i="7"/>
  <c r="A12" i="7"/>
  <c r="B12" i="7"/>
  <c r="C12" i="7"/>
  <c r="D12" i="7"/>
  <c r="E12" i="7"/>
  <c r="F12" i="7"/>
  <c r="H12" i="7"/>
  <c r="I12" i="7"/>
  <c r="J12" i="7"/>
  <c r="K12" i="7"/>
  <c r="L12" i="7"/>
  <c r="M12" i="7"/>
  <c r="A13" i="7"/>
  <c r="B13" i="7"/>
  <c r="C13" i="7"/>
  <c r="D13" i="7"/>
  <c r="E13" i="7"/>
  <c r="F13" i="7"/>
  <c r="H13" i="7"/>
  <c r="I13" i="7"/>
  <c r="J13" i="7"/>
  <c r="K13" i="7"/>
  <c r="L13" i="7"/>
  <c r="M13" i="7"/>
  <c r="A14" i="7"/>
  <c r="B14" i="7"/>
  <c r="C14" i="7"/>
  <c r="D14" i="7"/>
  <c r="E14" i="7"/>
  <c r="F14" i="7"/>
  <c r="H14" i="7"/>
  <c r="I14" i="7"/>
  <c r="J14" i="7"/>
  <c r="K14" i="7"/>
  <c r="L14" i="7"/>
  <c r="M14" i="7"/>
  <c r="A15" i="7"/>
  <c r="B15" i="7"/>
  <c r="C15" i="7"/>
  <c r="D15" i="7"/>
  <c r="E15" i="7"/>
  <c r="F15" i="7"/>
  <c r="H15" i="7"/>
  <c r="I15" i="7"/>
  <c r="J15" i="7"/>
  <c r="K15" i="7"/>
  <c r="L15" i="7"/>
  <c r="M15" i="7"/>
  <c r="A16" i="7"/>
  <c r="B16" i="7"/>
  <c r="C16" i="7"/>
  <c r="D16" i="7"/>
  <c r="E16" i="7"/>
  <c r="F16" i="7"/>
  <c r="H16" i="7"/>
  <c r="I16" i="7"/>
  <c r="J16" i="7"/>
  <c r="K16" i="7"/>
  <c r="L16" i="7"/>
  <c r="M16" i="7"/>
  <c r="A17" i="7"/>
  <c r="B17" i="7"/>
  <c r="C17" i="7"/>
  <c r="D17" i="7"/>
  <c r="E17" i="7"/>
  <c r="F17" i="7"/>
  <c r="H17" i="7"/>
  <c r="I17" i="7"/>
  <c r="J17" i="7"/>
  <c r="K17" i="7"/>
  <c r="L17" i="7"/>
  <c r="M17" i="7"/>
  <c r="A18" i="7"/>
  <c r="B18" i="7"/>
  <c r="C18" i="7"/>
  <c r="D18" i="7"/>
  <c r="E18" i="7"/>
  <c r="F18" i="7"/>
  <c r="H18" i="7"/>
  <c r="I18" i="7"/>
  <c r="J18" i="7"/>
  <c r="K18" i="7"/>
  <c r="L18" i="7"/>
  <c r="M18" i="7"/>
  <c r="A19" i="7"/>
  <c r="B19" i="7"/>
  <c r="C19" i="7"/>
  <c r="D19" i="7"/>
  <c r="E19" i="7"/>
  <c r="F19" i="7"/>
  <c r="H19" i="7"/>
  <c r="I19" i="7"/>
  <c r="J19" i="7"/>
  <c r="K19" i="7"/>
  <c r="L19" i="7"/>
  <c r="M19" i="7"/>
  <c r="A20" i="7"/>
  <c r="B20" i="7"/>
  <c r="C20" i="7"/>
  <c r="D20" i="7"/>
  <c r="E20" i="7"/>
  <c r="F20" i="7"/>
  <c r="H20" i="7"/>
  <c r="I20" i="7"/>
  <c r="J20" i="7"/>
  <c r="K20" i="7"/>
  <c r="L20" i="7"/>
  <c r="M20" i="7"/>
  <c r="A21" i="7"/>
  <c r="B21" i="7"/>
  <c r="C21" i="7"/>
  <c r="D21" i="7"/>
  <c r="E21" i="7"/>
  <c r="F21" i="7"/>
  <c r="H21" i="7"/>
  <c r="I21" i="7"/>
  <c r="J21" i="7"/>
  <c r="K21" i="7"/>
  <c r="L21" i="7"/>
  <c r="M21" i="7"/>
  <c r="A22" i="7"/>
  <c r="B22" i="7"/>
  <c r="C22" i="7"/>
  <c r="D22" i="7"/>
  <c r="E22" i="7"/>
  <c r="F22" i="7"/>
  <c r="H22" i="7"/>
  <c r="I22" i="7"/>
  <c r="J22" i="7"/>
  <c r="K22" i="7"/>
  <c r="L22" i="7"/>
  <c r="M22" i="7"/>
  <c r="A23" i="7"/>
  <c r="B23" i="7"/>
  <c r="C23" i="7"/>
  <c r="D23" i="7"/>
  <c r="E23" i="7"/>
  <c r="F23" i="7"/>
  <c r="H23" i="7"/>
  <c r="I23" i="7"/>
  <c r="J23" i="7"/>
  <c r="K23" i="7"/>
  <c r="L23" i="7"/>
  <c r="M23" i="7"/>
  <c r="A24" i="7"/>
  <c r="B24" i="7"/>
  <c r="C24" i="7"/>
  <c r="D24" i="7"/>
  <c r="E24" i="7"/>
  <c r="F24" i="7"/>
  <c r="H24" i="7"/>
  <c r="I24" i="7"/>
  <c r="J24" i="7"/>
  <c r="K24" i="7"/>
  <c r="L24" i="7"/>
  <c r="M24" i="7"/>
  <c r="A25" i="7"/>
  <c r="B25" i="7"/>
  <c r="C25" i="7"/>
  <c r="D25" i="7"/>
  <c r="E25" i="7"/>
  <c r="F25" i="7"/>
  <c r="H25" i="7"/>
  <c r="I25" i="7"/>
  <c r="J25" i="7"/>
  <c r="K25" i="7"/>
  <c r="L25" i="7"/>
  <c r="M25" i="7"/>
  <c r="A26" i="7"/>
  <c r="B26" i="7"/>
  <c r="C26" i="7"/>
  <c r="D26" i="7"/>
  <c r="E26" i="7"/>
  <c r="F26" i="7"/>
  <c r="H26" i="7"/>
  <c r="I26" i="7"/>
  <c r="J26" i="7"/>
  <c r="K26" i="7"/>
  <c r="L26" i="7"/>
  <c r="M26" i="7"/>
  <c r="A27" i="7"/>
  <c r="B27" i="7"/>
  <c r="C27" i="7"/>
  <c r="D27" i="7"/>
  <c r="E27" i="7"/>
  <c r="F27" i="7"/>
  <c r="H27" i="7"/>
  <c r="I27" i="7"/>
  <c r="J27" i="7"/>
  <c r="K27" i="7"/>
  <c r="L27" i="7"/>
  <c r="M27" i="7"/>
  <c r="A28" i="7"/>
  <c r="B28" i="7"/>
  <c r="C28" i="7"/>
  <c r="D28" i="7"/>
  <c r="E28" i="7"/>
  <c r="F28" i="7"/>
  <c r="H28" i="7"/>
  <c r="I28" i="7"/>
  <c r="J28" i="7"/>
  <c r="K28" i="7"/>
  <c r="L28" i="7"/>
  <c r="M28" i="7"/>
  <c r="A29" i="7"/>
  <c r="B29" i="7"/>
  <c r="C29" i="7"/>
  <c r="D29" i="7"/>
  <c r="E29" i="7"/>
  <c r="F29" i="7"/>
  <c r="H29" i="7"/>
  <c r="I29" i="7"/>
  <c r="J29" i="7"/>
  <c r="K29" i="7"/>
  <c r="L29" i="7"/>
  <c r="M29" i="7"/>
  <c r="A30" i="7"/>
  <c r="B30" i="7"/>
  <c r="C30" i="7"/>
  <c r="D30" i="7"/>
  <c r="E30" i="7"/>
  <c r="F30" i="7"/>
  <c r="H30" i="7"/>
  <c r="I30" i="7"/>
  <c r="J30" i="7"/>
  <c r="K30" i="7"/>
  <c r="L30" i="7"/>
  <c r="M30" i="7"/>
  <c r="A31" i="7"/>
  <c r="B31" i="7"/>
  <c r="C31" i="7"/>
  <c r="D31" i="7"/>
  <c r="E31" i="7"/>
  <c r="F31" i="7"/>
  <c r="H31" i="7"/>
  <c r="I31" i="7"/>
  <c r="J31" i="7"/>
  <c r="K31" i="7"/>
  <c r="L31" i="7"/>
  <c r="M31" i="7"/>
  <c r="A32" i="7"/>
  <c r="B32" i="7"/>
  <c r="C32" i="7"/>
  <c r="D32" i="7"/>
  <c r="E32" i="7"/>
  <c r="F32" i="7"/>
  <c r="H32" i="7"/>
  <c r="I32" i="7"/>
  <c r="J32" i="7"/>
  <c r="K32" i="7"/>
  <c r="L32" i="7"/>
  <c r="M32" i="7"/>
  <c r="A33" i="7"/>
  <c r="B33" i="7"/>
  <c r="C33" i="7"/>
  <c r="D33" i="7"/>
  <c r="E33" i="7"/>
  <c r="F33" i="7"/>
  <c r="H33" i="7"/>
  <c r="I33" i="7"/>
  <c r="J33" i="7"/>
  <c r="K33" i="7"/>
  <c r="L33" i="7"/>
  <c r="M33" i="7"/>
  <c r="A34" i="7"/>
  <c r="B34" i="7"/>
  <c r="C34" i="7"/>
  <c r="D34" i="7"/>
  <c r="E34" i="7"/>
  <c r="F34" i="7"/>
  <c r="H34" i="7"/>
  <c r="I34" i="7"/>
  <c r="J34" i="7"/>
  <c r="K34" i="7"/>
  <c r="L34" i="7"/>
  <c r="M34" i="7"/>
  <c r="A35" i="7"/>
  <c r="B35" i="7"/>
  <c r="C35" i="7"/>
  <c r="D35" i="7"/>
  <c r="E35" i="7"/>
  <c r="F35" i="7"/>
  <c r="H35" i="7"/>
  <c r="I35" i="7"/>
  <c r="J35" i="7"/>
  <c r="K35" i="7"/>
  <c r="L35" i="7"/>
  <c r="M35" i="7"/>
  <c r="A36" i="7"/>
  <c r="B36" i="7"/>
  <c r="C36" i="7"/>
  <c r="D36" i="7"/>
  <c r="E36" i="7"/>
  <c r="F36" i="7"/>
  <c r="H36" i="7"/>
  <c r="I36" i="7"/>
  <c r="J36" i="7"/>
  <c r="K36" i="7"/>
  <c r="L36" i="7"/>
  <c r="M36" i="7"/>
  <c r="A37" i="7"/>
  <c r="B37" i="7"/>
  <c r="C37" i="7"/>
  <c r="D37" i="7"/>
  <c r="E37" i="7"/>
  <c r="F37" i="7"/>
  <c r="H37" i="7"/>
  <c r="I37" i="7"/>
  <c r="J37" i="7"/>
  <c r="K37" i="7"/>
  <c r="L37" i="7"/>
  <c r="M37" i="7"/>
  <c r="A38" i="7"/>
  <c r="B38" i="7"/>
  <c r="C38" i="7"/>
  <c r="D38" i="7"/>
  <c r="E38" i="7"/>
  <c r="F38" i="7"/>
  <c r="H38" i="7"/>
  <c r="I38" i="7"/>
  <c r="J38" i="7"/>
  <c r="K38" i="7"/>
  <c r="L38" i="7"/>
  <c r="M38" i="7"/>
  <c r="A39" i="7"/>
  <c r="B39" i="7"/>
  <c r="C39" i="7"/>
  <c r="D39" i="7"/>
  <c r="E39" i="7"/>
  <c r="F39" i="7"/>
  <c r="H39" i="7"/>
  <c r="I39" i="7"/>
  <c r="J39" i="7"/>
  <c r="K39" i="7"/>
  <c r="L39" i="7"/>
  <c r="M39" i="7"/>
  <c r="A40" i="7"/>
  <c r="B40" i="7"/>
  <c r="C40" i="7"/>
  <c r="D40" i="7"/>
  <c r="E40" i="7"/>
  <c r="F40" i="7"/>
  <c r="H40" i="7"/>
  <c r="I40" i="7"/>
  <c r="J40" i="7"/>
  <c r="K40" i="7"/>
  <c r="L40" i="7"/>
  <c r="M40" i="7"/>
  <c r="A41" i="7"/>
  <c r="B41" i="7"/>
  <c r="C41" i="7"/>
  <c r="D41" i="7"/>
  <c r="E41" i="7"/>
  <c r="F41" i="7"/>
  <c r="H41" i="7"/>
  <c r="I41" i="7"/>
  <c r="J41" i="7"/>
  <c r="K41" i="7"/>
  <c r="L41" i="7"/>
  <c r="M41" i="7"/>
  <c r="A42" i="7"/>
  <c r="B42" i="7"/>
  <c r="C42" i="7"/>
  <c r="D42" i="7"/>
  <c r="E42" i="7"/>
  <c r="F42" i="7"/>
  <c r="H42" i="7"/>
  <c r="I42" i="7"/>
  <c r="J42" i="7"/>
  <c r="K42" i="7"/>
  <c r="L42" i="7"/>
  <c r="M42" i="7"/>
  <c r="A43" i="7"/>
  <c r="B43" i="7"/>
  <c r="C43" i="7"/>
  <c r="D43" i="7"/>
  <c r="E43" i="7"/>
  <c r="F43" i="7"/>
  <c r="H43" i="7"/>
  <c r="I43" i="7"/>
  <c r="J43" i="7"/>
  <c r="K43" i="7"/>
  <c r="L43" i="7"/>
  <c r="M43" i="7"/>
  <c r="A44" i="7"/>
  <c r="B44" i="7"/>
  <c r="C44" i="7"/>
  <c r="D44" i="7"/>
  <c r="E44" i="7"/>
  <c r="F44" i="7"/>
  <c r="H44" i="7"/>
  <c r="I44" i="7"/>
  <c r="J44" i="7"/>
  <c r="K44" i="7"/>
  <c r="L44" i="7"/>
  <c r="M44" i="7"/>
  <c r="A45" i="7"/>
  <c r="B45" i="7"/>
  <c r="C45" i="7"/>
  <c r="D45" i="7"/>
  <c r="E45" i="7"/>
  <c r="F45" i="7"/>
  <c r="H45" i="7"/>
  <c r="I45" i="7"/>
  <c r="J45" i="7"/>
  <c r="K45" i="7"/>
  <c r="L45" i="7"/>
  <c r="M45" i="7"/>
  <c r="A46" i="7"/>
  <c r="B46" i="7"/>
  <c r="C46" i="7"/>
  <c r="D46" i="7"/>
  <c r="E46" i="7"/>
  <c r="F46" i="7"/>
  <c r="H46" i="7"/>
  <c r="I46" i="7"/>
  <c r="J46" i="7"/>
  <c r="K46" i="7"/>
  <c r="L46" i="7"/>
  <c r="M46" i="7"/>
  <c r="A47" i="7"/>
  <c r="B47" i="7"/>
  <c r="C47" i="7"/>
  <c r="D47" i="7"/>
  <c r="E47" i="7"/>
  <c r="F47" i="7"/>
  <c r="H47" i="7"/>
  <c r="I47" i="7"/>
  <c r="J47" i="7"/>
  <c r="K47" i="7"/>
  <c r="L47" i="7"/>
  <c r="M47" i="7"/>
  <c r="A48" i="7"/>
  <c r="B48" i="7"/>
  <c r="C48" i="7"/>
  <c r="D48" i="7"/>
  <c r="E48" i="7"/>
  <c r="F48" i="7"/>
  <c r="H48" i="7"/>
  <c r="I48" i="7"/>
  <c r="J48" i="7"/>
  <c r="K48" i="7"/>
  <c r="L48" i="7"/>
  <c r="M48" i="7"/>
  <c r="A49" i="7"/>
  <c r="B49" i="7"/>
  <c r="C49" i="7"/>
  <c r="D49" i="7"/>
  <c r="E49" i="7"/>
  <c r="F49" i="7"/>
  <c r="H49" i="7"/>
  <c r="I49" i="7"/>
  <c r="J49" i="7"/>
  <c r="K49" i="7"/>
  <c r="L49" i="7"/>
  <c r="M49" i="7"/>
  <c r="A50" i="7"/>
  <c r="B50" i="7"/>
  <c r="C50" i="7"/>
  <c r="D50" i="7"/>
  <c r="E50" i="7"/>
  <c r="F50" i="7"/>
  <c r="H50" i="7"/>
  <c r="I50" i="7"/>
  <c r="J50" i="7"/>
  <c r="K50" i="7"/>
  <c r="L50" i="7"/>
  <c r="M50" i="7"/>
  <c r="A51" i="7"/>
  <c r="B51" i="7"/>
  <c r="C51" i="7"/>
  <c r="D51" i="7"/>
  <c r="E51" i="7"/>
  <c r="F51" i="7"/>
  <c r="H51" i="7"/>
  <c r="I51" i="7"/>
  <c r="J51" i="7"/>
  <c r="K51" i="7"/>
  <c r="L51" i="7"/>
  <c r="M51" i="7"/>
  <c r="A52" i="7"/>
  <c r="B52" i="7"/>
  <c r="C52" i="7"/>
  <c r="D52" i="7"/>
  <c r="E52" i="7"/>
  <c r="F52" i="7"/>
  <c r="H52" i="7"/>
  <c r="I52" i="7"/>
  <c r="J52" i="7"/>
  <c r="K52" i="7"/>
  <c r="L52" i="7"/>
  <c r="M52" i="7"/>
  <c r="D2" i="6"/>
  <c r="E2" i="6"/>
  <c r="F2" i="6"/>
  <c r="G2" i="6"/>
  <c r="H2" i="6"/>
  <c r="I2" i="6"/>
  <c r="J2" i="6"/>
  <c r="K2" i="6"/>
  <c r="L2" i="6"/>
  <c r="D4" i="6"/>
  <c r="E4" i="6"/>
  <c r="F4" i="6"/>
  <c r="G4" i="6"/>
  <c r="H4" i="6"/>
  <c r="I4" i="6"/>
  <c r="J4" i="6"/>
  <c r="K4" i="6"/>
  <c r="L4" i="6"/>
  <c r="E6" i="6"/>
  <c r="I6" i="6" s="1"/>
  <c r="F6" i="6"/>
  <c r="H6" i="6"/>
  <c r="E7" i="6"/>
  <c r="H7" i="6"/>
  <c r="I7" i="6"/>
  <c r="J6" i="6" s="1"/>
  <c r="K6" i="6" s="1"/>
  <c r="C5" i="5"/>
  <c r="G6" i="5"/>
  <c r="C7" i="5"/>
  <c r="C8" i="5"/>
  <c r="C12" i="5"/>
  <c r="C13" i="5"/>
  <c r="G14" i="5"/>
  <c r="C15" i="5"/>
  <c r="D20" i="5"/>
  <c r="D21" i="5"/>
  <c r="D22" i="5"/>
  <c r="D23" i="5"/>
  <c r="C26" i="5"/>
  <c r="D26" i="5"/>
  <c r="B26" i="5" s="1"/>
  <c r="D30" i="5"/>
  <c r="E30" i="5" s="1"/>
  <c r="D31" i="5"/>
  <c r="E31" i="5"/>
  <c r="D32" i="5"/>
  <c r="E32" i="5" s="1"/>
  <c r="D33" i="5"/>
  <c r="E33" i="5"/>
  <c r="D34" i="5"/>
  <c r="E34" i="5" s="1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D47" i="5"/>
  <c r="E47" i="5"/>
  <c r="F47" i="5"/>
  <c r="G47" i="5" s="1"/>
  <c r="D53" i="5"/>
  <c r="E53" i="5"/>
  <c r="F53" i="5" s="1"/>
  <c r="G53" i="5" s="1"/>
  <c r="C59" i="5"/>
  <c r="D59" i="5"/>
  <c r="E59" i="5"/>
  <c r="F59" i="5"/>
  <c r="G59" i="5"/>
  <c r="H59" i="5"/>
  <c r="I59" i="5"/>
  <c r="J59" i="5"/>
  <c r="K59" i="5"/>
  <c r="L59" i="5"/>
  <c r="D65" i="5"/>
  <c r="D66" i="5" s="1"/>
  <c r="E65" i="5"/>
  <c r="F65" i="5"/>
  <c r="G65" i="5"/>
  <c r="C66" i="5"/>
  <c r="E66" i="5"/>
  <c r="F66" i="5"/>
  <c r="G66" i="5"/>
  <c r="A4" i="4"/>
  <c r="B4" i="4"/>
  <c r="C4" i="4"/>
  <c r="D4" i="4"/>
  <c r="F4" i="4"/>
  <c r="G4" i="4"/>
  <c r="H4" i="4"/>
  <c r="I4" i="4"/>
  <c r="J4" i="4"/>
  <c r="K4" i="4"/>
  <c r="A5" i="4"/>
  <c r="B5" i="4"/>
  <c r="C5" i="4"/>
  <c r="D5" i="4"/>
  <c r="F5" i="4"/>
  <c r="G5" i="4"/>
  <c r="H5" i="4"/>
  <c r="I5" i="4"/>
  <c r="J5" i="4"/>
  <c r="K5" i="4"/>
  <c r="A6" i="4"/>
  <c r="B6" i="4"/>
  <c r="C6" i="4"/>
  <c r="D6" i="4"/>
  <c r="F6" i="4"/>
  <c r="G6" i="4"/>
  <c r="H6" i="4"/>
  <c r="I6" i="4"/>
  <c r="J6" i="4"/>
  <c r="K6" i="4"/>
  <c r="A7" i="4"/>
  <c r="B7" i="4"/>
  <c r="C7" i="4"/>
  <c r="D7" i="4"/>
  <c r="F7" i="4"/>
  <c r="G7" i="4"/>
  <c r="H7" i="4"/>
  <c r="I7" i="4"/>
  <c r="J7" i="4"/>
  <c r="K7" i="4"/>
  <c r="A8" i="4"/>
  <c r="B8" i="4"/>
  <c r="C8" i="4"/>
  <c r="D8" i="4"/>
  <c r="F8" i="4"/>
  <c r="G8" i="4"/>
  <c r="H8" i="4"/>
  <c r="I8" i="4"/>
  <c r="J8" i="4"/>
  <c r="K8" i="4"/>
  <c r="A9" i="4"/>
  <c r="B9" i="4"/>
  <c r="C9" i="4"/>
  <c r="D9" i="4"/>
  <c r="F9" i="4"/>
  <c r="G9" i="4"/>
  <c r="H9" i="4"/>
  <c r="I9" i="4"/>
  <c r="J9" i="4"/>
  <c r="K9" i="4"/>
  <c r="A10" i="4"/>
  <c r="B10" i="4"/>
  <c r="C10" i="4"/>
  <c r="D10" i="4"/>
  <c r="F10" i="4"/>
  <c r="G10" i="4"/>
  <c r="H10" i="4"/>
  <c r="I10" i="4"/>
  <c r="J10" i="4"/>
  <c r="K10" i="4"/>
  <c r="A11" i="4"/>
  <c r="B11" i="4"/>
  <c r="C11" i="4"/>
  <c r="D11" i="4"/>
  <c r="F11" i="4"/>
  <c r="G11" i="4"/>
  <c r="H11" i="4"/>
  <c r="I11" i="4"/>
  <c r="J11" i="4"/>
  <c r="K11" i="4"/>
  <c r="A12" i="4"/>
  <c r="B12" i="4"/>
  <c r="C12" i="4"/>
  <c r="D12" i="4"/>
  <c r="F12" i="4"/>
  <c r="G12" i="4"/>
  <c r="H12" i="4"/>
  <c r="I12" i="4"/>
  <c r="J12" i="4"/>
  <c r="K12" i="4"/>
  <c r="A13" i="4"/>
  <c r="B13" i="4"/>
  <c r="C13" i="4"/>
  <c r="D13" i="4"/>
  <c r="F13" i="4"/>
  <c r="G13" i="4"/>
  <c r="H13" i="4"/>
  <c r="I13" i="4"/>
  <c r="J13" i="4"/>
  <c r="K13" i="4"/>
  <c r="A14" i="4"/>
  <c r="B14" i="4"/>
  <c r="C14" i="4"/>
  <c r="D14" i="4"/>
  <c r="F14" i="4"/>
  <c r="G14" i="4"/>
  <c r="H14" i="4"/>
  <c r="I14" i="4"/>
  <c r="J14" i="4"/>
  <c r="K14" i="4"/>
  <c r="A15" i="4"/>
  <c r="B15" i="4"/>
  <c r="C15" i="4"/>
  <c r="D15" i="4"/>
  <c r="F15" i="4"/>
  <c r="G15" i="4"/>
  <c r="H15" i="4"/>
  <c r="I15" i="4"/>
  <c r="J15" i="4"/>
  <c r="K15" i="4"/>
  <c r="A16" i="4"/>
  <c r="B16" i="4"/>
  <c r="C16" i="4"/>
  <c r="D16" i="4"/>
  <c r="F16" i="4"/>
  <c r="G16" i="4"/>
  <c r="H16" i="4"/>
  <c r="I16" i="4"/>
  <c r="J16" i="4"/>
  <c r="K16" i="4"/>
  <c r="A17" i="4"/>
  <c r="B17" i="4"/>
  <c r="C17" i="4"/>
  <c r="D17" i="4"/>
  <c r="F17" i="4"/>
  <c r="G17" i="4"/>
  <c r="H17" i="4"/>
  <c r="I17" i="4"/>
  <c r="J17" i="4"/>
  <c r="K17" i="4"/>
  <c r="A18" i="4"/>
  <c r="B18" i="4"/>
  <c r="C18" i="4"/>
  <c r="D18" i="4"/>
  <c r="F18" i="4"/>
  <c r="G18" i="4"/>
  <c r="H18" i="4"/>
  <c r="I18" i="4"/>
  <c r="J18" i="4"/>
  <c r="K18" i="4"/>
  <c r="A19" i="4"/>
  <c r="B19" i="4"/>
  <c r="C19" i="4"/>
  <c r="D19" i="4"/>
  <c r="F19" i="4"/>
  <c r="G19" i="4"/>
  <c r="H19" i="4"/>
  <c r="I19" i="4"/>
  <c r="J19" i="4"/>
  <c r="K19" i="4"/>
  <c r="A20" i="4"/>
  <c r="B20" i="4"/>
  <c r="C20" i="4"/>
  <c r="D20" i="4"/>
  <c r="F20" i="4"/>
  <c r="G20" i="4"/>
  <c r="H20" i="4"/>
  <c r="I20" i="4"/>
  <c r="J20" i="4"/>
  <c r="K20" i="4"/>
  <c r="A21" i="4"/>
  <c r="B21" i="4"/>
  <c r="C21" i="4"/>
  <c r="D21" i="4"/>
  <c r="F21" i="4"/>
  <c r="G21" i="4"/>
  <c r="H21" i="4"/>
  <c r="I21" i="4"/>
  <c r="J21" i="4"/>
  <c r="K21" i="4"/>
  <c r="A22" i="4"/>
  <c r="B22" i="4"/>
  <c r="C22" i="4"/>
  <c r="D22" i="4"/>
  <c r="F22" i="4"/>
  <c r="G22" i="4"/>
  <c r="H22" i="4"/>
  <c r="I22" i="4"/>
  <c r="J22" i="4"/>
  <c r="K22" i="4"/>
  <c r="A23" i="4"/>
  <c r="B23" i="4"/>
  <c r="C23" i="4"/>
  <c r="D23" i="4"/>
  <c r="F23" i="4"/>
  <c r="G23" i="4"/>
  <c r="H23" i="4"/>
  <c r="I23" i="4"/>
  <c r="J23" i="4"/>
  <c r="K23" i="4"/>
  <c r="A24" i="4"/>
  <c r="B24" i="4"/>
  <c r="C24" i="4"/>
  <c r="D24" i="4"/>
  <c r="F24" i="4"/>
  <c r="G24" i="4"/>
  <c r="H24" i="4"/>
  <c r="I24" i="4"/>
  <c r="J24" i="4"/>
  <c r="K24" i="4"/>
  <c r="A25" i="4"/>
  <c r="B25" i="4"/>
  <c r="C25" i="4"/>
  <c r="D25" i="4"/>
  <c r="F25" i="4"/>
  <c r="G25" i="4"/>
  <c r="H25" i="4"/>
  <c r="I25" i="4"/>
  <c r="J25" i="4"/>
  <c r="K25" i="4"/>
  <c r="A26" i="4"/>
  <c r="B26" i="4"/>
  <c r="C26" i="4"/>
  <c r="D26" i="4"/>
  <c r="F26" i="4"/>
  <c r="G26" i="4"/>
  <c r="H26" i="4"/>
  <c r="I26" i="4"/>
  <c r="J26" i="4"/>
  <c r="K26" i="4"/>
  <c r="A27" i="4"/>
  <c r="B27" i="4"/>
  <c r="C27" i="4"/>
  <c r="D27" i="4"/>
  <c r="F27" i="4"/>
  <c r="G27" i="4"/>
  <c r="H27" i="4"/>
  <c r="I27" i="4"/>
  <c r="J27" i="4"/>
  <c r="K27" i="4"/>
  <c r="A28" i="4"/>
  <c r="B28" i="4"/>
  <c r="C28" i="4"/>
  <c r="D28" i="4"/>
  <c r="F28" i="4"/>
  <c r="G28" i="4"/>
  <c r="H28" i="4"/>
  <c r="I28" i="4"/>
  <c r="J28" i="4"/>
  <c r="K28" i="4"/>
  <c r="A29" i="4"/>
  <c r="B29" i="4"/>
  <c r="C29" i="4"/>
  <c r="D29" i="4"/>
  <c r="F29" i="4"/>
  <c r="G29" i="4"/>
  <c r="H29" i="4"/>
  <c r="I29" i="4"/>
  <c r="J29" i="4"/>
  <c r="K29" i="4"/>
  <c r="A30" i="4"/>
  <c r="B30" i="4"/>
  <c r="C30" i="4"/>
  <c r="D30" i="4"/>
  <c r="F30" i="4"/>
  <c r="G30" i="4"/>
  <c r="H30" i="4"/>
  <c r="I30" i="4"/>
  <c r="J30" i="4"/>
  <c r="K30" i="4"/>
  <c r="A31" i="4"/>
  <c r="B31" i="4"/>
  <c r="C31" i="4"/>
  <c r="D31" i="4"/>
  <c r="F31" i="4"/>
  <c r="G31" i="4"/>
  <c r="H31" i="4"/>
  <c r="I31" i="4"/>
  <c r="J31" i="4"/>
  <c r="K31" i="4"/>
  <c r="A32" i="4"/>
  <c r="B32" i="4"/>
  <c r="C32" i="4"/>
  <c r="D32" i="4"/>
  <c r="F32" i="4"/>
  <c r="G32" i="4"/>
  <c r="H32" i="4"/>
  <c r="I32" i="4"/>
  <c r="J32" i="4"/>
  <c r="K32" i="4"/>
  <c r="A33" i="4"/>
  <c r="B33" i="4"/>
  <c r="C33" i="4"/>
  <c r="D33" i="4"/>
  <c r="F33" i="4"/>
  <c r="G33" i="4"/>
  <c r="H33" i="4"/>
  <c r="I33" i="4"/>
  <c r="J33" i="4"/>
  <c r="K33" i="4"/>
  <c r="A34" i="4"/>
  <c r="B34" i="4"/>
  <c r="C34" i="4"/>
  <c r="D34" i="4"/>
  <c r="F34" i="4"/>
  <c r="G34" i="4"/>
  <c r="H34" i="4"/>
  <c r="I34" i="4"/>
  <c r="J34" i="4"/>
  <c r="K34" i="4"/>
  <c r="A35" i="4"/>
  <c r="B35" i="4"/>
  <c r="C35" i="4"/>
  <c r="D35" i="4"/>
  <c r="F35" i="4"/>
  <c r="G35" i="4"/>
  <c r="H35" i="4"/>
  <c r="I35" i="4"/>
  <c r="J35" i="4"/>
  <c r="K35" i="4"/>
  <c r="A36" i="4"/>
  <c r="B36" i="4"/>
  <c r="C36" i="4"/>
  <c r="D36" i="4"/>
  <c r="F36" i="4"/>
  <c r="G36" i="4"/>
  <c r="H36" i="4"/>
  <c r="I36" i="4"/>
  <c r="J36" i="4"/>
  <c r="K36" i="4"/>
  <c r="A37" i="4"/>
  <c r="B37" i="4"/>
  <c r="C37" i="4"/>
  <c r="D37" i="4"/>
  <c r="F37" i="4"/>
  <c r="G37" i="4"/>
  <c r="H37" i="4"/>
  <c r="I37" i="4"/>
  <c r="J37" i="4"/>
  <c r="K37" i="4"/>
  <c r="A38" i="4"/>
  <c r="B38" i="4"/>
  <c r="C38" i="4"/>
  <c r="D38" i="4"/>
  <c r="F38" i="4"/>
  <c r="G38" i="4"/>
  <c r="H38" i="4"/>
  <c r="I38" i="4"/>
  <c r="J38" i="4"/>
  <c r="K38" i="4"/>
  <c r="A39" i="4"/>
  <c r="B39" i="4"/>
  <c r="C39" i="4"/>
  <c r="D39" i="4"/>
  <c r="F39" i="4"/>
  <c r="G39" i="4"/>
  <c r="H39" i="4"/>
  <c r="I39" i="4"/>
  <c r="J39" i="4"/>
  <c r="K39" i="4"/>
  <c r="A40" i="4"/>
  <c r="B40" i="4"/>
  <c r="C40" i="4"/>
  <c r="D40" i="4"/>
  <c r="F40" i="4"/>
  <c r="G40" i="4"/>
  <c r="H40" i="4"/>
  <c r="I40" i="4"/>
  <c r="J40" i="4"/>
  <c r="K40" i="4"/>
  <c r="A41" i="4"/>
  <c r="B41" i="4"/>
  <c r="C41" i="4"/>
  <c r="D41" i="4"/>
  <c r="F41" i="4"/>
  <c r="G41" i="4"/>
  <c r="H41" i="4"/>
  <c r="I41" i="4"/>
  <c r="J41" i="4"/>
  <c r="K41" i="4"/>
  <c r="A42" i="4"/>
  <c r="B42" i="4"/>
  <c r="C42" i="4"/>
  <c r="D42" i="4"/>
  <c r="F42" i="4"/>
  <c r="G42" i="4"/>
  <c r="H42" i="4"/>
  <c r="I42" i="4"/>
  <c r="J42" i="4"/>
  <c r="K42" i="4"/>
  <c r="A43" i="4"/>
  <c r="B43" i="4"/>
  <c r="C43" i="4"/>
  <c r="D43" i="4"/>
  <c r="F43" i="4"/>
  <c r="G43" i="4"/>
  <c r="H43" i="4"/>
  <c r="I43" i="4"/>
  <c r="J43" i="4"/>
  <c r="K43" i="4"/>
  <c r="A44" i="4"/>
  <c r="B44" i="4"/>
  <c r="C44" i="4"/>
  <c r="D44" i="4"/>
  <c r="F44" i="4"/>
  <c r="G44" i="4"/>
  <c r="H44" i="4"/>
  <c r="I44" i="4"/>
  <c r="J44" i="4"/>
  <c r="K44" i="4"/>
  <c r="A45" i="4"/>
  <c r="B45" i="4"/>
  <c r="C45" i="4"/>
  <c r="D45" i="4"/>
  <c r="F45" i="4"/>
  <c r="G45" i="4"/>
  <c r="H45" i="4"/>
  <c r="I45" i="4"/>
  <c r="J45" i="4"/>
  <c r="K45" i="4"/>
  <c r="A46" i="4"/>
  <c r="B46" i="4"/>
  <c r="C46" i="4"/>
  <c r="D46" i="4"/>
  <c r="F46" i="4"/>
  <c r="G46" i="4"/>
  <c r="H46" i="4"/>
  <c r="I46" i="4"/>
  <c r="J46" i="4"/>
  <c r="K46" i="4"/>
  <c r="A47" i="4"/>
  <c r="B47" i="4"/>
  <c r="C47" i="4"/>
  <c r="D47" i="4"/>
  <c r="F47" i="4"/>
  <c r="G47" i="4"/>
  <c r="H47" i="4"/>
  <c r="I47" i="4"/>
  <c r="J47" i="4"/>
  <c r="K47" i="4"/>
  <c r="A48" i="4"/>
  <c r="B48" i="4"/>
  <c r="C48" i="4"/>
  <c r="D48" i="4"/>
  <c r="F48" i="4"/>
  <c r="G48" i="4"/>
  <c r="H48" i="4"/>
  <c r="I48" i="4"/>
  <c r="J48" i="4"/>
  <c r="K48" i="4"/>
  <c r="A49" i="4"/>
  <c r="B49" i="4"/>
  <c r="C49" i="4"/>
  <c r="D49" i="4"/>
  <c r="F49" i="4"/>
  <c r="G49" i="4"/>
  <c r="H49" i="4"/>
  <c r="I49" i="4"/>
  <c r="J49" i="4"/>
  <c r="K49" i="4"/>
  <c r="A50" i="4"/>
  <c r="B50" i="4"/>
  <c r="C50" i="4"/>
  <c r="D50" i="4"/>
  <c r="F50" i="4"/>
  <c r="G50" i="4"/>
  <c r="H50" i="4"/>
  <c r="I50" i="4"/>
  <c r="J50" i="4"/>
  <c r="K50" i="4"/>
  <c r="A51" i="4"/>
  <c r="B51" i="4"/>
  <c r="C51" i="4"/>
  <c r="D51" i="4"/>
  <c r="F51" i="4"/>
  <c r="G51" i="4"/>
  <c r="H51" i="4"/>
  <c r="I51" i="4"/>
  <c r="J51" i="4"/>
  <c r="K51" i="4"/>
  <c r="A52" i="4"/>
  <c r="B52" i="4"/>
  <c r="C52" i="4"/>
  <c r="D52" i="4"/>
  <c r="F52" i="4"/>
  <c r="G52" i="4"/>
  <c r="H52" i="4"/>
  <c r="I52" i="4"/>
  <c r="J52" i="4"/>
  <c r="K52" i="4"/>
  <c r="A53" i="4"/>
  <c r="B53" i="4"/>
  <c r="C53" i="4"/>
  <c r="D53" i="4"/>
  <c r="F53" i="4"/>
  <c r="G53" i="4"/>
  <c r="H53" i="4"/>
  <c r="I53" i="4"/>
  <c r="J53" i="4"/>
  <c r="K53" i="4"/>
  <c r="A54" i="4"/>
  <c r="B54" i="4"/>
  <c r="C54" i="4"/>
  <c r="D54" i="4"/>
  <c r="F54" i="4"/>
  <c r="G54" i="4"/>
  <c r="H54" i="4"/>
  <c r="I54" i="4"/>
  <c r="J54" i="4"/>
  <c r="K54" i="4"/>
  <c r="A55" i="4"/>
  <c r="B55" i="4"/>
  <c r="C55" i="4"/>
  <c r="D55" i="4"/>
  <c r="F55" i="4"/>
  <c r="G55" i="4"/>
  <c r="H55" i="4"/>
  <c r="I55" i="4"/>
  <c r="J55" i="4"/>
  <c r="K55" i="4"/>
  <c r="A56" i="4"/>
  <c r="B56" i="4"/>
  <c r="C56" i="4"/>
  <c r="D56" i="4"/>
  <c r="F56" i="4"/>
  <c r="G56" i="4"/>
  <c r="H56" i="4"/>
  <c r="I56" i="4"/>
  <c r="J56" i="4"/>
  <c r="K56" i="4"/>
  <c r="A57" i="4"/>
  <c r="B57" i="4"/>
  <c r="C57" i="4"/>
  <c r="D57" i="4"/>
  <c r="F57" i="4"/>
  <c r="G57" i="4"/>
  <c r="H57" i="4"/>
  <c r="I57" i="4"/>
  <c r="J57" i="4"/>
  <c r="K57" i="4"/>
  <c r="A58" i="4"/>
  <c r="B58" i="4"/>
  <c r="C58" i="4"/>
  <c r="D58" i="4"/>
  <c r="F58" i="4"/>
  <c r="G58" i="4"/>
  <c r="H58" i="4"/>
  <c r="I58" i="4"/>
  <c r="J58" i="4"/>
  <c r="K58" i="4"/>
  <c r="A59" i="4"/>
  <c r="B59" i="4"/>
  <c r="C59" i="4"/>
  <c r="D59" i="4"/>
  <c r="F59" i="4"/>
  <c r="G59" i="4"/>
  <c r="H59" i="4"/>
  <c r="I59" i="4"/>
  <c r="J59" i="4"/>
  <c r="K59" i="4"/>
  <c r="A60" i="4"/>
  <c r="B60" i="4"/>
  <c r="C60" i="4"/>
  <c r="D60" i="4"/>
  <c r="F60" i="4"/>
  <c r="G60" i="4"/>
  <c r="H60" i="4"/>
  <c r="I60" i="4"/>
  <c r="J60" i="4"/>
  <c r="K60" i="4"/>
  <c r="A61" i="4"/>
  <c r="B61" i="4"/>
  <c r="C61" i="4"/>
  <c r="D61" i="4"/>
  <c r="F61" i="4"/>
  <c r="G61" i="4"/>
  <c r="H61" i="4"/>
  <c r="I61" i="4"/>
  <c r="J61" i="4"/>
  <c r="K61" i="4"/>
  <c r="A62" i="4"/>
  <c r="B62" i="4"/>
  <c r="C62" i="4"/>
  <c r="D62" i="4"/>
  <c r="F62" i="4"/>
  <c r="G62" i="4"/>
  <c r="H62" i="4"/>
  <c r="I62" i="4"/>
  <c r="J62" i="4"/>
  <c r="K62" i="4"/>
  <c r="A63" i="4"/>
  <c r="B63" i="4"/>
  <c r="C63" i="4"/>
  <c r="D63" i="4"/>
  <c r="F63" i="4"/>
  <c r="G63" i="4"/>
  <c r="H63" i="4"/>
  <c r="I63" i="4"/>
  <c r="J63" i="4"/>
  <c r="K63" i="4"/>
  <c r="A64" i="4"/>
  <c r="B64" i="4"/>
  <c r="C64" i="4"/>
  <c r="D64" i="4"/>
  <c r="F64" i="4"/>
  <c r="G64" i="4"/>
  <c r="H64" i="4"/>
  <c r="I64" i="4"/>
  <c r="J64" i="4"/>
  <c r="K64" i="4"/>
  <c r="A65" i="4"/>
  <c r="B65" i="4"/>
  <c r="C65" i="4"/>
  <c r="D65" i="4"/>
  <c r="F65" i="4"/>
  <c r="G65" i="4"/>
  <c r="H65" i="4"/>
  <c r="I65" i="4"/>
  <c r="J65" i="4"/>
  <c r="K65" i="4"/>
  <c r="A66" i="4"/>
  <c r="B66" i="4"/>
  <c r="C66" i="4"/>
  <c r="D66" i="4"/>
  <c r="F66" i="4"/>
  <c r="G66" i="4"/>
  <c r="H66" i="4"/>
  <c r="I66" i="4"/>
  <c r="J66" i="4"/>
  <c r="K66" i="4"/>
  <c r="A67" i="4"/>
  <c r="B67" i="4"/>
  <c r="C67" i="4"/>
  <c r="D67" i="4"/>
  <c r="F67" i="4"/>
  <c r="G67" i="4"/>
  <c r="H67" i="4"/>
  <c r="I67" i="4"/>
  <c r="J67" i="4"/>
  <c r="K67" i="4"/>
  <c r="A68" i="4"/>
  <c r="B68" i="4"/>
  <c r="C68" i="4"/>
  <c r="D68" i="4"/>
  <c r="F68" i="4"/>
  <c r="G68" i="4"/>
  <c r="H68" i="4"/>
  <c r="I68" i="4"/>
  <c r="J68" i="4"/>
  <c r="K68" i="4"/>
  <c r="A69" i="4"/>
  <c r="B69" i="4"/>
  <c r="C69" i="4"/>
  <c r="D69" i="4"/>
  <c r="F69" i="4"/>
  <c r="G69" i="4"/>
  <c r="H69" i="4"/>
  <c r="I69" i="4"/>
  <c r="J69" i="4"/>
  <c r="K69" i="4"/>
  <c r="A70" i="4"/>
  <c r="B70" i="4"/>
  <c r="C70" i="4"/>
  <c r="D70" i="4"/>
  <c r="F70" i="4"/>
  <c r="G70" i="4"/>
  <c r="H70" i="4"/>
  <c r="I70" i="4"/>
  <c r="J70" i="4"/>
  <c r="K70" i="4"/>
  <c r="A71" i="4"/>
  <c r="B71" i="4"/>
  <c r="C71" i="4"/>
  <c r="D71" i="4"/>
  <c r="F71" i="4"/>
  <c r="G71" i="4"/>
  <c r="H71" i="4"/>
  <c r="I71" i="4"/>
  <c r="J71" i="4"/>
  <c r="K71" i="4"/>
  <c r="A72" i="4"/>
  <c r="B72" i="4"/>
  <c r="C72" i="4"/>
  <c r="D72" i="4"/>
  <c r="F72" i="4"/>
  <c r="G72" i="4"/>
  <c r="H72" i="4"/>
  <c r="I72" i="4"/>
  <c r="J72" i="4"/>
  <c r="K72" i="4"/>
  <c r="A73" i="4"/>
  <c r="B73" i="4"/>
  <c r="C73" i="4"/>
  <c r="D73" i="4"/>
  <c r="F73" i="4"/>
  <c r="G73" i="4"/>
  <c r="H73" i="4"/>
  <c r="I73" i="4"/>
  <c r="J73" i="4"/>
  <c r="K73" i="4"/>
  <c r="A74" i="4"/>
  <c r="B74" i="4"/>
  <c r="C74" i="4"/>
  <c r="D74" i="4"/>
  <c r="F74" i="4"/>
  <c r="G74" i="4"/>
  <c r="H74" i="4"/>
  <c r="I74" i="4"/>
  <c r="J74" i="4"/>
  <c r="K74" i="4"/>
  <c r="A75" i="4"/>
  <c r="B75" i="4"/>
  <c r="C75" i="4"/>
  <c r="D75" i="4"/>
  <c r="F75" i="4"/>
  <c r="G75" i="4"/>
  <c r="H75" i="4"/>
  <c r="I75" i="4"/>
  <c r="J75" i="4"/>
  <c r="K75" i="4"/>
  <c r="A76" i="4"/>
  <c r="B76" i="4"/>
  <c r="C76" i="4"/>
  <c r="D76" i="4"/>
  <c r="F76" i="4"/>
  <c r="G76" i="4"/>
  <c r="H76" i="4"/>
  <c r="I76" i="4"/>
  <c r="J76" i="4"/>
  <c r="K76" i="4"/>
  <c r="A77" i="4"/>
  <c r="B77" i="4"/>
  <c r="C77" i="4"/>
  <c r="D77" i="4"/>
  <c r="F77" i="4"/>
  <c r="G77" i="4"/>
  <c r="H77" i="4"/>
  <c r="I77" i="4"/>
  <c r="J77" i="4"/>
  <c r="K77" i="4"/>
  <c r="A78" i="4"/>
  <c r="B78" i="4"/>
  <c r="C78" i="4"/>
  <c r="D78" i="4"/>
  <c r="F78" i="4"/>
  <c r="G78" i="4"/>
  <c r="H78" i="4"/>
  <c r="I78" i="4"/>
  <c r="J78" i="4"/>
  <c r="K78" i="4"/>
  <c r="A79" i="4"/>
  <c r="B79" i="4"/>
  <c r="C79" i="4"/>
  <c r="D79" i="4"/>
  <c r="F79" i="4"/>
  <c r="G79" i="4"/>
  <c r="H79" i="4"/>
  <c r="I79" i="4"/>
  <c r="J79" i="4"/>
  <c r="K79" i="4"/>
  <c r="A80" i="4"/>
  <c r="B80" i="4"/>
  <c r="C80" i="4"/>
  <c r="D80" i="4"/>
  <c r="F80" i="4"/>
  <c r="G80" i="4"/>
  <c r="H80" i="4"/>
  <c r="I80" i="4"/>
  <c r="J80" i="4"/>
  <c r="K80" i="4"/>
  <c r="A81" i="4"/>
  <c r="B81" i="4"/>
  <c r="C81" i="4"/>
  <c r="D81" i="4"/>
  <c r="F81" i="4"/>
  <c r="G81" i="4"/>
  <c r="H81" i="4"/>
  <c r="I81" i="4"/>
  <c r="J81" i="4"/>
  <c r="K81" i="4"/>
  <c r="A82" i="4"/>
  <c r="B82" i="4"/>
  <c r="C82" i="4"/>
  <c r="D82" i="4"/>
  <c r="F82" i="4"/>
  <c r="G82" i="4"/>
  <c r="H82" i="4"/>
  <c r="I82" i="4"/>
  <c r="J82" i="4"/>
  <c r="K82" i="4"/>
  <c r="A83" i="4"/>
  <c r="B83" i="4"/>
  <c r="C83" i="4"/>
  <c r="D83" i="4"/>
  <c r="F83" i="4"/>
  <c r="G83" i="4"/>
  <c r="H83" i="4"/>
  <c r="I83" i="4"/>
  <c r="J83" i="4"/>
  <c r="K83" i="4"/>
  <c r="A84" i="4"/>
  <c r="B84" i="4"/>
  <c r="C84" i="4"/>
  <c r="D84" i="4"/>
  <c r="F84" i="4"/>
  <c r="G84" i="4"/>
  <c r="H84" i="4"/>
  <c r="I84" i="4"/>
  <c r="J84" i="4"/>
  <c r="K84" i="4"/>
  <c r="A85" i="4"/>
  <c r="B85" i="4"/>
  <c r="C85" i="4"/>
  <c r="D85" i="4"/>
  <c r="F85" i="4"/>
  <c r="G85" i="4"/>
  <c r="H85" i="4"/>
  <c r="I85" i="4"/>
  <c r="J85" i="4"/>
  <c r="K85" i="4"/>
  <c r="A86" i="4"/>
  <c r="B86" i="4"/>
  <c r="C86" i="4"/>
  <c r="D86" i="4"/>
  <c r="F86" i="4"/>
  <c r="G86" i="4"/>
  <c r="H86" i="4"/>
  <c r="I86" i="4"/>
  <c r="J86" i="4"/>
  <c r="K86" i="4"/>
  <c r="A87" i="4"/>
  <c r="B87" i="4"/>
  <c r="C87" i="4"/>
  <c r="D87" i="4"/>
  <c r="F87" i="4"/>
  <c r="G87" i="4"/>
  <c r="H87" i="4"/>
  <c r="I87" i="4"/>
  <c r="J87" i="4"/>
  <c r="K87" i="4"/>
  <c r="A88" i="4"/>
  <c r="B88" i="4"/>
  <c r="C88" i="4"/>
  <c r="D88" i="4"/>
  <c r="F88" i="4"/>
  <c r="G88" i="4"/>
  <c r="H88" i="4"/>
  <c r="I88" i="4"/>
  <c r="J88" i="4"/>
  <c r="K88" i="4"/>
  <c r="A89" i="4"/>
  <c r="B89" i="4"/>
  <c r="C89" i="4"/>
  <c r="D89" i="4"/>
  <c r="F89" i="4"/>
  <c r="G89" i="4"/>
  <c r="H89" i="4"/>
  <c r="I89" i="4"/>
  <c r="J89" i="4"/>
  <c r="K89" i="4"/>
  <c r="A90" i="4"/>
  <c r="B90" i="4"/>
  <c r="C90" i="4"/>
  <c r="D90" i="4"/>
  <c r="F90" i="4"/>
  <c r="G90" i="4"/>
  <c r="H90" i="4"/>
  <c r="I90" i="4"/>
  <c r="J90" i="4"/>
  <c r="K90" i="4"/>
  <c r="A91" i="4"/>
  <c r="B91" i="4"/>
  <c r="C91" i="4"/>
  <c r="D91" i="4"/>
  <c r="F91" i="4"/>
  <c r="G91" i="4"/>
  <c r="H91" i="4"/>
  <c r="I91" i="4"/>
  <c r="J91" i="4"/>
  <c r="K91" i="4"/>
  <c r="A92" i="4"/>
  <c r="B92" i="4"/>
  <c r="C92" i="4"/>
  <c r="D92" i="4"/>
  <c r="F92" i="4"/>
  <c r="G92" i="4"/>
  <c r="H92" i="4"/>
  <c r="I92" i="4"/>
  <c r="J92" i="4"/>
  <c r="K92" i="4"/>
  <c r="A93" i="4"/>
  <c r="B93" i="4"/>
  <c r="C93" i="4"/>
  <c r="D93" i="4"/>
  <c r="F93" i="4"/>
  <c r="G93" i="4"/>
  <c r="H93" i="4"/>
  <c r="I93" i="4"/>
  <c r="J93" i="4"/>
  <c r="K93" i="4"/>
  <c r="A94" i="4"/>
  <c r="B94" i="4"/>
  <c r="C94" i="4"/>
  <c r="D94" i="4"/>
  <c r="F94" i="4"/>
  <c r="G94" i="4"/>
  <c r="H94" i="4"/>
  <c r="I94" i="4"/>
  <c r="J94" i="4"/>
  <c r="K94" i="4"/>
  <c r="A95" i="4"/>
  <c r="B95" i="4"/>
  <c r="C95" i="4"/>
  <c r="D95" i="4"/>
  <c r="F95" i="4"/>
  <c r="G95" i="4"/>
  <c r="H95" i="4"/>
  <c r="I95" i="4"/>
  <c r="J95" i="4"/>
  <c r="K95" i="4"/>
  <c r="A96" i="4"/>
  <c r="B96" i="4"/>
  <c r="C96" i="4"/>
  <c r="D96" i="4"/>
  <c r="F96" i="4"/>
  <c r="G96" i="4"/>
  <c r="H96" i="4"/>
  <c r="I96" i="4"/>
  <c r="J96" i="4"/>
  <c r="K96" i="4"/>
  <c r="A97" i="4"/>
  <c r="B97" i="4"/>
  <c r="C97" i="4"/>
  <c r="D97" i="4"/>
  <c r="F97" i="4"/>
  <c r="G97" i="4"/>
  <c r="H97" i="4"/>
  <c r="I97" i="4"/>
  <c r="J97" i="4"/>
  <c r="K97" i="4"/>
  <c r="A98" i="4"/>
  <c r="B98" i="4"/>
  <c r="C98" i="4"/>
  <c r="D98" i="4"/>
  <c r="F98" i="4"/>
  <c r="G98" i="4"/>
  <c r="H98" i="4"/>
  <c r="I98" i="4"/>
  <c r="J98" i="4"/>
  <c r="K98" i="4"/>
  <c r="A99" i="4"/>
  <c r="B99" i="4"/>
  <c r="C99" i="4"/>
  <c r="D99" i="4"/>
  <c r="F99" i="4"/>
  <c r="G99" i="4"/>
  <c r="H99" i="4"/>
  <c r="I99" i="4"/>
  <c r="J99" i="4"/>
  <c r="K99" i="4"/>
  <c r="A100" i="4"/>
  <c r="B100" i="4"/>
  <c r="C100" i="4"/>
  <c r="D100" i="4"/>
  <c r="F100" i="4"/>
  <c r="G100" i="4"/>
  <c r="H100" i="4"/>
  <c r="I100" i="4"/>
  <c r="J100" i="4"/>
  <c r="K100" i="4"/>
  <c r="A101" i="4"/>
  <c r="B101" i="4"/>
  <c r="C101" i="4"/>
  <c r="D101" i="4"/>
  <c r="F101" i="4"/>
  <c r="G101" i="4"/>
  <c r="H101" i="4"/>
  <c r="I101" i="4"/>
  <c r="J101" i="4"/>
  <c r="K101" i="4"/>
  <c r="A102" i="4"/>
  <c r="B102" i="4"/>
  <c r="C102" i="4"/>
  <c r="D102" i="4"/>
  <c r="F102" i="4"/>
  <c r="G102" i="4"/>
  <c r="H102" i="4"/>
  <c r="I102" i="4"/>
  <c r="J102" i="4"/>
  <c r="K102" i="4"/>
  <c r="A103" i="4"/>
  <c r="B103" i="4"/>
  <c r="C103" i="4"/>
  <c r="D103" i="4"/>
  <c r="F103" i="4"/>
  <c r="G103" i="4"/>
  <c r="H103" i="4"/>
  <c r="I103" i="4"/>
  <c r="J103" i="4"/>
  <c r="K103" i="4"/>
  <c r="A104" i="4"/>
  <c r="B104" i="4"/>
  <c r="C104" i="4"/>
  <c r="D104" i="4"/>
  <c r="F104" i="4"/>
  <c r="G104" i="4"/>
  <c r="H104" i="4"/>
  <c r="I104" i="4"/>
  <c r="J104" i="4"/>
  <c r="K104" i="4"/>
  <c r="A105" i="4"/>
  <c r="B105" i="4"/>
  <c r="C105" i="4"/>
  <c r="D105" i="4"/>
  <c r="F105" i="4"/>
  <c r="G105" i="4"/>
  <c r="H105" i="4"/>
  <c r="I105" i="4"/>
  <c r="J105" i="4"/>
  <c r="K105" i="4"/>
  <c r="A106" i="4"/>
  <c r="B106" i="4"/>
  <c r="C106" i="4"/>
  <c r="D106" i="4"/>
  <c r="F106" i="4"/>
  <c r="G106" i="4"/>
  <c r="H106" i="4"/>
  <c r="I106" i="4"/>
  <c r="J106" i="4"/>
  <c r="K106" i="4"/>
  <c r="A107" i="4"/>
  <c r="B107" i="4"/>
  <c r="C107" i="4"/>
  <c r="D107" i="4"/>
  <c r="F107" i="4"/>
  <c r="G107" i="4"/>
  <c r="H107" i="4"/>
  <c r="I107" i="4"/>
  <c r="J107" i="4"/>
  <c r="K107" i="4"/>
  <c r="A108" i="4"/>
  <c r="B108" i="4"/>
  <c r="C108" i="4"/>
  <c r="D108" i="4"/>
  <c r="F108" i="4"/>
  <c r="G108" i="4"/>
  <c r="H108" i="4"/>
  <c r="I108" i="4"/>
  <c r="J108" i="4"/>
  <c r="K108" i="4"/>
  <c r="A109" i="4"/>
  <c r="B109" i="4"/>
  <c r="C109" i="4"/>
  <c r="D109" i="4"/>
  <c r="F109" i="4"/>
  <c r="G109" i="4"/>
  <c r="H109" i="4"/>
  <c r="I109" i="4"/>
  <c r="J109" i="4"/>
  <c r="K109" i="4"/>
  <c r="A110" i="4"/>
  <c r="B110" i="4"/>
  <c r="C110" i="4"/>
  <c r="D110" i="4"/>
  <c r="F110" i="4"/>
  <c r="G110" i="4"/>
  <c r="H110" i="4"/>
  <c r="I110" i="4"/>
  <c r="J110" i="4"/>
  <c r="K110" i="4"/>
  <c r="A111" i="4"/>
  <c r="B111" i="4"/>
  <c r="C111" i="4"/>
  <c r="D111" i="4"/>
  <c r="F111" i="4"/>
  <c r="G111" i="4"/>
  <c r="H111" i="4"/>
  <c r="I111" i="4"/>
  <c r="J111" i="4"/>
  <c r="K111" i="4"/>
  <c r="A112" i="4"/>
  <c r="B112" i="4"/>
  <c r="C112" i="4"/>
  <c r="D112" i="4"/>
  <c r="F112" i="4"/>
  <c r="G112" i="4"/>
  <c r="H112" i="4"/>
  <c r="I112" i="4"/>
  <c r="J112" i="4"/>
  <c r="K112" i="4"/>
  <c r="A113" i="4"/>
  <c r="B113" i="4"/>
  <c r="C113" i="4"/>
  <c r="D113" i="4"/>
  <c r="F113" i="4"/>
  <c r="G113" i="4"/>
  <c r="H113" i="4"/>
  <c r="I113" i="4"/>
  <c r="J113" i="4"/>
  <c r="K113" i="4"/>
  <c r="A114" i="4"/>
  <c r="B114" i="4"/>
  <c r="C114" i="4"/>
  <c r="D114" i="4"/>
  <c r="F114" i="4"/>
  <c r="G114" i="4"/>
  <c r="H114" i="4"/>
  <c r="I114" i="4"/>
  <c r="J114" i="4"/>
  <c r="K114" i="4"/>
  <c r="A115" i="4"/>
  <c r="B115" i="4"/>
  <c r="C115" i="4"/>
  <c r="D115" i="4"/>
  <c r="F115" i="4"/>
  <c r="G115" i="4"/>
  <c r="H115" i="4"/>
  <c r="I115" i="4"/>
  <c r="J115" i="4"/>
  <c r="K115" i="4"/>
  <c r="A116" i="4"/>
  <c r="B116" i="4"/>
  <c r="C116" i="4"/>
  <c r="D116" i="4"/>
  <c r="F116" i="4"/>
  <c r="G116" i="4"/>
  <c r="H116" i="4"/>
  <c r="I116" i="4"/>
  <c r="J116" i="4"/>
  <c r="K116" i="4"/>
  <c r="A117" i="4"/>
  <c r="B117" i="4"/>
  <c r="C117" i="4"/>
  <c r="D117" i="4"/>
  <c r="F117" i="4"/>
  <c r="G117" i="4"/>
  <c r="H117" i="4"/>
  <c r="I117" i="4"/>
  <c r="J117" i="4"/>
  <c r="K117" i="4"/>
  <c r="A118" i="4"/>
  <c r="B118" i="4"/>
  <c r="C118" i="4"/>
  <c r="D118" i="4"/>
  <c r="F118" i="4"/>
  <c r="G118" i="4"/>
  <c r="H118" i="4"/>
  <c r="I118" i="4"/>
  <c r="J118" i="4"/>
  <c r="K118" i="4"/>
  <c r="A119" i="4"/>
  <c r="B119" i="4"/>
  <c r="C119" i="4"/>
  <c r="D119" i="4"/>
  <c r="F119" i="4"/>
  <c r="G119" i="4"/>
  <c r="H119" i="4"/>
  <c r="I119" i="4"/>
  <c r="J119" i="4"/>
  <c r="K119" i="4"/>
  <c r="A120" i="4"/>
  <c r="B120" i="4"/>
  <c r="C120" i="4"/>
  <c r="D120" i="4"/>
  <c r="F120" i="4"/>
  <c r="G120" i="4"/>
  <c r="H120" i="4"/>
  <c r="I120" i="4"/>
  <c r="J120" i="4"/>
  <c r="K120" i="4"/>
  <c r="A121" i="4"/>
  <c r="B121" i="4"/>
  <c r="C121" i="4"/>
  <c r="D121" i="4"/>
  <c r="F121" i="4"/>
  <c r="G121" i="4"/>
  <c r="H121" i="4"/>
  <c r="I121" i="4"/>
  <c r="J121" i="4"/>
  <c r="K121" i="4"/>
  <c r="A122" i="4"/>
  <c r="B122" i="4"/>
  <c r="C122" i="4"/>
  <c r="D122" i="4"/>
  <c r="F122" i="4"/>
  <c r="G122" i="4"/>
  <c r="H122" i="4"/>
  <c r="I122" i="4"/>
  <c r="J122" i="4"/>
  <c r="K122" i="4"/>
  <c r="A123" i="4"/>
  <c r="B123" i="4"/>
  <c r="C123" i="4"/>
  <c r="D123" i="4"/>
  <c r="F123" i="4"/>
  <c r="G123" i="4"/>
  <c r="H123" i="4"/>
  <c r="I123" i="4"/>
  <c r="J123" i="4"/>
  <c r="K123" i="4"/>
  <c r="A124" i="4"/>
  <c r="B124" i="4"/>
  <c r="C124" i="4"/>
  <c r="D124" i="4"/>
  <c r="F124" i="4"/>
  <c r="G124" i="4"/>
  <c r="H124" i="4"/>
  <c r="I124" i="4"/>
  <c r="J124" i="4"/>
  <c r="K124" i="4"/>
  <c r="A125" i="4"/>
  <c r="B125" i="4"/>
  <c r="C125" i="4"/>
  <c r="D125" i="4"/>
  <c r="F125" i="4"/>
  <c r="G125" i="4"/>
  <c r="H125" i="4"/>
  <c r="I125" i="4"/>
  <c r="J125" i="4"/>
  <c r="K125" i="4"/>
  <c r="A126" i="4"/>
  <c r="B126" i="4"/>
  <c r="C126" i="4"/>
  <c r="D126" i="4"/>
  <c r="F126" i="4"/>
  <c r="G126" i="4"/>
  <c r="H126" i="4"/>
  <c r="I126" i="4"/>
  <c r="J126" i="4"/>
  <c r="K126" i="4"/>
  <c r="A127" i="4"/>
  <c r="B127" i="4"/>
  <c r="C127" i="4"/>
  <c r="D127" i="4"/>
  <c r="F127" i="4"/>
  <c r="G127" i="4"/>
  <c r="H127" i="4"/>
  <c r="I127" i="4"/>
  <c r="J127" i="4"/>
  <c r="K127" i="4"/>
  <c r="A128" i="4"/>
  <c r="B128" i="4"/>
  <c r="C128" i="4"/>
  <c r="D128" i="4"/>
  <c r="F128" i="4"/>
  <c r="G128" i="4"/>
  <c r="H128" i="4"/>
  <c r="I128" i="4"/>
  <c r="J128" i="4"/>
  <c r="K128" i="4"/>
  <c r="A129" i="4"/>
  <c r="B129" i="4"/>
  <c r="C129" i="4"/>
  <c r="D129" i="4"/>
  <c r="F129" i="4"/>
  <c r="G129" i="4"/>
  <c r="H129" i="4"/>
  <c r="I129" i="4"/>
  <c r="J129" i="4"/>
  <c r="K129" i="4"/>
  <c r="A130" i="4"/>
  <c r="B130" i="4"/>
  <c r="C130" i="4"/>
  <c r="D130" i="4"/>
  <c r="F130" i="4"/>
  <c r="G130" i="4"/>
  <c r="H130" i="4"/>
  <c r="I130" i="4"/>
  <c r="J130" i="4"/>
  <c r="K130" i="4"/>
  <c r="A131" i="4"/>
  <c r="B131" i="4"/>
  <c r="C131" i="4"/>
  <c r="D131" i="4"/>
  <c r="F131" i="4"/>
  <c r="G131" i="4"/>
  <c r="H131" i="4"/>
  <c r="I131" i="4"/>
  <c r="J131" i="4"/>
  <c r="K131" i="4"/>
  <c r="A132" i="4"/>
  <c r="B132" i="4"/>
  <c r="C132" i="4"/>
  <c r="D132" i="4"/>
  <c r="F132" i="4"/>
  <c r="G132" i="4"/>
  <c r="H132" i="4"/>
  <c r="I132" i="4"/>
  <c r="J132" i="4"/>
  <c r="K132" i="4"/>
  <c r="A133" i="4"/>
  <c r="B133" i="4"/>
  <c r="C133" i="4"/>
  <c r="D133" i="4"/>
  <c r="F133" i="4"/>
  <c r="G133" i="4"/>
  <c r="H133" i="4"/>
  <c r="I133" i="4"/>
  <c r="J133" i="4"/>
  <c r="K133" i="4"/>
  <c r="A134" i="4"/>
  <c r="B134" i="4"/>
  <c r="C134" i="4"/>
  <c r="D134" i="4"/>
  <c r="F134" i="4"/>
  <c r="G134" i="4"/>
  <c r="H134" i="4"/>
  <c r="I134" i="4"/>
  <c r="J134" i="4"/>
  <c r="K134" i="4"/>
  <c r="A135" i="4"/>
  <c r="B135" i="4"/>
  <c r="C135" i="4"/>
  <c r="D135" i="4"/>
  <c r="F135" i="4"/>
  <c r="G135" i="4"/>
  <c r="H135" i="4"/>
  <c r="I135" i="4"/>
  <c r="J135" i="4"/>
  <c r="K135" i="4"/>
  <c r="A136" i="4"/>
  <c r="B136" i="4"/>
  <c r="C136" i="4"/>
  <c r="D136" i="4"/>
  <c r="F136" i="4"/>
  <c r="G136" i="4"/>
  <c r="H136" i="4"/>
  <c r="I136" i="4"/>
  <c r="J136" i="4"/>
  <c r="K136" i="4"/>
  <c r="A137" i="4"/>
  <c r="B137" i="4"/>
  <c r="C137" i="4"/>
  <c r="D137" i="4"/>
  <c r="F137" i="4"/>
  <c r="G137" i="4"/>
  <c r="H137" i="4"/>
  <c r="I137" i="4"/>
  <c r="J137" i="4"/>
  <c r="K137" i="4"/>
  <c r="A138" i="4"/>
  <c r="B138" i="4"/>
  <c r="C138" i="4"/>
  <c r="D138" i="4"/>
  <c r="F138" i="4"/>
  <c r="G138" i="4"/>
  <c r="H138" i="4"/>
  <c r="I138" i="4"/>
  <c r="J138" i="4"/>
  <c r="K138" i="4"/>
  <c r="A139" i="4"/>
  <c r="B139" i="4"/>
  <c r="C139" i="4"/>
  <c r="D139" i="4"/>
  <c r="F139" i="4"/>
  <c r="G139" i="4"/>
  <c r="H139" i="4"/>
  <c r="I139" i="4"/>
  <c r="J139" i="4"/>
  <c r="K139" i="4"/>
  <c r="A140" i="4"/>
  <c r="B140" i="4"/>
  <c r="C140" i="4"/>
  <c r="D140" i="4"/>
  <c r="F140" i="4"/>
  <c r="G140" i="4"/>
  <c r="H140" i="4"/>
  <c r="I140" i="4"/>
  <c r="J140" i="4"/>
  <c r="K140" i="4"/>
  <c r="A141" i="4"/>
  <c r="B141" i="4"/>
  <c r="C141" i="4"/>
  <c r="D141" i="4"/>
  <c r="F141" i="4"/>
  <c r="G141" i="4"/>
  <c r="H141" i="4"/>
  <c r="I141" i="4"/>
  <c r="J141" i="4"/>
  <c r="K141" i="4"/>
  <c r="A142" i="4"/>
  <c r="B142" i="4"/>
  <c r="C142" i="4"/>
  <c r="D142" i="4"/>
  <c r="F142" i="4"/>
  <c r="G142" i="4"/>
  <c r="H142" i="4"/>
  <c r="I142" i="4"/>
  <c r="J142" i="4"/>
  <c r="K142" i="4"/>
  <c r="A143" i="4"/>
  <c r="B143" i="4"/>
  <c r="C143" i="4"/>
  <c r="D143" i="4"/>
  <c r="F143" i="4"/>
  <c r="G143" i="4"/>
  <c r="H143" i="4"/>
  <c r="I143" i="4"/>
  <c r="J143" i="4"/>
  <c r="K143" i="4"/>
  <c r="A144" i="4"/>
  <c r="B144" i="4"/>
  <c r="C144" i="4"/>
  <c r="D144" i="4"/>
  <c r="F144" i="4"/>
  <c r="G144" i="4"/>
  <c r="H144" i="4"/>
  <c r="I144" i="4"/>
  <c r="J144" i="4"/>
  <c r="K144" i="4"/>
  <c r="A145" i="4"/>
  <c r="B145" i="4"/>
  <c r="C145" i="4"/>
  <c r="D145" i="4"/>
  <c r="F145" i="4"/>
  <c r="G145" i="4"/>
  <c r="H145" i="4"/>
  <c r="I145" i="4"/>
  <c r="J145" i="4"/>
  <c r="K145" i="4"/>
  <c r="A146" i="4"/>
  <c r="B146" i="4"/>
  <c r="C146" i="4"/>
  <c r="D146" i="4"/>
  <c r="F146" i="4"/>
  <c r="G146" i="4"/>
  <c r="H146" i="4"/>
  <c r="I146" i="4"/>
  <c r="J146" i="4"/>
  <c r="K146" i="4"/>
  <c r="A147" i="4"/>
  <c r="B147" i="4"/>
  <c r="C147" i="4"/>
  <c r="D147" i="4"/>
  <c r="F147" i="4"/>
  <c r="G147" i="4"/>
  <c r="H147" i="4"/>
  <c r="I147" i="4"/>
  <c r="J147" i="4"/>
  <c r="K147" i="4"/>
  <c r="A148" i="4"/>
  <c r="B148" i="4"/>
  <c r="C148" i="4"/>
  <c r="D148" i="4"/>
  <c r="F148" i="4"/>
  <c r="G148" i="4"/>
  <c r="H148" i="4"/>
  <c r="I148" i="4"/>
  <c r="J148" i="4"/>
  <c r="K148" i="4"/>
  <c r="A149" i="4"/>
  <c r="B149" i="4"/>
  <c r="C149" i="4"/>
  <c r="D149" i="4"/>
  <c r="F149" i="4"/>
  <c r="G149" i="4"/>
  <c r="H149" i="4"/>
  <c r="I149" i="4"/>
  <c r="J149" i="4"/>
  <c r="K149" i="4"/>
  <c r="A150" i="4"/>
  <c r="B150" i="4"/>
  <c r="C150" i="4"/>
  <c r="D150" i="4"/>
  <c r="F150" i="4"/>
  <c r="G150" i="4"/>
  <c r="H150" i="4"/>
  <c r="I150" i="4"/>
  <c r="J150" i="4"/>
  <c r="K150" i="4"/>
  <c r="A151" i="4"/>
  <c r="B151" i="4"/>
  <c r="C151" i="4"/>
  <c r="D151" i="4"/>
  <c r="F151" i="4"/>
  <c r="G151" i="4"/>
  <c r="H151" i="4"/>
  <c r="I151" i="4"/>
  <c r="J151" i="4"/>
  <c r="K151" i="4"/>
  <c r="A152" i="4"/>
  <c r="B152" i="4"/>
  <c r="C152" i="4"/>
  <c r="D152" i="4"/>
  <c r="F152" i="4"/>
  <c r="G152" i="4"/>
  <c r="H152" i="4"/>
  <c r="I152" i="4"/>
  <c r="J152" i="4"/>
  <c r="K152" i="4"/>
  <c r="A153" i="4"/>
  <c r="B153" i="4"/>
  <c r="C153" i="4"/>
  <c r="D153" i="4"/>
  <c r="F153" i="4"/>
  <c r="G153" i="4"/>
  <c r="H153" i="4"/>
  <c r="I153" i="4"/>
  <c r="J153" i="4"/>
  <c r="K153" i="4"/>
  <c r="A154" i="4"/>
  <c r="B154" i="4"/>
  <c r="C154" i="4"/>
  <c r="D154" i="4"/>
  <c r="F154" i="4"/>
  <c r="G154" i="4"/>
  <c r="H154" i="4"/>
  <c r="I154" i="4"/>
  <c r="J154" i="4"/>
  <c r="K154" i="4"/>
  <c r="A155" i="4"/>
  <c r="B155" i="4"/>
  <c r="C155" i="4"/>
  <c r="D155" i="4"/>
  <c r="F155" i="4"/>
  <c r="G155" i="4"/>
  <c r="H155" i="4"/>
  <c r="I155" i="4"/>
  <c r="J155" i="4"/>
  <c r="K155" i="4"/>
  <c r="A156" i="4"/>
  <c r="B156" i="4"/>
  <c r="C156" i="4"/>
  <c r="D156" i="4"/>
  <c r="F156" i="4"/>
  <c r="G156" i="4"/>
  <c r="H156" i="4"/>
  <c r="I156" i="4"/>
  <c r="J156" i="4"/>
  <c r="K156" i="4"/>
  <c r="A157" i="4"/>
  <c r="B157" i="4"/>
  <c r="C157" i="4"/>
  <c r="D157" i="4"/>
  <c r="F157" i="4"/>
  <c r="G157" i="4"/>
  <c r="H157" i="4"/>
  <c r="I157" i="4"/>
  <c r="J157" i="4"/>
  <c r="K157" i="4"/>
  <c r="A158" i="4"/>
  <c r="B158" i="4"/>
  <c r="C158" i="4"/>
  <c r="D158" i="4"/>
  <c r="F158" i="4"/>
  <c r="G158" i="4"/>
  <c r="H158" i="4"/>
  <c r="I158" i="4"/>
  <c r="J158" i="4"/>
  <c r="K158" i="4"/>
  <c r="A159" i="4"/>
  <c r="B159" i="4"/>
  <c r="C159" i="4"/>
  <c r="D159" i="4"/>
  <c r="F159" i="4"/>
  <c r="G159" i="4"/>
  <c r="H159" i="4"/>
  <c r="I159" i="4"/>
  <c r="J159" i="4"/>
  <c r="K159" i="4"/>
  <c r="A160" i="4"/>
  <c r="B160" i="4"/>
  <c r="C160" i="4"/>
  <c r="D160" i="4"/>
  <c r="F160" i="4"/>
  <c r="G160" i="4"/>
  <c r="H160" i="4"/>
  <c r="I160" i="4"/>
  <c r="J160" i="4"/>
  <c r="K160" i="4"/>
  <c r="A161" i="4"/>
  <c r="B161" i="4"/>
  <c r="C161" i="4"/>
  <c r="D161" i="4"/>
  <c r="F161" i="4"/>
  <c r="G161" i="4"/>
  <c r="H161" i="4"/>
  <c r="I161" i="4"/>
  <c r="J161" i="4"/>
  <c r="K161" i="4"/>
  <c r="A162" i="4"/>
  <c r="B162" i="4"/>
  <c r="C162" i="4"/>
  <c r="D162" i="4"/>
  <c r="F162" i="4"/>
  <c r="G162" i="4"/>
  <c r="H162" i="4"/>
  <c r="I162" i="4"/>
  <c r="J162" i="4"/>
  <c r="K162" i="4"/>
  <c r="A163" i="4"/>
  <c r="B163" i="4"/>
  <c r="C163" i="4"/>
  <c r="D163" i="4"/>
  <c r="F163" i="4"/>
  <c r="G163" i="4"/>
  <c r="H163" i="4"/>
  <c r="I163" i="4"/>
  <c r="J163" i="4"/>
  <c r="K163" i="4"/>
  <c r="A164" i="4"/>
  <c r="B164" i="4"/>
  <c r="C164" i="4"/>
  <c r="D164" i="4"/>
  <c r="F164" i="4"/>
  <c r="G164" i="4"/>
  <c r="H164" i="4"/>
  <c r="I164" i="4"/>
  <c r="J164" i="4"/>
  <c r="K164" i="4"/>
  <c r="A165" i="4"/>
  <c r="B165" i="4"/>
  <c r="C165" i="4"/>
  <c r="D165" i="4"/>
  <c r="F165" i="4"/>
  <c r="G165" i="4"/>
  <c r="H165" i="4"/>
  <c r="I165" i="4"/>
  <c r="J165" i="4"/>
  <c r="K165" i="4"/>
  <c r="A166" i="4"/>
  <c r="B166" i="4"/>
  <c r="C166" i="4"/>
  <c r="D166" i="4"/>
  <c r="F166" i="4"/>
  <c r="G166" i="4"/>
  <c r="H166" i="4"/>
  <c r="I166" i="4"/>
  <c r="J166" i="4"/>
  <c r="K166" i="4"/>
  <c r="A167" i="4"/>
  <c r="B167" i="4"/>
  <c r="C167" i="4"/>
  <c r="D167" i="4"/>
  <c r="F167" i="4"/>
  <c r="G167" i="4"/>
  <c r="H167" i="4"/>
  <c r="I167" i="4"/>
  <c r="J167" i="4"/>
  <c r="K167" i="4"/>
  <c r="A168" i="4"/>
  <c r="B168" i="4"/>
  <c r="C168" i="4"/>
  <c r="D168" i="4"/>
  <c r="F168" i="4"/>
  <c r="G168" i="4"/>
  <c r="H168" i="4"/>
  <c r="I168" i="4"/>
  <c r="J168" i="4"/>
  <c r="K168" i="4"/>
  <c r="A169" i="4"/>
  <c r="B169" i="4"/>
  <c r="C169" i="4"/>
  <c r="D169" i="4"/>
  <c r="F169" i="4"/>
  <c r="G169" i="4"/>
  <c r="H169" i="4"/>
  <c r="I169" i="4"/>
  <c r="J169" i="4"/>
  <c r="K169" i="4"/>
  <c r="A170" i="4"/>
  <c r="B170" i="4"/>
  <c r="C170" i="4"/>
  <c r="D170" i="4"/>
  <c r="F170" i="4"/>
  <c r="G170" i="4"/>
  <c r="H170" i="4"/>
  <c r="I170" i="4"/>
  <c r="J170" i="4"/>
  <c r="K170" i="4"/>
  <c r="A171" i="4"/>
  <c r="B171" i="4"/>
  <c r="C171" i="4"/>
  <c r="D171" i="4"/>
  <c r="F171" i="4"/>
  <c r="G171" i="4"/>
  <c r="H171" i="4"/>
  <c r="I171" i="4"/>
  <c r="J171" i="4"/>
  <c r="K171" i="4"/>
  <c r="A172" i="4"/>
  <c r="B172" i="4"/>
  <c r="C172" i="4"/>
  <c r="D172" i="4"/>
  <c r="F172" i="4"/>
  <c r="G172" i="4"/>
  <c r="H172" i="4"/>
  <c r="I172" i="4"/>
  <c r="J172" i="4"/>
  <c r="K172" i="4"/>
  <c r="A173" i="4"/>
  <c r="B173" i="4"/>
  <c r="C173" i="4"/>
  <c r="D173" i="4"/>
  <c r="F173" i="4"/>
  <c r="G173" i="4"/>
  <c r="H173" i="4"/>
  <c r="I173" i="4"/>
  <c r="J173" i="4"/>
  <c r="K173" i="4"/>
  <c r="A174" i="4"/>
  <c r="B174" i="4"/>
  <c r="C174" i="4"/>
  <c r="D174" i="4"/>
  <c r="F174" i="4"/>
  <c r="G174" i="4"/>
  <c r="H174" i="4"/>
  <c r="I174" i="4"/>
  <c r="J174" i="4"/>
  <c r="K174" i="4"/>
  <c r="A175" i="4"/>
  <c r="B175" i="4"/>
  <c r="C175" i="4"/>
  <c r="D175" i="4"/>
  <c r="F175" i="4"/>
  <c r="G175" i="4"/>
  <c r="H175" i="4"/>
  <c r="I175" i="4"/>
  <c r="J175" i="4"/>
  <c r="K175" i="4"/>
  <c r="A176" i="4"/>
  <c r="B176" i="4"/>
  <c r="C176" i="4"/>
  <c r="D176" i="4"/>
  <c r="F176" i="4"/>
  <c r="G176" i="4"/>
  <c r="H176" i="4"/>
  <c r="I176" i="4"/>
  <c r="J176" i="4"/>
  <c r="K176" i="4"/>
  <c r="A177" i="4"/>
  <c r="B177" i="4"/>
  <c r="C177" i="4"/>
  <c r="D177" i="4"/>
  <c r="F177" i="4"/>
  <c r="G177" i="4"/>
  <c r="H177" i="4"/>
  <c r="I177" i="4"/>
  <c r="J177" i="4"/>
  <c r="K177" i="4"/>
  <c r="A178" i="4"/>
  <c r="B178" i="4"/>
  <c r="C178" i="4"/>
  <c r="D178" i="4"/>
  <c r="F178" i="4"/>
  <c r="G178" i="4"/>
  <c r="H178" i="4"/>
  <c r="I178" i="4"/>
  <c r="J178" i="4"/>
  <c r="K178" i="4"/>
  <c r="A179" i="4"/>
  <c r="B179" i="4"/>
  <c r="C179" i="4"/>
  <c r="D179" i="4"/>
  <c r="F179" i="4"/>
  <c r="G179" i="4"/>
  <c r="H179" i="4"/>
  <c r="I179" i="4"/>
  <c r="J179" i="4"/>
  <c r="K179" i="4"/>
  <c r="A180" i="4"/>
  <c r="B180" i="4"/>
  <c r="C180" i="4"/>
  <c r="D180" i="4"/>
  <c r="F180" i="4"/>
  <c r="G180" i="4"/>
  <c r="H180" i="4"/>
  <c r="I180" i="4"/>
  <c r="J180" i="4"/>
  <c r="K180" i="4"/>
  <c r="A181" i="4"/>
  <c r="B181" i="4"/>
  <c r="C181" i="4"/>
  <c r="D181" i="4"/>
  <c r="F181" i="4"/>
  <c r="G181" i="4"/>
  <c r="H181" i="4"/>
  <c r="I181" i="4"/>
  <c r="J181" i="4"/>
  <c r="K181" i="4"/>
  <c r="A182" i="4"/>
  <c r="B182" i="4"/>
  <c r="C182" i="4"/>
  <c r="D182" i="4"/>
  <c r="F182" i="4"/>
  <c r="G182" i="4"/>
  <c r="H182" i="4"/>
  <c r="I182" i="4"/>
  <c r="J182" i="4"/>
  <c r="K182" i="4"/>
  <c r="A183" i="4"/>
  <c r="B183" i="4"/>
  <c r="C183" i="4"/>
  <c r="D183" i="4"/>
  <c r="F183" i="4"/>
  <c r="G183" i="4"/>
  <c r="H183" i="4"/>
  <c r="I183" i="4"/>
  <c r="J183" i="4"/>
  <c r="K183" i="4"/>
  <c r="A184" i="4"/>
  <c r="B184" i="4"/>
  <c r="C184" i="4"/>
  <c r="D184" i="4"/>
  <c r="F184" i="4"/>
  <c r="G184" i="4"/>
  <c r="H184" i="4"/>
  <c r="I184" i="4"/>
  <c r="J184" i="4"/>
  <c r="K184" i="4"/>
  <c r="A185" i="4"/>
  <c r="B185" i="4"/>
  <c r="C185" i="4"/>
  <c r="D185" i="4"/>
  <c r="F185" i="4"/>
  <c r="G185" i="4"/>
  <c r="H185" i="4"/>
  <c r="I185" i="4"/>
  <c r="J185" i="4"/>
  <c r="K185" i="4"/>
  <c r="A186" i="4"/>
  <c r="B186" i="4"/>
  <c r="C186" i="4"/>
  <c r="D186" i="4"/>
  <c r="F186" i="4"/>
  <c r="G186" i="4"/>
  <c r="H186" i="4"/>
  <c r="I186" i="4"/>
  <c r="J186" i="4"/>
  <c r="K186" i="4"/>
  <c r="A187" i="4"/>
  <c r="B187" i="4"/>
  <c r="C187" i="4"/>
  <c r="D187" i="4"/>
  <c r="F187" i="4"/>
  <c r="G187" i="4"/>
  <c r="H187" i="4"/>
  <c r="I187" i="4"/>
  <c r="J187" i="4"/>
  <c r="K187" i="4"/>
  <c r="A188" i="4"/>
  <c r="B188" i="4"/>
  <c r="C188" i="4"/>
  <c r="D188" i="4"/>
  <c r="F188" i="4"/>
  <c r="G188" i="4"/>
  <c r="H188" i="4"/>
  <c r="I188" i="4"/>
  <c r="J188" i="4"/>
  <c r="K188" i="4"/>
  <c r="A189" i="4"/>
  <c r="B189" i="4"/>
  <c r="C189" i="4"/>
  <c r="D189" i="4"/>
  <c r="F189" i="4"/>
  <c r="G189" i="4"/>
  <c r="H189" i="4"/>
  <c r="I189" i="4"/>
  <c r="J189" i="4"/>
  <c r="K189" i="4"/>
  <c r="A190" i="4"/>
  <c r="B190" i="4"/>
  <c r="C190" i="4"/>
  <c r="D190" i="4"/>
  <c r="F190" i="4"/>
  <c r="G190" i="4"/>
  <c r="H190" i="4"/>
  <c r="I190" i="4"/>
  <c r="J190" i="4"/>
  <c r="K190" i="4"/>
  <c r="A191" i="4"/>
  <c r="B191" i="4"/>
  <c r="C191" i="4"/>
  <c r="D191" i="4"/>
  <c r="F191" i="4"/>
  <c r="G191" i="4"/>
  <c r="H191" i="4"/>
  <c r="I191" i="4"/>
  <c r="J191" i="4"/>
  <c r="K191" i="4"/>
  <c r="A192" i="4"/>
  <c r="B192" i="4"/>
  <c r="C192" i="4"/>
  <c r="D192" i="4"/>
  <c r="F192" i="4"/>
  <c r="G192" i="4"/>
  <c r="H192" i="4"/>
  <c r="I192" i="4"/>
  <c r="J192" i="4"/>
  <c r="K192" i="4"/>
  <c r="A193" i="4"/>
  <c r="B193" i="4"/>
  <c r="C193" i="4"/>
  <c r="D193" i="4"/>
  <c r="F193" i="4"/>
  <c r="G193" i="4"/>
  <c r="H193" i="4"/>
  <c r="I193" i="4"/>
  <c r="J193" i="4"/>
  <c r="K193" i="4"/>
  <c r="A194" i="4"/>
  <c r="B194" i="4"/>
  <c r="C194" i="4"/>
  <c r="D194" i="4"/>
  <c r="F194" i="4"/>
  <c r="G194" i="4"/>
  <c r="H194" i="4"/>
  <c r="I194" i="4"/>
  <c r="J194" i="4"/>
  <c r="K194" i="4"/>
  <c r="A195" i="4"/>
  <c r="B195" i="4"/>
  <c r="C195" i="4"/>
  <c r="D195" i="4"/>
  <c r="F195" i="4"/>
  <c r="G195" i="4"/>
  <c r="H195" i="4"/>
  <c r="I195" i="4"/>
  <c r="J195" i="4"/>
  <c r="K195" i="4"/>
  <c r="A196" i="4"/>
  <c r="B196" i="4"/>
  <c r="C196" i="4"/>
  <c r="D196" i="4"/>
  <c r="F196" i="4"/>
  <c r="G196" i="4"/>
  <c r="H196" i="4"/>
  <c r="I196" i="4"/>
  <c r="J196" i="4"/>
  <c r="K196" i="4"/>
  <c r="A197" i="4"/>
  <c r="B197" i="4"/>
  <c r="C197" i="4"/>
  <c r="D197" i="4"/>
  <c r="F197" i="4"/>
  <c r="G197" i="4"/>
  <c r="H197" i="4"/>
  <c r="I197" i="4"/>
  <c r="J197" i="4"/>
  <c r="K197" i="4"/>
  <c r="A198" i="4"/>
  <c r="B198" i="4"/>
  <c r="C198" i="4"/>
  <c r="D198" i="4"/>
  <c r="F198" i="4"/>
  <c r="G198" i="4"/>
  <c r="H198" i="4"/>
  <c r="I198" i="4"/>
  <c r="J198" i="4"/>
  <c r="K198" i="4"/>
  <c r="A199" i="4"/>
  <c r="B199" i="4"/>
  <c r="C199" i="4"/>
  <c r="D199" i="4"/>
  <c r="F199" i="4"/>
  <c r="G199" i="4"/>
  <c r="H199" i="4"/>
  <c r="I199" i="4"/>
  <c r="J199" i="4"/>
  <c r="K199" i="4"/>
  <c r="A200" i="4"/>
  <c r="B200" i="4"/>
  <c r="C200" i="4"/>
  <c r="D200" i="4"/>
  <c r="F200" i="4"/>
  <c r="G200" i="4"/>
  <c r="H200" i="4"/>
  <c r="I200" i="4"/>
  <c r="J200" i="4"/>
  <c r="K200" i="4"/>
  <c r="A201" i="4"/>
  <c r="B201" i="4"/>
  <c r="C201" i="4"/>
  <c r="D201" i="4"/>
  <c r="F201" i="4"/>
  <c r="G201" i="4"/>
  <c r="H201" i="4"/>
  <c r="I201" i="4"/>
  <c r="J201" i="4"/>
  <c r="K201" i="4"/>
  <c r="L3" i="27" l="1"/>
  <c r="L7" i="27"/>
  <c r="F2" i="27"/>
  <c r="N2" i="27"/>
  <c r="F3" i="27"/>
  <c r="N3" i="27"/>
  <c r="F4" i="27"/>
  <c r="N4" i="27"/>
  <c r="F5" i="27"/>
  <c r="N5" i="27"/>
  <c r="F6" i="27"/>
  <c r="N6" i="27"/>
  <c r="F7" i="27"/>
  <c r="N7" i="27"/>
  <c r="F8" i="27"/>
  <c r="N8" i="27"/>
  <c r="F9" i="27"/>
  <c r="N9" i="27"/>
  <c r="F10" i="27"/>
  <c r="N10" i="27"/>
  <c r="F11" i="27"/>
  <c r="N11" i="27"/>
  <c r="L2" i="27"/>
  <c r="L4" i="27"/>
  <c r="M2" i="27"/>
  <c r="E4" i="27"/>
  <c r="M5" i="27"/>
  <c r="M7" i="27"/>
  <c r="M8" i="27"/>
  <c r="E11" i="27"/>
  <c r="G2" i="27"/>
  <c r="O2" i="27"/>
  <c r="G3" i="27"/>
  <c r="O3" i="27"/>
  <c r="G4" i="27"/>
  <c r="O4" i="27"/>
  <c r="G5" i="27"/>
  <c r="O5" i="27"/>
  <c r="G6" i="27"/>
  <c r="O6" i="27"/>
  <c r="G7" i="27"/>
  <c r="O7" i="27"/>
  <c r="G8" i="27"/>
  <c r="O8" i="27"/>
  <c r="G9" i="27"/>
  <c r="O9" i="27"/>
  <c r="G10" i="27"/>
  <c r="O10" i="27"/>
  <c r="G11" i="27"/>
  <c r="O11" i="27"/>
  <c r="L6" i="27"/>
  <c r="L10" i="27"/>
  <c r="E3" i="27"/>
  <c r="M4" i="27"/>
  <c r="E6" i="27"/>
  <c r="E7" i="27"/>
  <c r="E9" i="27"/>
  <c r="M10" i="27"/>
  <c r="H2" i="27"/>
  <c r="P2" i="27"/>
  <c r="H3" i="27"/>
  <c r="P3" i="27"/>
  <c r="H4" i="27"/>
  <c r="P4" i="27"/>
  <c r="H5" i="27"/>
  <c r="P5" i="27"/>
  <c r="H6" i="27"/>
  <c r="P6" i="27"/>
  <c r="H7" i="27"/>
  <c r="P7" i="27"/>
  <c r="H8" i="27"/>
  <c r="P8" i="27"/>
  <c r="H9" i="27"/>
  <c r="P9" i="27"/>
  <c r="H10" i="27"/>
  <c r="P10" i="27"/>
  <c r="H11" i="27"/>
  <c r="P11" i="27"/>
  <c r="L5" i="27"/>
  <c r="L8" i="27"/>
  <c r="L11" i="27"/>
  <c r="E2" i="27"/>
  <c r="M3" i="27"/>
  <c r="E5" i="27"/>
  <c r="M6" i="27"/>
  <c r="E8" i="27"/>
  <c r="M9" i="27"/>
  <c r="E10" i="27"/>
  <c r="M11" i="27"/>
  <c r="I2" i="27"/>
  <c r="Q2" i="27"/>
  <c r="I3" i="27"/>
  <c r="Q3" i="27"/>
  <c r="I4" i="27"/>
  <c r="Q4" i="27"/>
  <c r="I5" i="27"/>
  <c r="Q5" i="27"/>
  <c r="I6" i="27"/>
  <c r="Q6" i="27"/>
  <c r="I7" i="27"/>
  <c r="Q7" i="27"/>
  <c r="I8" i="27"/>
  <c r="Q8" i="27"/>
  <c r="I9" i="27"/>
  <c r="Q9" i="27"/>
  <c r="I10" i="27"/>
  <c r="Q10" i="27"/>
  <c r="I11" i="27"/>
  <c r="Q11" i="27"/>
  <c r="J2" i="27"/>
  <c r="J3" i="27"/>
  <c r="J4" i="27"/>
  <c r="J5" i="27"/>
  <c r="J6" i="27"/>
  <c r="J7" i="27"/>
  <c r="J8" i="27"/>
  <c r="J9" i="27"/>
  <c r="J10" i="27"/>
  <c r="J11" i="27"/>
  <c r="B2" i="27"/>
  <c r="B3" i="27"/>
  <c r="B4" i="27"/>
  <c r="B5" i="27"/>
  <c r="B6" i="27"/>
  <c r="B7" i="27"/>
  <c r="B8" i="27"/>
  <c r="B9" i="27"/>
  <c r="B10" i="27"/>
  <c r="B11" i="27"/>
  <c r="D7" i="25"/>
  <c r="B8" i="25"/>
  <c r="I7" i="25"/>
  <c r="K6" i="25"/>
  <c r="E7" i="25"/>
  <c r="I5" i="24"/>
  <c r="J5" i="24" s="1"/>
  <c r="M6" i="24"/>
  <c r="J6" i="24" s="1"/>
  <c r="L6" i="24"/>
  <c r="M4" i="24"/>
  <c r="L4" i="24" s="1"/>
  <c r="E4" i="9"/>
  <c r="E21" i="9"/>
  <c r="J100" i="22"/>
  <c r="J98" i="22"/>
  <c r="J96" i="22"/>
  <c r="J94" i="22"/>
  <c r="J92" i="22"/>
  <c r="J90" i="22"/>
  <c r="J88" i="22"/>
  <c r="J86" i="22"/>
  <c r="J84" i="22"/>
  <c r="J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1" i="22"/>
  <c r="J99" i="22"/>
  <c r="J97" i="22"/>
  <c r="J95" i="22"/>
  <c r="J93" i="22"/>
  <c r="J91" i="22"/>
  <c r="J89" i="22"/>
  <c r="J87" i="22"/>
  <c r="J85" i="22"/>
  <c r="J83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G5" i="9"/>
  <c r="G4" i="9"/>
  <c r="G2" i="9"/>
  <c r="M21" i="18"/>
  <c r="Q21" i="18" s="1"/>
  <c r="S21" i="18" s="1"/>
  <c r="P15" i="18"/>
  <c r="P7" i="18"/>
  <c r="M16" i="18"/>
  <c r="Q16" i="18" s="1"/>
  <c r="S16" i="18" s="1"/>
  <c r="P16" i="18"/>
  <c r="P24" i="18"/>
  <c r="M15" i="18"/>
  <c r="Q15" i="18" s="1"/>
  <c r="S15" i="18" s="1"/>
  <c r="P10" i="18"/>
  <c r="M7" i="18"/>
  <c r="Q7" i="18" s="1"/>
  <c r="S7" i="18" s="1"/>
  <c r="M6" i="18"/>
  <c r="Q6" i="18" s="1"/>
  <c r="S6" i="18" s="1"/>
  <c r="F2" i="13"/>
  <c r="F4" i="13"/>
  <c r="F6" i="13"/>
  <c r="F8" i="13"/>
  <c r="F10" i="13"/>
  <c r="F12" i="13"/>
  <c r="F15" i="13"/>
  <c r="F17" i="13"/>
  <c r="F19" i="13"/>
  <c r="F21" i="13"/>
  <c r="F23" i="13"/>
  <c r="F3" i="13"/>
  <c r="F5" i="13"/>
  <c r="F7" i="13"/>
  <c r="F9" i="13"/>
  <c r="F11" i="13"/>
  <c r="F14" i="13"/>
  <c r="F16" i="13"/>
  <c r="F18" i="13"/>
  <c r="F20" i="13"/>
  <c r="F22" i="13"/>
  <c r="F24" i="13"/>
  <c r="H14" i="13"/>
  <c r="H16" i="13"/>
  <c r="H18" i="13"/>
  <c r="H20" i="13"/>
  <c r="H22" i="13"/>
  <c r="H24" i="13"/>
  <c r="H2" i="13"/>
  <c r="H4" i="13"/>
  <c r="H6" i="13"/>
  <c r="H8" i="13"/>
  <c r="H10" i="13"/>
  <c r="H12" i="13"/>
  <c r="H15" i="13"/>
  <c r="H17" i="13"/>
  <c r="H19" i="13"/>
  <c r="H21" i="13"/>
  <c r="H23" i="13"/>
  <c r="H3" i="13"/>
  <c r="H5" i="13"/>
  <c r="H7" i="13"/>
  <c r="H9" i="13"/>
  <c r="H11" i="13"/>
  <c r="G11" i="14"/>
  <c r="G13" i="14"/>
  <c r="G14" i="14"/>
  <c r="G10" i="14"/>
  <c r="G3" i="14"/>
  <c r="G6" i="14"/>
  <c r="G2" i="14"/>
  <c r="D6" i="10"/>
  <c r="D9" i="10"/>
  <c r="D5" i="10"/>
  <c r="D8" i="10"/>
  <c r="D4" i="10"/>
  <c r="D7" i="10"/>
  <c r="C8" i="25" l="1"/>
  <c r="J7" i="25"/>
  <c r="B9" i="25"/>
  <c r="K7" i="25"/>
  <c r="H8" i="25"/>
  <c r="L5" i="24"/>
  <c r="J4" i="24"/>
  <c r="C9" i="25" l="1"/>
  <c r="D9" i="25" s="1"/>
  <c r="E8" i="25"/>
  <c r="I8" i="25"/>
  <c r="D8" i="25"/>
  <c r="J8" i="25" l="1"/>
  <c r="H9" i="25"/>
  <c r="K8" i="25"/>
  <c r="E9" i="25"/>
  <c r="B10" i="25"/>
  <c r="I9" i="25" l="1"/>
  <c r="K9" i="25"/>
  <c r="C10" i="25"/>
  <c r="E10" i="25"/>
  <c r="H10" i="25"/>
  <c r="I10" i="25" l="1"/>
  <c r="J10" i="25" s="1"/>
  <c r="K10" i="25"/>
  <c r="D10" i="25"/>
  <c r="B11" i="25"/>
  <c r="H11" i="25"/>
  <c r="J9" i="25"/>
  <c r="K11" i="25" l="1"/>
  <c r="I11" i="25"/>
  <c r="C11" i="25"/>
  <c r="E11" i="25"/>
  <c r="E13" i="25" s="1"/>
  <c r="D11" i="25" l="1"/>
  <c r="D13" i="25" s="1"/>
  <c r="C13" i="25"/>
  <c r="J11" i="25"/>
  <c r="J13" i="25" s="1"/>
  <c r="I13" i="25"/>
  <c r="K13" i="25"/>
</calcChain>
</file>

<file path=xl/sharedStrings.xml><?xml version="1.0" encoding="utf-8"?>
<sst xmlns="http://schemas.openxmlformats.org/spreadsheetml/2006/main" count="807" uniqueCount="346">
  <si>
    <t>+0.5%</t>
    <phoneticPr fontId="1" type="noConversion"/>
  </si>
  <si>
    <t>-0.5%</t>
    <phoneticPr fontId="1" type="noConversion"/>
  </si>
  <si>
    <t>盈利</t>
    <phoneticPr fontId="1" type="noConversion"/>
  </si>
  <si>
    <t>亏损</t>
    <phoneticPr fontId="1" type="noConversion"/>
  </si>
  <si>
    <t>保本</t>
    <phoneticPr fontId="1" type="noConversion"/>
  </si>
  <si>
    <t>解套</t>
    <phoneticPr fontId="1" type="noConversion"/>
  </si>
  <si>
    <t>盈亏</t>
    <phoneticPr fontId="1" type="noConversion"/>
  </si>
  <si>
    <t>0</t>
    <phoneticPr fontId="1" type="noConversion"/>
  </si>
  <si>
    <t>+3%</t>
    <phoneticPr fontId="1" type="noConversion"/>
  </si>
  <si>
    <t>+2.5%</t>
    <phoneticPr fontId="1" type="noConversion"/>
  </si>
  <si>
    <t>+2%</t>
    <phoneticPr fontId="1" type="noConversion"/>
  </si>
  <si>
    <t>+1.5%</t>
    <phoneticPr fontId="1" type="noConversion"/>
  </si>
  <si>
    <t>+1%</t>
    <phoneticPr fontId="1" type="noConversion"/>
  </si>
  <si>
    <t>-1%</t>
    <phoneticPr fontId="1" type="noConversion"/>
  </si>
  <si>
    <t>-1.5%</t>
    <phoneticPr fontId="1" type="noConversion"/>
  </si>
  <si>
    <t>-2%</t>
    <phoneticPr fontId="1" type="noConversion"/>
  </si>
  <si>
    <t>期望卖价/
盈利触发</t>
    <phoneticPr fontId="1" type="noConversion"/>
  </si>
  <si>
    <t>保本触发</t>
    <phoneticPr fontId="1" type="noConversion"/>
  </si>
  <si>
    <t>买入价</t>
    <phoneticPr fontId="1" type="noConversion"/>
  </si>
  <si>
    <t>买价触发</t>
    <phoneticPr fontId="1" type="noConversion"/>
  </si>
  <si>
    <t>止损</t>
    <phoneticPr fontId="1" type="noConversion"/>
  </si>
  <si>
    <t>防止下跌：触发价下放到到当前价格的-0.5%，限价小于触发价0.002</t>
    <phoneticPr fontId="1" type="noConversion"/>
  </si>
  <si>
    <t>当次比例</t>
    <phoneticPr fontId="1" type="noConversion"/>
  </si>
  <si>
    <t>出仓钱数</t>
    <phoneticPr fontId="1" type="noConversion"/>
  </si>
  <si>
    <t>次数</t>
    <phoneticPr fontId="1" type="noConversion"/>
  </si>
  <si>
    <t>原始钱数5，分成5份，每次-0.1%止损，下次1.5倍投入递增</t>
    <phoneticPr fontId="1" type="noConversion"/>
  </si>
  <si>
    <t>逐次递增</t>
    <phoneticPr fontId="1" type="noConversion"/>
  </si>
  <si>
    <t>剩余钱数</t>
    <phoneticPr fontId="1" type="noConversion"/>
  </si>
  <si>
    <t>每次下跌1%止损</t>
    <phoneticPr fontId="1" type="noConversion"/>
  </si>
  <si>
    <t>平仓止损</t>
    <phoneticPr fontId="1" type="noConversion"/>
  </si>
  <si>
    <t>亏损率</t>
    <phoneticPr fontId="1" type="noConversion"/>
  </si>
  <si>
    <t>止损剩余钱数</t>
    <phoneticPr fontId="1" type="noConversion"/>
  </si>
  <si>
    <t>止损价格</t>
    <phoneticPr fontId="1" type="noConversion"/>
  </si>
  <si>
    <t>币数量</t>
    <phoneticPr fontId="1" type="noConversion"/>
  </si>
  <si>
    <t>原始价格</t>
    <phoneticPr fontId="1" type="noConversion"/>
  </si>
  <si>
    <t>原始钱数</t>
    <phoneticPr fontId="1" type="noConversion"/>
  </si>
  <si>
    <t>6次操作，每下跌1%补仓，共5次补仓，最后割肉平仓</t>
    <phoneticPr fontId="1" type="noConversion"/>
  </si>
  <si>
    <t>补仓止损</t>
    <phoneticPr fontId="1" type="noConversion"/>
  </si>
  <si>
    <t>6次操作，每下跌3%补仓，共5次补仓，最后割肉平仓</t>
    <phoneticPr fontId="1" type="noConversion"/>
  </si>
  <si>
    <t>6仓100%</t>
    <phoneticPr fontId="1" type="noConversion"/>
  </si>
  <si>
    <t>5仓50%</t>
    <phoneticPr fontId="1" type="noConversion"/>
  </si>
  <si>
    <t>4仓33%</t>
    <phoneticPr fontId="1" type="noConversion"/>
  </si>
  <si>
    <t>3仓25%</t>
    <phoneticPr fontId="1" type="noConversion"/>
  </si>
  <si>
    <t>2仓33%</t>
    <phoneticPr fontId="1" type="noConversion"/>
  </si>
  <si>
    <t>1仓25%</t>
    <phoneticPr fontId="1" type="noConversion"/>
  </si>
  <si>
    <t>补仓</t>
    <phoneticPr fontId="1" type="noConversion"/>
  </si>
  <si>
    <t>振幅率</t>
    <phoneticPr fontId="1" type="noConversion"/>
  </si>
  <si>
    <t>振幅</t>
    <phoneticPr fontId="1" type="noConversion"/>
  </si>
  <si>
    <t>高价</t>
    <phoneticPr fontId="1" type="noConversion"/>
  </si>
  <si>
    <t>低价</t>
    <phoneticPr fontId="1" type="noConversion"/>
  </si>
  <si>
    <t>总成本</t>
    <phoneticPr fontId="1" type="noConversion"/>
  </si>
  <si>
    <t>总数量</t>
    <phoneticPr fontId="1" type="noConversion"/>
  </si>
  <si>
    <t>卖价
（含手续费）</t>
    <phoneticPr fontId="1" type="noConversion"/>
  </si>
  <si>
    <t>留尾</t>
    <phoneticPr fontId="1" type="noConversion"/>
  </si>
  <si>
    <t>留首</t>
    <phoneticPr fontId="1" type="noConversion"/>
  </si>
  <si>
    <t>成交金额</t>
    <phoneticPr fontId="1" type="noConversion"/>
  </si>
  <si>
    <t>数量</t>
    <phoneticPr fontId="1" type="noConversion"/>
  </si>
  <si>
    <t>价格</t>
    <phoneticPr fontId="1" type="noConversion"/>
  </si>
  <si>
    <t>多仓补仓</t>
    <phoneticPr fontId="1" type="noConversion"/>
  </si>
  <si>
    <t>空仓金额</t>
    <phoneticPr fontId="1" type="noConversion"/>
  </si>
  <si>
    <t>空仓数量</t>
    <phoneticPr fontId="1" type="noConversion"/>
  </si>
  <si>
    <t>空仓平衡价</t>
    <phoneticPr fontId="1" type="noConversion"/>
  </si>
  <si>
    <t>空仓补仓</t>
    <phoneticPr fontId="1" type="noConversion"/>
  </si>
  <si>
    <t>空仓止损</t>
    <phoneticPr fontId="1" type="noConversion"/>
  </si>
  <si>
    <t>看空↓</t>
    <phoneticPr fontId="1" type="noConversion"/>
  </si>
  <si>
    <t>当前价格</t>
    <phoneticPr fontId="1" type="noConversion"/>
  </si>
  <si>
    <t>多仓平衡价</t>
    <phoneticPr fontId="1" type="noConversion"/>
  </si>
  <si>
    <t>看多↑</t>
    <phoneticPr fontId="1" type="noConversion"/>
  </si>
  <si>
    <t>空</t>
    <phoneticPr fontId="1" type="noConversion"/>
  </si>
  <si>
    <t>多</t>
    <phoneticPr fontId="1" type="noConversion"/>
  </si>
  <si>
    <t>利率</t>
    <phoneticPr fontId="1" type="noConversion"/>
  </si>
  <si>
    <t>结账</t>
    <phoneticPr fontId="1" type="noConversion"/>
  </si>
  <si>
    <t>平仓价格</t>
    <phoneticPr fontId="1" type="noConversion"/>
  </si>
  <si>
    <t>空多价差</t>
    <phoneticPr fontId="1" type="noConversion"/>
  </si>
  <si>
    <t>成本</t>
    <phoneticPr fontId="1" type="noConversion"/>
  </si>
  <si>
    <t>每份</t>
    <phoneticPr fontId="1" type="noConversion"/>
  </si>
  <si>
    <t>空获利
（-6%）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</si>
  <si>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止损开多</t>
    </r>
    <r>
      <rPr>
        <sz val="11"/>
        <color theme="1"/>
        <rFont val="等线"/>
        <family val="2"/>
        <scheme val="minor"/>
      </rPr>
      <t xml:space="preserve">
（+2.5%）</t>
    </r>
    <phoneticPr fontId="1" type="noConversion"/>
  </si>
  <si>
    <r>
      <rPr>
        <sz val="11"/>
        <color rgb="FF00B050"/>
        <rFont val="等线"/>
        <family val="3"/>
        <charset val="134"/>
        <scheme val="minor"/>
      </rPr>
      <t>开多</t>
    </r>
    <r>
      <rPr>
        <sz val="11"/>
        <color theme="1"/>
        <rFont val="等线"/>
        <family val="2"/>
        <scheme val="minor"/>
      </rPr>
      <t xml:space="preserve">
（-1%）</t>
    </r>
    <phoneticPr fontId="1" type="noConversion"/>
  </si>
  <si>
    <r>
      <rPr>
        <sz val="11"/>
        <color rgb="FF00B050"/>
        <rFont val="等线"/>
        <family val="3"/>
        <charset val="134"/>
        <scheme val="minor"/>
      </rPr>
      <t>开多</t>
    </r>
    <r>
      <rPr>
        <sz val="11"/>
        <color theme="1"/>
        <rFont val="等线"/>
        <family val="2"/>
        <scheme val="minor"/>
      </rPr>
      <t xml:space="preserve">
（-0.5%）</t>
    </r>
    <phoneticPr fontId="1" type="noConversion"/>
  </si>
  <si>
    <r>
      <rPr>
        <sz val="11"/>
        <color rgb="FF00B050"/>
        <rFont val="等线"/>
        <family val="3"/>
        <charset val="134"/>
        <scheme val="minor"/>
      </rPr>
      <t>开多</t>
    </r>
    <r>
      <rPr>
        <sz val="11"/>
        <color theme="1"/>
        <rFont val="等线"/>
        <family val="2"/>
        <scheme val="minor"/>
      </rPr>
      <t xml:space="preserve">
（-0.3%）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</si>
  <si>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补空</t>
    </r>
    <r>
      <rPr>
        <sz val="11"/>
        <color theme="1"/>
        <rFont val="等线"/>
        <family val="2"/>
        <scheme val="minor"/>
      </rPr>
      <t xml:space="preserve">
（+1%）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</si>
  <si>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补空</t>
    </r>
    <r>
      <rPr>
        <sz val="11"/>
        <color theme="1"/>
        <rFont val="等线"/>
        <family val="2"/>
        <scheme val="minor"/>
      </rPr>
      <t xml:space="preserve">
（+0.7%）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</si>
  <si>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补空</t>
    </r>
    <r>
      <rPr>
        <sz val="11"/>
        <color theme="1"/>
        <rFont val="等线"/>
        <family val="2"/>
        <scheme val="minor"/>
      </rPr>
      <t xml:space="preserve">
（+0.5%）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</si>
  <si>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补空</t>
    </r>
    <r>
      <rPr>
        <sz val="11"/>
        <color theme="1"/>
        <rFont val="等线"/>
        <family val="2"/>
        <scheme val="minor"/>
      </rPr>
      <t xml:space="preserve">
（+0.3%）</t>
    </r>
    <phoneticPr fontId="1" type="noConversion"/>
  </si>
  <si>
    <t>均价</t>
    <phoneticPr fontId="1" type="noConversion"/>
  </si>
  <si>
    <t>多获利
（+6%）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</si>
  <si>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止损开空</t>
    </r>
    <r>
      <rPr>
        <sz val="11"/>
        <color theme="1"/>
        <rFont val="等线"/>
        <family val="2"/>
        <scheme val="minor"/>
      </rPr>
      <t xml:space="preserve">
（-2.5%）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</si>
  <si>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开空</t>
    </r>
    <r>
      <rPr>
        <sz val="11"/>
        <color theme="1"/>
        <rFont val="等线"/>
        <family val="2"/>
        <scheme val="minor"/>
      </rPr>
      <t xml:space="preserve">
（+1%）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</si>
  <si>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开空</t>
    </r>
    <r>
      <rPr>
        <sz val="11"/>
        <color theme="1"/>
        <rFont val="等线"/>
        <family val="2"/>
        <scheme val="minor"/>
      </rPr>
      <t xml:space="preserve">
（+0.5%）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</si>
  <si>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开空</t>
    </r>
    <r>
      <rPr>
        <sz val="11"/>
        <color theme="1"/>
        <rFont val="等线"/>
        <family val="2"/>
        <scheme val="minor"/>
      </rPr>
      <t xml:space="preserve">
（+0.3%）</t>
    </r>
    <phoneticPr fontId="1" type="noConversion"/>
  </si>
  <si>
    <r>
      <rPr>
        <sz val="11"/>
        <color rgb="FF00B050"/>
        <rFont val="等线"/>
        <family val="3"/>
        <charset val="134"/>
        <scheme val="minor"/>
      </rPr>
      <t>补多</t>
    </r>
    <r>
      <rPr>
        <sz val="11"/>
        <color theme="1"/>
        <rFont val="等线"/>
        <family val="2"/>
        <scheme val="minor"/>
      </rPr>
      <t xml:space="preserve">
（-1%）</t>
    </r>
    <phoneticPr fontId="1" type="noConversion"/>
  </si>
  <si>
    <r>
      <rPr>
        <sz val="11"/>
        <color rgb="FF00B050"/>
        <rFont val="等线"/>
        <family val="3"/>
        <charset val="134"/>
        <scheme val="minor"/>
      </rPr>
      <t>补多</t>
    </r>
    <r>
      <rPr>
        <sz val="11"/>
        <color theme="1"/>
        <rFont val="等线"/>
        <family val="2"/>
        <scheme val="minor"/>
      </rPr>
      <t xml:space="preserve">
（-0.7%）</t>
    </r>
    <phoneticPr fontId="1" type="noConversion"/>
  </si>
  <si>
    <r>
      <rPr>
        <sz val="11"/>
        <color rgb="FF00B050"/>
        <rFont val="等线"/>
        <family val="3"/>
        <charset val="134"/>
        <scheme val="minor"/>
      </rPr>
      <t>补多</t>
    </r>
    <r>
      <rPr>
        <sz val="11"/>
        <color theme="1"/>
        <rFont val="等线"/>
        <family val="2"/>
        <scheme val="minor"/>
      </rPr>
      <t xml:space="preserve">
（-0.5%）</t>
    </r>
    <phoneticPr fontId="1" type="noConversion"/>
  </si>
  <si>
    <r>
      <rPr>
        <sz val="11"/>
        <color rgb="FF00B050"/>
        <rFont val="等线"/>
        <family val="3"/>
        <charset val="134"/>
        <scheme val="minor"/>
      </rPr>
      <t>补多</t>
    </r>
    <r>
      <rPr>
        <sz val="11"/>
        <color theme="1"/>
        <rFont val="等线"/>
        <family val="2"/>
        <scheme val="minor"/>
      </rPr>
      <t xml:space="preserve">
（-0.3%）</t>
    </r>
    <phoneticPr fontId="1" type="noConversion"/>
  </si>
  <si>
    <t>IO</t>
    <phoneticPr fontId="1" type="noConversion"/>
  </si>
  <si>
    <t>-2.5%</t>
    <phoneticPr fontId="1" type="noConversion"/>
  </si>
  <si>
    <t>-3%</t>
    <phoneticPr fontId="1" type="noConversion"/>
  </si>
  <si>
    <t>期望卖价</t>
    <phoneticPr fontId="1" type="noConversion"/>
  </si>
  <si>
    <t>当前/
高点</t>
    <phoneticPr fontId="1" type="noConversion"/>
  </si>
  <si>
    <t>期望买价
止损</t>
    <phoneticPr fontId="1" type="noConversion"/>
  </si>
  <si>
    <t>倍数</t>
    <phoneticPr fontId="1" type="noConversion"/>
  </si>
  <si>
    <t>本金</t>
    <phoneticPr fontId="1" type="noConversion"/>
  </si>
  <si>
    <t>第n天</t>
    <phoneticPr fontId="1" type="noConversion"/>
  </si>
  <si>
    <t>当行情≤触发价，触发委托订单</t>
    <phoneticPr fontId="1" type="noConversion"/>
  </si>
  <si>
    <t>行情下跌
（触发价＜当前行情）</t>
    <phoneticPr fontId="1" type="noConversion"/>
  </si>
  <si>
    <r>
      <t>当行情</t>
    </r>
    <r>
      <rPr>
        <sz val="11"/>
        <color theme="1"/>
        <rFont val="等线"/>
        <family val="3"/>
        <charset val="134"/>
      </rPr>
      <t>≥</t>
    </r>
    <r>
      <rPr>
        <sz val="11"/>
        <color theme="1"/>
        <rFont val="等线"/>
        <family val="2"/>
        <scheme val="minor"/>
      </rPr>
      <t>触发价，触发委托订单</t>
    </r>
    <phoneticPr fontId="1" type="noConversion"/>
  </si>
  <si>
    <t>行情上涨
（触发价＞当前行情）</t>
    <phoneticPr fontId="1" type="noConversion"/>
  </si>
  <si>
    <t>止盈止损</t>
    <phoneticPr fontId="1" type="noConversion"/>
  </si>
  <si>
    <t>手续费+0.003</t>
    <phoneticPr fontId="1" type="noConversion"/>
  </si>
  <si>
    <t>卖（USDT）</t>
    <phoneticPr fontId="1" type="noConversion"/>
  </si>
  <si>
    <t>买（IO）</t>
    <phoneticPr fontId="1" type="noConversion"/>
  </si>
  <si>
    <t>费率</t>
    <phoneticPr fontId="1" type="noConversion"/>
  </si>
  <si>
    <t>实际手续费</t>
    <phoneticPr fontId="1" type="noConversion"/>
  </si>
  <si>
    <t>换算</t>
    <phoneticPr fontId="1" type="noConversion"/>
  </si>
  <si>
    <t>手续费</t>
    <phoneticPr fontId="1" type="noConversion"/>
  </si>
  <si>
    <t>平空</t>
    <phoneticPr fontId="1" type="noConversion"/>
  </si>
  <si>
    <t>原价</t>
    <phoneticPr fontId="1" type="noConversion"/>
  </si>
  <si>
    <t>-3.0%</t>
    <phoneticPr fontId="1" type="noConversion"/>
  </si>
  <si>
    <t>+0.7%</t>
    <phoneticPr fontId="1" type="noConversion"/>
  </si>
  <si>
    <t>+1.0%</t>
    <phoneticPr fontId="1" type="noConversion"/>
  </si>
  <si>
    <t>-2.0%</t>
    <phoneticPr fontId="1" type="noConversion"/>
  </si>
  <si>
    <t>+2.0%</t>
    <phoneticPr fontId="1" type="noConversion"/>
  </si>
  <si>
    <t>-1.0%</t>
    <phoneticPr fontId="1" type="noConversion"/>
  </si>
  <si>
    <t>-0.7%</t>
    <phoneticPr fontId="1" type="noConversion"/>
  </si>
  <si>
    <t>+3.0%</t>
    <phoneticPr fontId="1" type="noConversion"/>
  </si>
  <si>
    <t>做多</t>
    <phoneticPr fontId="1" type="noConversion"/>
  </si>
  <si>
    <t>+4.0%</t>
    <phoneticPr fontId="1" type="noConversion"/>
  </si>
  <si>
    <t>做空</t>
    <phoneticPr fontId="1" type="noConversion"/>
  </si>
  <si>
    <t>+5.0%</t>
    <phoneticPr fontId="1" type="noConversion"/>
  </si>
  <si>
    <t>平多</t>
    <phoneticPr fontId="1" type="noConversion"/>
  </si>
  <si>
    <t>多仓
平均价</t>
    <phoneticPr fontId="1" type="noConversion"/>
  </si>
  <si>
    <t>空仓
平均价</t>
    <phoneticPr fontId="1" type="noConversion"/>
  </si>
  <si>
    <t>多仓基准</t>
    <phoneticPr fontId="1" type="noConversion"/>
  </si>
  <si>
    <t>空仓基准</t>
    <phoneticPr fontId="1" type="noConversion"/>
  </si>
  <si>
    <t>多仓备用</t>
    <phoneticPr fontId="1" type="noConversion"/>
  </si>
  <si>
    <t>空仓备用</t>
    <phoneticPr fontId="1" type="noConversion"/>
  </si>
  <si>
    <t>剩余仓
保守价</t>
    <phoneticPr fontId="1" type="noConversion"/>
  </si>
  <si>
    <t>备用</t>
    <phoneticPr fontId="1" type="noConversion"/>
  </si>
  <si>
    <t>+10.0%</t>
    <phoneticPr fontId="1" type="noConversion"/>
  </si>
  <si>
    <t>+9.0%</t>
    <phoneticPr fontId="1" type="noConversion"/>
  </si>
  <si>
    <t>+8.0%</t>
    <phoneticPr fontId="1" type="noConversion"/>
  </si>
  <si>
    <t>+7.0%</t>
    <phoneticPr fontId="1" type="noConversion"/>
  </si>
  <si>
    <t>+6.0%</t>
    <phoneticPr fontId="1" type="noConversion"/>
  </si>
  <si>
    <t>强制平仓</t>
    <phoneticPr fontId="1" type="noConversion"/>
  </si>
  <si>
    <t>备用金</t>
    <phoneticPr fontId="1" type="noConversion"/>
  </si>
  <si>
    <t>基准</t>
    <phoneticPr fontId="1" type="noConversion"/>
  </si>
  <si>
    <t>单仓最多</t>
    <phoneticPr fontId="1" type="noConversion"/>
  </si>
  <si>
    <t>2个</t>
    <phoneticPr fontId="1" type="noConversion"/>
  </si>
  <si>
    <t>-4.0%</t>
    <phoneticPr fontId="1" type="noConversion"/>
  </si>
  <si>
    <t>-5.0%</t>
    <phoneticPr fontId="1" type="noConversion"/>
  </si>
  <si>
    <t>-6.0%</t>
    <phoneticPr fontId="1" type="noConversion"/>
  </si>
  <si>
    <t>-7.0%</t>
    <phoneticPr fontId="1" type="noConversion"/>
  </si>
  <si>
    <t>-8.0%</t>
    <phoneticPr fontId="1" type="noConversion"/>
  </si>
  <si>
    <t>-9.0%</t>
    <phoneticPr fontId="1" type="noConversion"/>
  </si>
  <si>
    <t>-10.0%</t>
    <phoneticPr fontId="1" type="noConversion"/>
  </si>
  <si>
    <r>
      <rPr>
        <sz val="11"/>
        <color rgb="FF00B050"/>
        <rFont val="等线"/>
        <family val="3"/>
        <charset val="134"/>
        <scheme val="minor"/>
      </rPr>
      <t>上涨行情，空仓被套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FFFF00"/>
        <rFont val="等线"/>
        <family val="3"/>
        <charset val="134"/>
        <scheme val="minor"/>
      </rPr>
      <t>空仓基准（1份）：</t>
    </r>
    <r>
      <rPr>
        <sz val="11"/>
        <color theme="1"/>
        <rFont val="等线"/>
        <family val="2"/>
        <scheme val="minor"/>
      </rPr>
      <t xml:space="preserve">
1. 如果一直上涨，以最后一次成交价为基准，涨2%做空
2. 如果震荡，以多仓平均价为基准，涨2%做空
3. 如果下跌，跌至剩余仓保守价以下，每下跌1%，买2份多，卖2份空
</t>
    </r>
    <r>
      <rPr>
        <sz val="11"/>
        <color rgb="FF0070C0"/>
        <rFont val="等线"/>
        <family val="3"/>
        <charset val="134"/>
        <scheme val="minor"/>
      </rPr>
      <t>多仓基准（2份）：</t>
    </r>
    <r>
      <rPr>
        <sz val="11"/>
        <color theme="1"/>
        <rFont val="等线"/>
        <family val="2"/>
        <scheme val="minor"/>
      </rPr>
      <t>以多仓平均价为基准，跌1%做多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</si>
  <si>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下跌行情，多仓被套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70C0"/>
        <rFont val="等线"/>
        <family val="3"/>
        <charset val="134"/>
        <scheme val="minor"/>
      </rPr>
      <t>多仓基准（1份）：</t>
    </r>
    <r>
      <rPr>
        <sz val="11"/>
        <color theme="1"/>
        <rFont val="等线"/>
        <family val="2"/>
        <scheme val="minor"/>
      </rPr>
      <t xml:space="preserve">
1. 如果一直下跌，以最后一次成交价为基准，跌2%做多
2. 如果震荡，以空仓平均价为基准，跌2%做多
3. 如果上涨，涨至剩余仓保守价以上，每上涨1%，买2份空，卖2份多
</t>
    </r>
    <r>
      <rPr>
        <sz val="11"/>
        <color rgb="FFFFFF00"/>
        <rFont val="等线"/>
        <family val="3"/>
        <charset val="134"/>
        <scheme val="minor"/>
      </rPr>
      <t>空仓基准（2份）：</t>
    </r>
    <r>
      <rPr>
        <sz val="11"/>
        <color theme="1"/>
        <rFont val="等线"/>
        <family val="2"/>
        <scheme val="minor"/>
      </rPr>
      <t>以空仓平均价为基准，跌1%做多</t>
    </r>
    <phoneticPr fontId="1" type="noConversion"/>
  </si>
  <si>
    <t>回调</t>
    <phoneticPr fontId="1" type="noConversion"/>
  </si>
  <si>
    <t>高低点</t>
    <phoneticPr fontId="1" type="noConversion"/>
  </si>
  <si>
    <t>最大下降</t>
    <phoneticPr fontId="1" type="noConversion"/>
  </si>
  <si>
    <t>平均-再平仓</t>
    <phoneticPr fontId="1" type="noConversion"/>
  </si>
  <si>
    <t>平仓-最低</t>
    <phoneticPr fontId="1" type="noConversion"/>
  </si>
  <si>
    <t>平仓-再平仓</t>
    <phoneticPr fontId="1" type="noConversion"/>
  </si>
  <si>
    <t>低点</t>
    <phoneticPr fontId="1" type="noConversion"/>
  </si>
  <si>
    <t>最低降到</t>
    <phoneticPr fontId="1" type="noConversion"/>
  </si>
  <si>
    <t>资金下降</t>
    <phoneticPr fontId="1" type="noConversion"/>
  </si>
  <si>
    <t>再平仓价格</t>
    <phoneticPr fontId="1" type="noConversion"/>
  </si>
  <si>
    <t>再平仓
总资金</t>
    <phoneticPr fontId="1" type="noConversion"/>
  </si>
  <si>
    <t>再平仓</t>
    <phoneticPr fontId="1" type="noConversion"/>
  </si>
  <si>
    <t>平仓时
多仓平均</t>
    <phoneticPr fontId="1" type="noConversion"/>
  </si>
  <si>
    <t>平仓时
总资金</t>
    <phoneticPr fontId="1" type="noConversion"/>
  </si>
  <si>
    <t>高点</t>
    <phoneticPr fontId="1" type="noConversion"/>
  </si>
  <si>
    <t>多仓金币11 -- 15
占总最大仓量23%，约1/4
相当于</t>
    <phoneticPr fontId="1" type="noConversion"/>
  </si>
  <si>
    <t>6.28 16:09 平仓 ——6.30 16:36 平仓</t>
    <phoneticPr fontId="1" type="noConversion"/>
  </si>
  <si>
    <t>1份</t>
    <phoneticPr fontId="1" type="noConversion"/>
  </si>
  <si>
    <t>总数</t>
    <phoneticPr fontId="1" type="noConversion"/>
  </si>
  <si>
    <t>空仓基准2</t>
    <phoneticPr fontId="1" type="noConversion"/>
  </si>
  <si>
    <t>空仓基准1</t>
    <phoneticPr fontId="1" type="noConversion"/>
  </si>
  <si>
    <t>多仓基准2</t>
    <phoneticPr fontId="1" type="noConversion"/>
  </si>
  <si>
    <t>多仓基准1</t>
    <phoneticPr fontId="1" type="noConversion"/>
  </si>
  <si>
    <t>-10%</t>
    <phoneticPr fontId="1" type="noConversion"/>
  </si>
  <si>
    <t>空止盈</t>
    <phoneticPr fontId="1" type="noConversion"/>
  </si>
  <si>
    <t>补空</t>
    <phoneticPr fontId="1" type="noConversion"/>
  </si>
  <si>
    <t>基数</t>
    <phoneticPr fontId="1" type="noConversion"/>
  </si>
  <si>
    <t>开多</t>
    <phoneticPr fontId="1" type="noConversion"/>
  </si>
  <si>
    <t>+4%</t>
    <phoneticPr fontId="1" type="noConversion"/>
  </si>
  <si>
    <t>空止损</t>
    <phoneticPr fontId="1" type="noConversion"/>
  </si>
  <si>
    <t>-4%</t>
    <phoneticPr fontId="1" type="noConversion"/>
  </si>
  <si>
    <t>多止损</t>
    <phoneticPr fontId="1" type="noConversion"/>
  </si>
  <si>
    <t>开空</t>
    <phoneticPr fontId="1" type="noConversion"/>
  </si>
  <si>
    <t>10%</t>
    <phoneticPr fontId="1" type="noConversion"/>
  </si>
  <si>
    <t>多止盈</t>
    <phoneticPr fontId="1" type="noConversion"/>
  </si>
  <si>
    <t>当前</t>
    <phoneticPr fontId="1" type="noConversion"/>
  </si>
  <si>
    <t>补多</t>
    <phoneticPr fontId="1" type="noConversion"/>
  </si>
  <si>
    <t>+10%</t>
    <phoneticPr fontId="1" type="noConversion"/>
  </si>
  <si>
    <t>+6%</t>
    <phoneticPr fontId="1" type="noConversion"/>
  </si>
  <si>
    <t>-6%</t>
    <phoneticPr fontId="1" type="noConversion"/>
  </si>
  <si>
    <t>最后是做多</t>
    <phoneticPr fontId="1" type="noConversion"/>
  </si>
  <si>
    <t>最后是做空</t>
    <phoneticPr fontId="1" type="noConversion"/>
  </si>
  <si>
    <t>8个</t>
    <phoneticPr fontId="1" type="noConversion"/>
  </si>
  <si>
    <t>2024-06-30-1</t>
    <phoneticPr fontId="1" type="noConversion"/>
  </si>
  <si>
    <t>2024-06-28-2</t>
    <phoneticPr fontId="1" type="noConversion"/>
  </si>
  <si>
    <t>最大浮动
多空修改</t>
    <phoneticPr fontId="1" type="noConversion"/>
  </si>
  <si>
    <t>最大变价</t>
    <phoneticPr fontId="1" type="noConversion"/>
  </si>
  <si>
    <t>仓位余量</t>
    <phoneticPr fontId="1" type="noConversion"/>
  </si>
  <si>
    <t>单仓数量
（实际）</t>
    <phoneticPr fontId="1" type="noConversion"/>
  </si>
  <si>
    <r>
      <t>单仓数量
（</t>
    </r>
    <r>
      <rPr>
        <sz val="11"/>
        <color rgb="FFFF0000"/>
        <rFont val="等线"/>
        <family val="3"/>
        <charset val="134"/>
        <scheme val="minor"/>
      </rPr>
      <t>最多允许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</si>
  <si>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单仓占比
（实际）</t>
    <phoneticPr fontId="1" type="noConversion"/>
  </si>
  <si>
    <r>
      <t>单仓占比
（</t>
    </r>
    <r>
      <rPr>
        <sz val="11"/>
        <color rgb="FFFF0000"/>
        <rFont val="等线"/>
        <family val="3"/>
        <charset val="134"/>
        <scheme val="minor"/>
      </rPr>
      <t>最多允许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</si>
  <si>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单仓金额
（实际消耗）</t>
    <phoneticPr fontId="1" type="noConversion"/>
  </si>
  <si>
    <r>
      <t>单仓金额
（</t>
    </r>
    <r>
      <rPr>
        <sz val="11"/>
        <color rgb="FFFF0000"/>
        <rFont val="等线"/>
        <family val="3"/>
        <charset val="134"/>
        <scheme val="minor"/>
      </rPr>
      <t>最多允许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</si>
  <si>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今日总资产</t>
    <phoneticPr fontId="1" type="noConversion"/>
  </si>
  <si>
    <t>昨日总资产</t>
    <phoneticPr fontId="1" type="noConversion"/>
  </si>
  <si>
    <t>利润</t>
    <phoneticPr fontId="1" type="noConversion"/>
  </si>
  <si>
    <t>回报率</t>
    <phoneticPr fontId="1" type="noConversion"/>
  </si>
  <si>
    <t>获利价格</t>
    <phoneticPr fontId="1" type="noConversion"/>
  </si>
  <si>
    <t>价差
（基于多仓）</t>
    <phoneticPr fontId="1" type="noConversion"/>
  </si>
  <si>
    <t>平均价</t>
    <phoneticPr fontId="1" type="noConversion"/>
  </si>
  <si>
    <t>仓</t>
    <phoneticPr fontId="1" type="noConversion"/>
  </si>
  <si>
    <t>日期</t>
    <phoneticPr fontId="1" type="noConversion"/>
  </si>
  <si>
    <t>振幅统计</t>
    <phoneticPr fontId="1" type="noConversion"/>
  </si>
  <si>
    <t>仓位控制</t>
  </si>
  <si>
    <t>金额控制</t>
    <phoneticPr fontId="1" type="noConversion"/>
  </si>
  <si>
    <t>价格控制</t>
    <phoneticPr fontId="1" type="noConversion"/>
  </si>
  <si>
    <t>收益率</t>
    <phoneticPr fontId="1" type="noConversion"/>
  </si>
  <si>
    <t>份数</t>
    <phoneticPr fontId="1" type="noConversion"/>
  </si>
  <si>
    <t>最终资产</t>
    <phoneticPr fontId="1" type="noConversion"/>
  </si>
  <si>
    <t>本金</t>
    <phoneticPr fontId="1" type="noConversion"/>
  </si>
  <si>
    <t>杠杆</t>
    <phoneticPr fontId="1" type="noConversion"/>
  </si>
  <si>
    <t>操作额度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</si>
  <si>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</si>
  <si>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</si>
  <si>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</si>
  <si>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从币</t>
    <phoneticPr fontId="1" type="noConversion"/>
  </si>
  <si>
    <t>主币</t>
    <phoneticPr fontId="1" type="noConversion"/>
  </si>
  <si>
    <t>从币调仓</t>
    <phoneticPr fontId="1" type="noConversion"/>
  </si>
  <si>
    <t>总买入</t>
    <phoneticPr fontId="1" type="noConversion"/>
  </si>
  <si>
    <t>总卖出</t>
    <phoneticPr fontId="1" type="noConversion"/>
  </si>
  <si>
    <t>合约拼盘
单次记录</t>
    <phoneticPr fontId="1" type="noConversion"/>
  </si>
  <si>
    <t>ZRO空</t>
    <phoneticPr fontId="1" type="noConversion"/>
  </si>
  <si>
    <t>ZRO多</t>
    <phoneticPr fontId="1" type="noConversion"/>
  </si>
  <si>
    <t>IO空</t>
    <phoneticPr fontId="1" type="noConversion"/>
  </si>
  <si>
    <t>IO多</t>
    <phoneticPr fontId="1" type="noConversion"/>
  </si>
  <si>
    <t>开单计算</t>
    <phoneticPr fontId="1" type="noConversion"/>
  </si>
  <si>
    <t>止盈</t>
    <phoneticPr fontId="1" type="noConversion"/>
  </si>
  <si>
    <t>周期盈利</t>
    <phoneticPr fontId="1" type="noConversion"/>
  </si>
  <si>
    <t>期望
（幅度*概率）</t>
    <phoneticPr fontId="1" type="noConversion"/>
  </si>
  <si>
    <t>概率</t>
    <phoneticPr fontId="1" type="noConversion"/>
  </si>
  <si>
    <t>幅度</t>
    <phoneticPr fontId="1" type="noConversion"/>
  </si>
  <si>
    <t>周期</t>
    <phoneticPr fontId="1" type="noConversion"/>
  </si>
  <si>
    <t>微利期望</t>
    <phoneticPr fontId="1" type="noConversion"/>
  </si>
  <si>
    <t>空仓余量</t>
    <phoneticPr fontId="1" type="noConversion"/>
  </si>
  <si>
    <t>多仓余量</t>
    <phoneticPr fontId="1" type="noConversion"/>
  </si>
  <si>
    <t>百分比</t>
    <phoneticPr fontId="1" type="noConversion"/>
  </si>
  <si>
    <t>ZRO</t>
    <phoneticPr fontId="1" type="noConversion"/>
  </si>
  <si>
    <t>历史低点警报</t>
    <phoneticPr fontId="1" type="noConversion"/>
  </si>
  <si>
    <t>历史高点警报</t>
    <phoneticPr fontId="1" type="noConversion"/>
  </si>
  <si>
    <t>昨日低点警报</t>
    <phoneticPr fontId="1" type="noConversion"/>
  </si>
  <si>
    <t>上次低点</t>
    <phoneticPr fontId="1" type="noConversion"/>
  </si>
  <si>
    <t>当前基准</t>
    <phoneticPr fontId="1" type="noConversion"/>
  </si>
  <si>
    <t>上次高点</t>
    <phoneticPr fontId="1" type="noConversion"/>
  </si>
  <si>
    <t>昨日高点</t>
    <phoneticPr fontId="1" type="noConversion"/>
  </si>
  <si>
    <t>历史低点</t>
    <phoneticPr fontId="1" type="noConversion"/>
  </si>
  <si>
    <t>历史高点</t>
    <phoneticPr fontId="1" type="noConversion"/>
  </si>
  <si>
    <t>高低统计</t>
    <phoneticPr fontId="1" type="noConversion"/>
  </si>
  <si>
    <t>合约拼盘对冲实验数据</t>
    <phoneticPr fontId="1" type="noConversion"/>
  </si>
  <si>
    <t>拼盘</t>
    <phoneticPr fontId="1" type="noConversion"/>
  </si>
  <si>
    <t>WIF</t>
    <phoneticPr fontId="1" type="noConversion"/>
  </si>
  <si>
    <t>TIA</t>
    <phoneticPr fontId="1" type="noConversion"/>
  </si>
  <si>
    <t>TAIKO</t>
    <phoneticPr fontId="1" type="noConversion"/>
  </si>
  <si>
    <t>BTC
涨区间</t>
    <phoneticPr fontId="1" type="noConversion"/>
  </si>
  <si>
    <t>BTC
跌区间</t>
    <phoneticPr fontId="1" type="noConversion"/>
  </si>
  <si>
    <t>BTC 下跌</t>
    <phoneticPr fontId="1" type="noConversion"/>
  </si>
  <si>
    <t>拼盘下跌</t>
    <phoneticPr fontId="1" type="noConversion"/>
  </si>
  <si>
    <t>伸缩比</t>
    <phoneticPr fontId="1" type="noConversion"/>
  </si>
  <si>
    <t>BTC 允许震荡极限</t>
    <phoneticPr fontId="1" type="noConversion"/>
  </si>
  <si>
    <t>BTC 高位</t>
    <phoneticPr fontId="1" type="noConversion"/>
  </si>
  <si>
    <t>全部做空</t>
    <phoneticPr fontId="1" type="noConversion"/>
  </si>
  <si>
    <t>主要做空</t>
    <phoneticPr fontId="1" type="noConversion"/>
  </si>
  <si>
    <t>安全区</t>
    <phoneticPr fontId="1" type="noConversion"/>
  </si>
  <si>
    <t>主要做多</t>
    <phoneticPr fontId="1" type="noConversion"/>
  </si>
  <si>
    <t>全部做多</t>
    <phoneticPr fontId="1" type="noConversion"/>
  </si>
  <si>
    <t>BTC 低位</t>
    <phoneticPr fontId="1" type="noConversion"/>
  </si>
  <si>
    <t>主从币对冲，BTC 各个区域</t>
    <phoneticPr fontId="1" type="noConversion"/>
  </si>
  <si>
    <t>总计</t>
    <phoneticPr fontId="1" type="noConversion"/>
  </si>
  <si>
    <t>留白</t>
    <phoneticPr fontId="1" type="noConversion"/>
  </si>
  <si>
    <t>最后一次剩余</t>
    <phoneticPr fontId="1" type="noConversion"/>
  </si>
  <si>
    <t>本次一半利润</t>
    <phoneticPr fontId="1" type="noConversion"/>
  </si>
  <si>
    <t>本次利润</t>
    <phoneticPr fontId="1" type="noConversion"/>
  </si>
  <si>
    <t>复投一半利润</t>
    <phoneticPr fontId="1" type="noConversion"/>
  </si>
  <si>
    <t>复投全部利润</t>
    <phoneticPr fontId="1" type="noConversion"/>
  </si>
  <si>
    <t>样本</t>
    <phoneticPr fontId="1" type="noConversion"/>
  </si>
  <si>
    <t>获利转出</t>
    <phoneticPr fontId="1" type="noConversion"/>
  </si>
  <si>
    <t>本次本金</t>
    <phoneticPr fontId="1" type="noConversion"/>
  </si>
  <si>
    <t>利润率</t>
    <phoneticPr fontId="1" type="noConversion"/>
  </si>
  <si>
    <t>上次获利</t>
    <phoneticPr fontId="1" type="noConversion"/>
  </si>
  <si>
    <t>上次本金</t>
    <phoneticPr fontId="1" type="noConversion"/>
  </si>
  <si>
    <t>标记</t>
    <phoneticPr fontId="1" type="noConversion"/>
  </si>
  <si>
    <t>开单时间</t>
    <phoneticPr fontId="1" type="noConversion"/>
  </si>
  <si>
    <t>PERP UNI</t>
    <phoneticPr fontId="1" type="noConversion"/>
  </si>
  <si>
    <t>UNI CRV</t>
    <phoneticPr fontId="1" type="noConversion"/>
  </si>
  <si>
    <t>UNI AAVE</t>
    <phoneticPr fontId="1" type="noConversion"/>
  </si>
  <si>
    <t>UNI OP</t>
    <phoneticPr fontId="1" type="noConversion"/>
  </si>
  <si>
    <t>ZRO OP</t>
    <phoneticPr fontId="1" type="noConversion"/>
  </si>
  <si>
    <t>OP PERP</t>
    <phoneticPr fontId="1" type="noConversion"/>
  </si>
  <si>
    <t>CRV HNT</t>
    <phoneticPr fontId="1" type="noConversion"/>
  </si>
  <si>
    <t>AAVE ZRO</t>
    <phoneticPr fontId="1" type="noConversion"/>
  </si>
  <si>
    <t>HNT CRV</t>
    <phoneticPr fontId="1" type="noConversion"/>
  </si>
  <si>
    <t>CRV AVAIL</t>
    <phoneticPr fontId="1" type="noConversion"/>
  </si>
  <si>
    <t>FTM WIF</t>
    <phoneticPr fontId="1" type="noConversion"/>
  </si>
  <si>
    <t>CRV AAVE</t>
    <phoneticPr fontId="1" type="noConversion"/>
  </si>
  <si>
    <t>CRV IO</t>
    <phoneticPr fontId="1" type="noConversion"/>
  </si>
  <si>
    <t>GMX JTO</t>
    <phoneticPr fontId="1" type="noConversion"/>
  </si>
  <si>
    <t>GMX CRV</t>
    <phoneticPr fontId="1" type="noConversion"/>
  </si>
  <si>
    <t>AAVE JTO</t>
    <phoneticPr fontId="1" type="noConversion"/>
  </si>
  <si>
    <t>CRV JTO</t>
    <phoneticPr fontId="1" type="noConversion"/>
  </si>
  <si>
    <t>GMX NOT</t>
    <phoneticPr fontId="1" type="noConversion"/>
  </si>
  <si>
    <t>IO CRV</t>
    <phoneticPr fontId="1" type="noConversion"/>
  </si>
  <si>
    <t>AAVE CRV</t>
    <phoneticPr fontId="1" type="noConversion"/>
  </si>
  <si>
    <t>NOT DYM</t>
    <phoneticPr fontId="1" type="noConversion"/>
  </si>
  <si>
    <t>FTM CRV</t>
    <phoneticPr fontId="1" type="noConversion"/>
  </si>
  <si>
    <t>GMX APT</t>
    <phoneticPr fontId="1" type="noConversion"/>
  </si>
  <si>
    <t>DYM IO</t>
    <phoneticPr fontId="1" type="noConversion"/>
  </si>
  <si>
    <t>GMX IO</t>
    <phoneticPr fontId="1" type="noConversion"/>
  </si>
  <si>
    <t>JTO AAVE</t>
    <phoneticPr fontId="1" type="noConversion"/>
  </si>
  <si>
    <t>DYM APT</t>
    <phoneticPr fontId="1" type="noConversion"/>
  </si>
  <si>
    <t>CRV ZRO</t>
    <phoneticPr fontId="1" type="noConversion"/>
  </si>
  <si>
    <t>CRV ENA</t>
    <phoneticPr fontId="1" type="noConversion"/>
  </si>
  <si>
    <t>NOT GMX</t>
    <phoneticPr fontId="1" type="noConversion"/>
  </si>
  <si>
    <t>AAVE FTM</t>
    <phoneticPr fontId="1" type="noConversion"/>
  </si>
  <si>
    <t>IO GMX</t>
    <phoneticPr fontId="1" type="noConversion"/>
  </si>
  <si>
    <t>CRV SCRT</t>
    <phoneticPr fontId="1" type="noConversion"/>
  </si>
  <si>
    <t>GMX WIF</t>
    <phoneticPr fontId="1" type="noConversion"/>
  </si>
  <si>
    <t>NOT AAVE</t>
    <phoneticPr fontId="1" type="noConversion"/>
  </si>
  <si>
    <t>DYM AAVE</t>
    <phoneticPr fontId="1" type="noConversion"/>
  </si>
  <si>
    <t>SCRT AAVE</t>
    <phoneticPr fontId="1" type="noConversion"/>
  </si>
  <si>
    <t>DYM GMX</t>
    <phoneticPr fontId="1" type="noConversion"/>
  </si>
  <si>
    <t>SCRT GMX</t>
    <phoneticPr fontId="1" type="noConversion"/>
  </si>
  <si>
    <t>CRV WIF</t>
    <phoneticPr fontId="1" type="noConversion"/>
  </si>
  <si>
    <t>AAVE WIF</t>
    <phoneticPr fontId="1" type="noConversion"/>
  </si>
  <si>
    <t>NOT - TIA</t>
    <phoneticPr fontId="1" type="noConversion"/>
  </si>
  <si>
    <t>IO - AAVE</t>
    <phoneticPr fontId="1" type="noConversion"/>
  </si>
  <si>
    <t>GMX - TIA</t>
    <phoneticPr fontId="1" type="noConversion"/>
  </si>
  <si>
    <t>倍/年</t>
    <phoneticPr fontId="1" type="noConversion"/>
  </si>
  <si>
    <t>天/2倍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</si>
</sst>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_ "/>
    <numFmt numFmtId="177" formatCode="0.00000%"/>
    <numFmt numFmtId="178" formatCode="0.0%"/>
    <numFmt numFmtId="179" formatCode="0.000_);[Red]\(0.000\)"/>
    <numFmt numFmtId="180" formatCode="0.0000_ "/>
    <numFmt numFmtId="181" formatCode="yyyy\-mm\-dd;@"/>
    <numFmt numFmtId="182" formatCode="0.00_ "/>
    <numFmt numFmtId="183" formatCode="0_ "/>
    <numFmt numFmtId="184" formatCode="0.0_ 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4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00B050"/>
      <name val="等线"/>
      <family val="2"/>
      <scheme val="minor"/>
    </font>
    <font>
      <sz val="11"/>
      <color rgb="FFFFFF0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rgb="FFFFFF0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261">
    <xf numFmtId="0" fontId="0" fillId="0" borderId="0" xfId="0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176" fontId="0" fillId="15" borderId="1" xfId="0" applyNumberForma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76" fontId="2" fillId="15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176" fontId="2" fillId="12" borderId="1" xfId="0" applyNumberFormat="1" applyFont="1" applyFill="1" applyBorder="1" applyAlignment="1">
      <alignment horizontal="center" vertical="center"/>
    </xf>
    <xf numFmtId="176" fontId="2" fillId="11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2" fillId="14" borderId="1" xfId="0" applyNumberFormat="1" applyFont="1" applyFill="1" applyBorder="1" applyAlignment="1">
      <alignment horizontal="center" vertical="center"/>
    </xf>
    <xf numFmtId="176" fontId="0" fillId="14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6" fillId="17" borderId="4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76" fontId="2" fillId="13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11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9" fontId="0" fillId="12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80" fontId="0" fillId="13" borderId="1" xfId="0" applyNumberFormat="1" applyFill="1" applyBorder="1" applyAlignment="1">
      <alignment horizontal="center" vertical="center"/>
    </xf>
    <xf numFmtId="180" fontId="0" fillId="14" borderId="1" xfId="0" applyNumberFormat="1" applyFill="1" applyBorder="1" applyAlignment="1">
      <alignment horizontal="center" vertical="center"/>
    </xf>
    <xf numFmtId="180" fontId="2" fillId="13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6" borderId="1" xfId="0" applyNumberFormat="1" applyFont="1" applyFill="1" applyBorder="1" applyAlignment="1">
      <alignment horizontal="center" vertical="center"/>
    </xf>
    <xf numFmtId="180" fontId="2" fillId="16" borderId="1" xfId="0" applyNumberFormat="1" applyFont="1" applyFill="1" applyBorder="1" applyAlignment="1">
      <alignment horizontal="center" vertical="center"/>
    </xf>
    <xf numFmtId="180" fontId="2" fillId="17" borderId="1" xfId="0" applyNumberFormat="1" applyFont="1" applyFill="1" applyBorder="1" applyAlignment="1">
      <alignment horizontal="center" vertical="center"/>
    </xf>
    <xf numFmtId="180" fontId="16" fillId="6" borderId="1" xfId="0" applyNumberFormat="1" applyFont="1" applyFill="1" applyBorder="1" applyAlignment="1">
      <alignment horizontal="center" vertical="center"/>
    </xf>
    <xf numFmtId="180" fontId="0" fillId="15" borderId="1" xfId="0" applyNumberFormat="1" applyFill="1" applyBorder="1" applyAlignment="1">
      <alignment horizontal="center" vertical="center"/>
    </xf>
    <xf numFmtId="180" fontId="2" fillId="11" borderId="1" xfId="0" applyNumberFormat="1" applyFont="1" applyFill="1" applyBorder="1" applyAlignment="1">
      <alignment horizontal="center" vertical="center"/>
    </xf>
    <xf numFmtId="180" fontId="2" fillId="12" borderId="1" xfId="0" applyNumberFormat="1" applyFont="1" applyFill="1" applyBorder="1" applyAlignment="1">
      <alignment horizontal="center" vertical="center"/>
    </xf>
    <xf numFmtId="182" fontId="0" fillId="19" borderId="1" xfId="0" applyNumberFormat="1" applyFill="1" applyBorder="1" applyAlignment="1">
      <alignment horizontal="center" vertical="center"/>
    </xf>
    <xf numFmtId="182" fontId="3" fillId="19" borderId="1" xfId="0" applyNumberFormat="1" applyFont="1" applyFill="1" applyBorder="1" applyAlignment="1">
      <alignment horizontal="center" vertical="center"/>
    </xf>
    <xf numFmtId="178" fontId="0" fillId="19" borderId="1" xfId="0" applyNumberFormat="1" applyFill="1" applyBorder="1" applyAlignment="1">
      <alignment horizontal="center" vertical="center"/>
    </xf>
    <xf numFmtId="182" fontId="0" fillId="20" borderId="1" xfId="0" applyNumberFormat="1" applyFill="1" applyBorder="1" applyAlignment="1">
      <alignment horizontal="center" vertical="center"/>
    </xf>
    <xf numFmtId="182" fontId="3" fillId="20" borderId="1" xfId="0" applyNumberFormat="1" applyFont="1" applyFill="1" applyBorder="1" applyAlignment="1">
      <alignment horizontal="center" vertical="center"/>
    </xf>
    <xf numFmtId="182" fontId="3" fillId="16" borderId="1" xfId="0" applyNumberFormat="1" applyFont="1" applyFill="1" applyBorder="1" applyAlignment="1">
      <alignment horizontal="center" vertical="center"/>
    </xf>
    <xf numFmtId="10" fontId="3" fillId="16" borderId="1" xfId="0" applyNumberFormat="1" applyFont="1" applyFill="1" applyBorder="1" applyAlignment="1">
      <alignment horizontal="center" vertical="center"/>
    </xf>
    <xf numFmtId="182" fontId="13" fillId="16" borderId="1" xfId="0" applyNumberFormat="1" applyFont="1" applyFill="1" applyBorder="1" applyAlignment="1">
      <alignment horizontal="center" vertical="center"/>
    </xf>
    <xf numFmtId="10" fontId="13" fillId="16" borderId="1" xfId="0" applyNumberFormat="1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76" fontId="0" fillId="18" borderId="1" xfId="0" applyNumberFormat="1" applyFill="1" applyBorder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9" fontId="0" fillId="12" borderId="1" xfId="0" applyNumberFormat="1" applyFill="1" applyBorder="1" applyAlignment="1">
      <alignment horizontal="center" vertical="center"/>
    </xf>
    <xf numFmtId="9" fontId="0" fillId="18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83" fontId="0" fillId="11" borderId="1" xfId="0" applyNumberFormat="1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15" borderId="1" xfId="0" applyNumberFormat="1" applyFill="1" applyBorder="1" applyAlignment="1">
      <alignment horizontal="center" vertical="center"/>
    </xf>
    <xf numFmtId="183" fontId="0" fillId="1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22" fontId="0" fillId="0" borderId="2" xfId="0" applyNumberForma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22" fontId="0" fillId="3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9" fontId="16" fillId="17" borderId="7" xfId="0" applyNumberFormat="1" applyFont="1" applyFill="1" applyBorder="1" applyAlignment="1">
      <alignment horizontal="center" vertical="center"/>
    </xf>
    <xf numFmtId="0" fontId="16" fillId="17" borderId="6" xfId="0" applyFont="1" applyFill="1" applyBorder="1" applyAlignment="1">
      <alignment horizontal="center" vertical="center"/>
    </xf>
    <xf numFmtId="0" fontId="16" fillId="17" borderId="5" xfId="0" applyFont="1" applyFill="1" applyBorder="1" applyAlignment="1">
      <alignment horizontal="center" vertical="center"/>
    </xf>
    <xf numFmtId="10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0" fontId="16" fillId="17" borderId="1" xfId="0" applyNumberFormat="1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7" borderId="1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8" borderId="1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0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80" fontId="0" fillId="16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82" fontId="0" fillId="20" borderId="1" xfId="0" applyNumberForma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16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 wrapText="1"/>
    </xf>
    <xf numFmtId="0" fontId="0" fillId="19" borderId="3" xfId="0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8" fontId="3" fillId="3" borderId="4" xfId="0" applyNumberFormat="1" applyFont="1" applyFill="1" applyBorder="1" applyAlignment="1">
      <alignment horizontal="center" vertical="center"/>
    </xf>
    <xf numFmtId="178" fontId="3" fillId="3" borderId="3" xfId="0" applyNumberFormat="1" applyFont="1" applyFill="1" applyBorder="1" applyAlignment="1">
      <alignment horizontal="center" vertical="center"/>
    </xf>
    <xf numFmtId="178" fontId="3" fillId="3" borderId="2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13" borderId="1" xfId="0" applyNumberFormat="1" applyFill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6C03-D8E3-46C8-8A99-7D47773ED306}">
  <dimension ref="A1:Q26"/>
  <sheetViews>
    <sheetView tabSelected="1"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4" x14ac:dyDescent="0.3"/>
  <cols>
    <col min="1" max="1" width="10.58203125" style="1" bestFit="1" customWidth="1"/>
    <col min="2" max="2" width="13.33203125" style="1" bestFit="1" customWidth="1"/>
    <col min="3" max="3" width="11.1640625" style="1" bestFit="1" customWidth="1"/>
    <col min="4" max="4" width="4.83203125" style="1" bestFit="1" customWidth="1"/>
    <col min="5" max="13" width="8.08203125" style="1" bestFit="1" customWidth="1"/>
    <col min="14" max="15" width="9.08203125" style="1" bestFit="1" customWidth="1"/>
    <col min="16" max="16" width="10.08203125" style="1" bestFit="1" customWidth="1"/>
    <col min="17" max="17" width="13.33203125" style="1" bestFit="1" customWidth="1"/>
    <col min="18" max="16384" width="8.6640625" style="1"/>
  </cols>
  <sheetData>
    <row r="1" spans="1:17" x14ac:dyDescent="0.3">
      <c r="A1" s="3" t="s">
        <v>103</v>
      </c>
      <c r="B1" s="3">
        <v>365</v>
      </c>
      <c r="C1" s="3" t="s">
        <v>102</v>
      </c>
      <c r="D1" s="3" t="s">
        <v>101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15</v>
      </c>
      <c r="M1" s="3">
        <v>30</v>
      </c>
      <c r="N1" s="3">
        <v>60</v>
      </c>
      <c r="O1" s="3">
        <v>90</v>
      </c>
      <c r="P1" s="3">
        <v>180</v>
      </c>
      <c r="Q1" s="3">
        <v>365</v>
      </c>
    </row>
    <row r="2" spans="1:17" x14ac:dyDescent="0.3">
      <c r="A2" s="3" t="str">
        <f t="shared" ref="A2:A11" si="0">"期望值 " &amp; TEXT((ROW(A2)-1)*0.5%, "0.0%")</f>
        <v>期望值 0.5%</v>
      </c>
      <c r="B2" s="8">
        <f t="shared" ref="B2:B11" si="1">C2*(1+D2)^B$1</f>
        <v>6.1746527834309033</v>
      </c>
      <c r="C2" s="24">
        <v>1</v>
      </c>
      <c r="D2" s="137">
        <f t="shared" ref="D2:D11" si="2">(ROW(D2)-ROW(D$1))*0.5%</f>
        <v>5.0000000000000001E-3</v>
      </c>
      <c r="E2" s="8">
        <f t="shared" ref="E2:Q11" si="3">$C2*($D2+1)^E$1</f>
        <v>1.0049999999999999</v>
      </c>
      <c r="F2" s="8">
        <f t="shared" si="3"/>
        <v>1.0100249999999997</v>
      </c>
      <c r="G2" s="8">
        <f t="shared" si="3"/>
        <v>1.0150751249999996</v>
      </c>
      <c r="H2" s="8">
        <f t="shared" si="3"/>
        <v>1.0201505006249993</v>
      </c>
      <c r="I2" s="8">
        <f t="shared" si="3"/>
        <v>1.0252512531281242</v>
      </c>
      <c r="J2" s="8">
        <f t="shared" si="3"/>
        <v>1.0303775093937646</v>
      </c>
      <c r="K2" s="8">
        <f t="shared" si="3"/>
        <v>1.0355293969407333</v>
      </c>
      <c r="L2" s="8">
        <f t="shared" si="3"/>
        <v>1.0776827375880809</v>
      </c>
      <c r="M2" s="8">
        <f t="shared" si="3"/>
        <v>1.1614000828953406</v>
      </c>
      <c r="N2" s="8">
        <f t="shared" si="3"/>
        <v>1.3488501525493037</v>
      </c>
      <c r="O2" s="8">
        <f t="shared" si="3"/>
        <v>1.5665546789841542</v>
      </c>
      <c r="P2" s="8">
        <f t="shared" si="3"/>
        <v>2.454093562247146</v>
      </c>
      <c r="Q2" s="8">
        <f t="shared" si="3"/>
        <v>6.1746527834309033</v>
      </c>
    </row>
    <row r="3" spans="1:17" x14ac:dyDescent="0.3">
      <c r="A3" s="3" t="str">
        <f t="shared" si="0"/>
        <v>期望值 1.0%</v>
      </c>
      <c r="B3" s="8">
        <f t="shared" si="1"/>
        <v>37.783434332887317</v>
      </c>
      <c r="C3" s="102">
        <v>1</v>
      </c>
      <c r="D3" s="137">
        <f t="shared" si="2"/>
        <v>0.01</v>
      </c>
      <c r="E3" s="8">
        <f t="shared" si="3"/>
        <v>1.01</v>
      </c>
      <c r="F3" s="8">
        <f t="shared" si="3"/>
        <v>1.0201</v>
      </c>
      <c r="G3" s="8">
        <f t="shared" si="3"/>
        <v>1.0303009999999999</v>
      </c>
      <c r="H3" s="8">
        <f t="shared" si="3"/>
        <v>1.04060401</v>
      </c>
      <c r="I3" s="8">
        <f t="shared" si="3"/>
        <v>1.0510100500999999</v>
      </c>
      <c r="J3" s="8">
        <f t="shared" si="3"/>
        <v>1.0615201506010001</v>
      </c>
      <c r="K3" s="8">
        <f t="shared" si="3"/>
        <v>1.0721353521070098</v>
      </c>
      <c r="L3" s="8">
        <f t="shared" si="3"/>
        <v>1.1609689553699984</v>
      </c>
      <c r="M3" s="8">
        <f t="shared" si="3"/>
        <v>1.3478489153329063</v>
      </c>
      <c r="N3" s="8">
        <f t="shared" si="3"/>
        <v>1.8166966985640913</v>
      </c>
      <c r="O3" s="8">
        <f t="shared" si="3"/>
        <v>2.4486326746484828</v>
      </c>
      <c r="P3" s="8">
        <f t="shared" si="3"/>
        <v>5.99580197535618</v>
      </c>
      <c r="Q3" s="8">
        <f t="shared" si="3"/>
        <v>37.783434332887317</v>
      </c>
    </row>
    <row r="4" spans="1:17" x14ac:dyDescent="0.3">
      <c r="A4" s="3" t="str">
        <f t="shared" si="0"/>
        <v>期望值 1.5%</v>
      </c>
      <c r="B4" s="53">
        <f t="shared" si="1"/>
        <v>229.14238072047502</v>
      </c>
      <c r="C4" s="3">
        <v>1</v>
      </c>
      <c r="D4" s="258">
        <f t="shared" si="2"/>
        <v>1.4999999999999999E-2</v>
      </c>
      <c r="E4" s="53">
        <f t="shared" si="3"/>
        <v>1.0149999999999999</v>
      </c>
      <c r="F4" s="53">
        <f t="shared" si="3"/>
        <v>1.0302249999999997</v>
      </c>
      <c r="G4" s="53">
        <f t="shared" si="3"/>
        <v>1.0456783749999996</v>
      </c>
      <c r="H4" s="53">
        <f t="shared" si="3"/>
        <v>1.0613635506249994</v>
      </c>
      <c r="I4" s="53">
        <f t="shared" si="3"/>
        <v>1.0772840038843743</v>
      </c>
      <c r="J4" s="53">
        <f t="shared" si="3"/>
        <v>1.0934432639426397</v>
      </c>
      <c r="K4" s="53">
        <f t="shared" si="3"/>
        <v>1.1098449129017791</v>
      </c>
      <c r="L4" s="53">
        <f t="shared" si="3"/>
        <v>1.2502320666543669</v>
      </c>
      <c r="M4" s="53">
        <f t="shared" si="3"/>
        <v>1.5630802204908494</v>
      </c>
      <c r="N4" s="53">
        <f t="shared" si="3"/>
        <v>2.4432197756897223</v>
      </c>
      <c r="O4" s="53">
        <f t="shared" si="3"/>
        <v>3.8189485056926955</v>
      </c>
      <c r="P4" s="53">
        <f t="shared" si="3"/>
        <v>14.584367689132469</v>
      </c>
      <c r="Q4" s="53">
        <f t="shared" si="3"/>
        <v>229.14238072047502</v>
      </c>
    </row>
    <row r="5" spans="1:17" x14ac:dyDescent="0.3">
      <c r="A5" s="3" t="str">
        <f t="shared" si="0"/>
        <v>期望值 2.0%</v>
      </c>
      <c r="B5" s="69">
        <f t="shared" si="1"/>
        <v>1377.4082919660655</v>
      </c>
      <c r="C5" s="102">
        <v>1</v>
      </c>
      <c r="D5" s="259">
        <f t="shared" si="2"/>
        <v>0.02</v>
      </c>
      <c r="E5" s="69">
        <f t="shared" si="3"/>
        <v>1.02</v>
      </c>
      <c r="F5" s="69">
        <f t="shared" si="3"/>
        <v>1.0404</v>
      </c>
      <c r="G5" s="69">
        <f t="shared" si="3"/>
        <v>1.0612079999999999</v>
      </c>
      <c r="H5" s="69">
        <f t="shared" si="3"/>
        <v>1.08243216</v>
      </c>
      <c r="I5" s="69">
        <f t="shared" si="3"/>
        <v>1.1040808032</v>
      </c>
      <c r="J5" s="69">
        <f t="shared" si="3"/>
        <v>1.1261624192640001</v>
      </c>
      <c r="K5" s="69">
        <f t="shared" si="3"/>
        <v>1.1486856676492798</v>
      </c>
      <c r="L5" s="69">
        <f t="shared" si="3"/>
        <v>1.3458683383241292</v>
      </c>
      <c r="M5" s="69">
        <f t="shared" si="3"/>
        <v>1.8113615841033535</v>
      </c>
      <c r="N5" s="69">
        <f t="shared" si="3"/>
        <v>3.2810307883654102</v>
      </c>
      <c r="O5" s="69">
        <f t="shared" si="3"/>
        <v>5.9431331263054439</v>
      </c>
      <c r="P5" s="69">
        <f t="shared" si="3"/>
        <v>35.320831356989117</v>
      </c>
      <c r="Q5" s="69">
        <f t="shared" si="3"/>
        <v>1377.4082919660655</v>
      </c>
    </row>
    <row r="6" spans="1:17" x14ac:dyDescent="0.3">
      <c r="A6" s="3" t="str">
        <f t="shared" si="0"/>
        <v>期望值 2.5%</v>
      </c>
      <c r="B6" s="8">
        <f t="shared" si="1"/>
        <v>8207.4995576964611</v>
      </c>
      <c r="C6" s="24">
        <v>1</v>
      </c>
      <c r="D6" s="137">
        <f t="shared" si="2"/>
        <v>2.5000000000000001E-2</v>
      </c>
      <c r="E6" s="8">
        <f t="shared" si="3"/>
        <v>1.0249999999999999</v>
      </c>
      <c r="F6" s="8">
        <f t="shared" si="3"/>
        <v>1.0506249999999999</v>
      </c>
      <c r="G6" s="8">
        <f t="shared" si="3"/>
        <v>1.0768906249999999</v>
      </c>
      <c r="H6" s="8">
        <f t="shared" si="3"/>
        <v>1.1038128906249998</v>
      </c>
      <c r="I6" s="8">
        <f t="shared" si="3"/>
        <v>1.1314082128906247</v>
      </c>
      <c r="J6" s="8">
        <f t="shared" si="3"/>
        <v>1.1596934182128902</v>
      </c>
      <c r="K6" s="8">
        <f t="shared" si="3"/>
        <v>1.1886857536682125</v>
      </c>
      <c r="L6" s="8">
        <f t="shared" si="3"/>
        <v>1.4482981664981105</v>
      </c>
      <c r="M6" s="8">
        <f t="shared" si="3"/>
        <v>2.097567579081788</v>
      </c>
      <c r="N6" s="8">
        <f t="shared" si="3"/>
        <v>4.3997897488150342</v>
      </c>
      <c r="O6" s="8">
        <f t="shared" si="3"/>
        <v>9.228856331890821</v>
      </c>
      <c r="P6" s="8">
        <f t="shared" si="3"/>
        <v>85.17178919468131</v>
      </c>
      <c r="Q6" s="8">
        <f t="shared" si="3"/>
        <v>8207.4995576964611</v>
      </c>
    </row>
    <row r="7" spans="1:17" x14ac:dyDescent="0.3">
      <c r="A7" s="3" t="str">
        <f t="shared" si="0"/>
        <v>期望值 3.0%</v>
      </c>
      <c r="B7" s="8">
        <f t="shared" si="1"/>
        <v>48482.724527501043</v>
      </c>
      <c r="C7" s="24">
        <v>1</v>
      </c>
      <c r="D7" s="137">
        <f t="shared" si="2"/>
        <v>0.03</v>
      </c>
      <c r="E7" s="8">
        <f t="shared" si="3"/>
        <v>1.03</v>
      </c>
      <c r="F7" s="8">
        <f t="shared" si="3"/>
        <v>1.0609</v>
      </c>
      <c r="G7" s="8">
        <f t="shared" si="3"/>
        <v>1.092727</v>
      </c>
      <c r="H7" s="8">
        <f t="shared" si="3"/>
        <v>1.1255088099999999</v>
      </c>
      <c r="I7" s="8">
        <f t="shared" si="3"/>
        <v>1.1592740742999998</v>
      </c>
      <c r="J7" s="8">
        <f t="shared" si="3"/>
        <v>1.1940522965289999</v>
      </c>
      <c r="K7" s="8">
        <f t="shared" si="3"/>
        <v>1.22987386542487</v>
      </c>
      <c r="L7" s="8">
        <f t="shared" si="3"/>
        <v>1.5579674166007644</v>
      </c>
      <c r="M7" s="8">
        <f t="shared" si="3"/>
        <v>2.4272624711896591</v>
      </c>
      <c r="N7" s="8">
        <f t="shared" si="3"/>
        <v>5.8916031040457311</v>
      </c>
      <c r="O7" s="8">
        <f t="shared" si="3"/>
        <v>14.300467109594708</v>
      </c>
      <c r="P7" s="8">
        <f t="shared" si="3"/>
        <v>204.50335955259996</v>
      </c>
      <c r="Q7" s="8">
        <f t="shared" si="3"/>
        <v>48482.724527501043</v>
      </c>
    </row>
    <row r="8" spans="1:17" x14ac:dyDescent="0.3">
      <c r="A8" s="3" t="str">
        <f t="shared" si="0"/>
        <v>期望值 3.5%</v>
      </c>
      <c r="B8" s="8">
        <f t="shared" si="1"/>
        <v>283940.71683830756</v>
      </c>
      <c r="C8" s="24">
        <v>1</v>
      </c>
      <c r="D8" s="137">
        <f t="shared" si="2"/>
        <v>3.5000000000000003E-2</v>
      </c>
      <c r="E8" s="8">
        <f t="shared" si="3"/>
        <v>1.0349999999999999</v>
      </c>
      <c r="F8" s="8">
        <f t="shared" si="3"/>
        <v>1.0712249999999999</v>
      </c>
      <c r="G8" s="8">
        <f t="shared" si="3"/>
        <v>1.1087178749999997</v>
      </c>
      <c r="H8" s="8">
        <f t="shared" si="3"/>
        <v>1.1475230006249997</v>
      </c>
      <c r="I8" s="8">
        <f t="shared" si="3"/>
        <v>1.1876863056468745</v>
      </c>
      <c r="J8" s="8">
        <f t="shared" si="3"/>
        <v>1.2292553263445152</v>
      </c>
      <c r="K8" s="8">
        <f t="shared" si="3"/>
        <v>1.2722792627665731</v>
      </c>
      <c r="L8" s="8">
        <f t="shared" si="3"/>
        <v>1.6753488307521593</v>
      </c>
      <c r="M8" s="8">
        <f t="shared" si="3"/>
        <v>2.8067937047026272</v>
      </c>
      <c r="N8" s="8">
        <f t="shared" si="3"/>
        <v>7.8780909007582975</v>
      </c>
      <c r="O8" s="8">
        <f t="shared" si="3"/>
        <v>22.112175945323429</v>
      </c>
      <c r="P8" s="8">
        <f t="shared" si="3"/>
        <v>488.94832503694016</v>
      </c>
      <c r="Q8" s="8">
        <f t="shared" si="3"/>
        <v>283940.71683830756</v>
      </c>
    </row>
    <row r="9" spans="1:17" x14ac:dyDescent="0.3">
      <c r="A9" s="3" t="str">
        <f t="shared" si="0"/>
        <v>期望值 4.0%</v>
      </c>
      <c r="B9" s="8">
        <f t="shared" si="1"/>
        <v>1648803.2850547559</v>
      </c>
      <c r="C9" s="24">
        <v>1</v>
      </c>
      <c r="D9" s="137">
        <f t="shared" si="2"/>
        <v>0.04</v>
      </c>
      <c r="E9" s="8">
        <f t="shared" si="3"/>
        <v>1.04</v>
      </c>
      <c r="F9" s="8">
        <f t="shared" si="3"/>
        <v>1.0816000000000001</v>
      </c>
      <c r="G9" s="8">
        <f t="shared" si="3"/>
        <v>1.1248640000000001</v>
      </c>
      <c r="H9" s="8">
        <f t="shared" si="3"/>
        <v>1.1698585600000002</v>
      </c>
      <c r="I9" s="8">
        <f t="shared" si="3"/>
        <v>1.2166529024000003</v>
      </c>
      <c r="J9" s="8">
        <f t="shared" si="3"/>
        <v>1.2653190184960004</v>
      </c>
      <c r="K9" s="8">
        <f t="shared" si="3"/>
        <v>1.3159317792358403</v>
      </c>
      <c r="L9" s="8">
        <f t="shared" si="3"/>
        <v>1.8009435055069167</v>
      </c>
      <c r="M9" s="8">
        <f t="shared" si="3"/>
        <v>3.2433975100275423</v>
      </c>
      <c r="N9" s="8">
        <f t="shared" si="3"/>
        <v>10.519627408052864</v>
      </c>
      <c r="O9" s="8">
        <f t="shared" si="3"/>
        <v>34.119333341696141</v>
      </c>
      <c r="P9" s="8">
        <f t="shared" si="3"/>
        <v>1164.1289076817782</v>
      </c>
      <c r="Q9" s="8">
        <f t="shared" si="3"/>
        <v>1648803.2850547559</v>
      </c>
    </row>
    <row r="10" spans="1:17" x14ac:dyDescent="0.3">
      <c r="A10" s="3" t="str">
        <f t="shared" si="0"/>
        <v>期望值 4.5%</v>
      </c>
      <c r="B10" s="8">
        <f t="shared" si="1"/>
        <v>9493929.7354430929</v>
      </c>
      <c r="C10" s="24">
        <v>1</v>
      </c>
      <c r="D10" s="137">
        <f t="shared" si="2"/>
        <v>4.4999999999999998E-2</v>
      </c>
      <c r="E10" s="8">
        <f t="shared" si="3"/>
        <v>1.0449999999999999</v>
      </c>
      <c r="F10" s="8">
        <f t="shared" si="3"/>
        <v>1.0920249999999998</v>
      </c>
      <c r="G10" s="8">
        <f t="shared" si="3"/>
        <v>1.1411661249999998</v>
      </c>
      <c r="H10" s="8">
        <f t="shared" si="3"/>
        <v>1.1925186006249995</v>
      </c>
      <c r="I10" s="8">
        <f t="shared" si="3"/>
        <v>1.2461819376531245</v>
      </c>
      <c r="J10" s="8">
        <f t="shared" si="3"/>
        <v>1.3022601248475147</v>
      </c>
      <c r="K10" s="8">
        <f t="shared" si="3"/>
        <v>1.360861830465653</v>
      </c>
      <c r="L10" s="8">
        <f t="shared" si="3"/>
        <v>1.9352824430911519</v>
      </c>
      <c r="M10" s="8">
        <f t="shared" si="3"/>
        <v>3.7453181345368556</v>
      </c>
      <c r="N10" s="8">
        <f t="shared" si="3"/>
        <v>14.02740792889063</v>
      </c>
      <c r="O10" s="8">
        <f t="shared" si="3"/>
        <v>52.53710529662014</v>
      </c>
      <c r="P10" s="8">
        <f t="shared" si="3"/>
        <v>2760.1474329481525</v>
      </c>
      <c r="Q10" s="8">
        <f t="shared" si="3"/>
        <v>9493929.7354430929</v>
      </c>
    </row>
    <row r="11" spans="1:17" x14ac:dyDescent="0.3">
      <c r="A11" s="3" t="str">
        <f t="shared" si="0"/>
        <v>期望值 5.0%</v>
      </c>
      <c r="B11" s="8">
        <f t="shared" si="1"/>
        <v>54211841.577839807</v>
      </c>
      <c r="C11" s="24">
        <v>1</v>
      </c>
      <c r="D11" s="137">
        <f t="shared" si="2"/>
        <v>0.05</v>
      </c>
      <c r="E11" s="8">
        <f t="shared" si="3"/>
        <v>1.05</v>
      </c>
      <c r="F11" s="8">
        <f t="shared" si="3"/>
        <v>1.1025</v>
      </c>
      <c r="G11" s="8">
        <f t="shared" si="3"/>
        <v>1.1576250000000001</v>
      </c>
      <c r="H11" s="8">
        <f t="shared" si="3"/>
        <v>1.21550625</v>
      </c>
      <c r="I11" s="8">
        <f t="shared" si="3"/>
        <v>1.2762815625000001</v>
      </c>
      <c r="J11" s="8">
        <f t="shared" si="3"/>
        <v>1.340095640625</v>
      </c>
      <c r="K11" s="8">
        <f t="shared" si="3"/>
        <v>1.4071004226562502</v>
      </c>
      <c r="L11" s="8">
        <f t="shared" si="3"/>
        <v>2.0789281794113679</v>
      </c>
      <c r="M11" s="8">
        <f t="shared" si="3"/>
        <v>4.3219423751506625</v>
      </c>
      <c r="N11" s="8">
        <f t="shared" si="3"/>
        <v>18.679185894122959</v>
      </c>
      <c r="O11" s="8">
        <f t="shared" si="3"/>
        <v>80.730365049126561</v>
      </c>
      <c r="P11" s="8">
        <f t="shared" si="3"/>
        <v>6517.391840965237</v>
      </c>
      <c r="Q11" s="8">
        <f t="shared" si="3"/>
        <v>54211841.577839807</v>
      </c>
    </row>
    <row r="16" spans="1:17" x14ac:dyDescent="0.3">
      <c r="B16" s="24" t="s">
        <v>345</v>
      </c>
      <c r="C16" s="24" t="s">
        <v>344</v>
      </c>
    </row>
    <row r="17" spans="1:3" x14ac:dyDescent="0.3">
      <c r="A17" s="156" t="str">
        <f>"期望值 " &amp; TEXT((ROW(A17)-16)*0.5%, "0.0%")</f>
        <v>期望值 0.5%</v>
      </c>
      <c r="B17" s="24">
        <v>139</v>
      </c>
      <c r="C17" s="260">
        <v>6.1746527834309033</v>
      </c>
    </row>
    <row r="18" spans="1:3" x14ac:dyDescent="0.3">
      <c r="A18" s="156" t="str">
        <f t="shared" ref="A18:A26" si="4">"期望值 " &amp; TEXT((ROW(A18)-16)*0.5%, "0.0%")</f>
        <v>期望值 1.0%</v>
      </c>
      <c r="B18" s="24">
        <v>70</v>
      </c>
      <c r="C18" s="260">
        <v>37.783434332887317</v>
      </c>
    </row>
    <row r="19" spans="1:3" x14ac:dyDescent="0.3">
      <c r="A19" s="156" t="str">
        <f t="shared" si="4"/>
        <v>期望值 1.5%</v>
      </c>
      <c r="B19" s="24">
        <v>47</v>
      </c>
      <c r="C19" s="260">
        <v>229.14238072047502</v>
      </c>
    </row>
    <row r="20" spans="1:3" x14ac:dyDescent="0.3">
      <c r="A20" s="156" t="str">
        <f t="shared" si="4"/>
        <v>期望值 2.0%</v>
      </c>
      <c r="B20" s="24">
        <v>35</v>
      </c>
      <c r="C20" s="260">
        <v>1377.4082919660655</v>
      </c>
    </row>
    <row r="21" spans="1:3" x14ac:dyDescent="0.3">
      <c r="A21" s="156" t="str">
        <f t="shared" si="4"/>
        <v>期望值 2.5%</v>
      </c>
      <c r="B21" s="24">
        <v>29</v>
      </c>
      <c r="C21" s="260">
        <v>8207.4995576964611</v>
      </c>
    </row>
    <row r="22" spans="1:3" x14ac:dyDescent="0.3">
      <c r="A22" s="156" t="str">
        <f t="shared" si="4"/>
        <v>期望值 3.0%</v>
      </c>
      <c r="B22" s="24">
        <v>24</v>
      </c>
      <c r="C22" s="260">
        <v>48482.724527501043</v>
      </c>
    </row>
    <row r="23" spans="1:3" x14ac:dyDescent="0.3">
      <c r="A23" s="156" t="str">
        <f t="shared" si="4"/>
        <v>期望值 3.5%</v>
      </c>
      <c r="B23" s="24">
        <v>21</v>
      </c>
      <c r="C23" s="260">
        <v>283940.71683830756</v>
      </c>
    </row>
    <row r="24" spans="1:3" x14ac:dyDescent="0.3">
      <c r="A24" s="156" t="str">
        <f t="shared" si="4"/>
        <v>期望值 4.0%</v>
      </c>
      <c r="B24" s="24">
        <v>18</v>
      </c>
      <c r="C24" s="260">
        <v>1648803.2850547559</v>
      </c>
    </row>
    <row r="25" spans="1:3" x14ac:dyDescent="0.3">
      <c r="A25" s="156" t="str">
        <f t="shared" si="4"/>
        <v>期望值 4.5%</v>
      </c>
      <c r="B25" s="24">
        <v>16</v>
      </c>
      <c r="C25" s="260">
        <v>9493929.7354430929</v>
      </c>
    </row>
    <row r="26" spans="1:3" x14ac:dyDescent="0.3">
      <c r="A26" s="156" t="str">
        <f t="shared" si="4"/>
        <v>期望值 5.0%</v>
      </c>
      <c r="B26" s="24">
        <v>15</v>
      </c>
      <c r="C26" s="260">
        <v>54211841.577839807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A0A1-91E6-40D4-9E47-F08E1750C422}">
  <dimension ref="A1:M52"/>
  <sheetViews>
    <sheetView zoomScale="130" zoomScaleNormal="130" workbookViewId="0">
      <pane xSplit="1" ySplit="3" topLeftCell="B4" activePane="bottomRight" state="frozen"/>
      <selection activeCell="D34" sqref="D34"/>
      <selection pane="topRight" activeCell="D34" sqref="D34"/>
      <selection pane="bottomLeft" activeCell="D34" sqref="D34"/>
      <selection pane="bottomRight" activeCell="D34" sqref="D34"/>
    </sheetView>
  </sheetViews>
  <sheetFormatPr defaultRowHeight="14" x14ac:dyDescent="0.3"/>
  <cols>
    <col min="1" max="1" width="8.1640625" style="1" customWidth="1"/>
    <col min="2" max="2" width="9.1640625" style="1" bestFit="1" customWidth="1"/>
    <col min="3" max="6" width="8.6640625" style="1"/>
    <col min="7" max="7" width="6.1640625" style="1" bestFit="1" customWidth="1"/>
    <col min="8" max="8" width="8.6640625" style="1"/>
    <col min="9" max="9" width="9.25" style="1" bestFit="1" customWidth="1"/>
    <col min="10" max="10" width="8.6640625" style="1"/>
    <col min="11" max="11" width="9.25" style="1" bestFit="1" customWidth="1"/>
    <col min="12" max="12" width="8.6640625" style="1"/>
    <col min="13" max="13" width="9.25" style="1" bestFit="1" customWidth="1"/>
    <col min="14" max="16384" width="8.6640625" style="1"/>
  </cols>
  <sheetData>
    <row r="1" spans="1:13" x14ac:dyDescent="0.3">
      <c r="A1" s="176" t="s">
        <v>21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8"/>
    </row>
    <row r="2" spans="1:13" ht="28" x14ac:dyDescent="0.3">
      <c r="A2" s="20"/>
      <c r="B2" s="20"/>
      <c r="C2" s="20"/>
      <c r="D2" s="20"/>
      <c r="E2" s="21" t="s">
        <v>100</v>
      </c>
      <c r="F2" s="21"/>
      <c r="G2" s="22" t="s">
        <v>99</v>
      </c>
      <c r="H2" s="21" t="s">
        <v>17</v>
      </c>
      <c r="I2" s="21" t="s">
        <v>98</v>
      </c>
      <c r="J2" s="20"/>
      <c r="K2" s="20"/>
      <c r="L2" s="20"/>
      <c r="M2" s="20"/>
    </row>
    <row r="3" spans="1:13" ht="22" customHeight="1" x14ac:dyDescent="0.3">
      <c r="A3" s="44" t="s">
        <v>97</v>
      </c>
      <c r="B3" s="44" t="s">
        <v>96</v>
      </c>
      <c r="C3" s="44" t="s">
        <v>15</v>
      </c>
      <c r="D3" s="44" t="s">
        <v>14</v>
      </c>
      <c r="E3" s="44" t="s">
        <v>13</v>
      </c>
      <c r="F3" s="44" t="s">
        <v>1</v>
      </c>
      <c r="G3" s="44">
        <v>0</v>
      </c>
      <c r="H3" s="44" t="s">
        <v>0</v>
      </c>
      <c r="I3" s="44" t="s">
        <v>12</v>
      </c>
      <c r="J3" s="44" t="s">
        <v>11</v>
      </c>
      <c r="K3" s="44" t="s">
        <v>10</v>
      </c>
      <c r="L3" s="44" t="s">
        <v>9</v>
      </c>
      <c r="M3" s="44" t="s">
        <v>8</v>
      </c>
    </row>
    <row r="4" spans="1:13" x14ac:dyDescent="0.3">
      <c r="A4" s="7">
        <f t="shared" ref="A4:A35" si="0">G4*0.97</f>
        <v>3.6714500000000001</v>
      </c>
      <c r="B4" s="8">
        <f t="shared" ref="B4:B35" si="1">G4*0.975</f>
        <v>3.690375</v>
      </c>
      <c r="C4" s="7">
        <f t="shared" ref="C4:C35" si="2">G4*0.98</f>
        <v>3.7093000000000003</v>
      </c>
      <c r="D4" s="8">
        <f t="shared" ref="D4:D35" si="3">G4*0.985</f>
        <v>3.7282250000000001</v>
      </c>
      <c r="E4" s="7">
        <f t="shared" ref="E4:E35" si="4">G4*0.99</f>
        <v>3.74715</v>
      </c>
      <c r="F4" s="8">
        <f t="shared" ref="F4:F35" si="5">G4*0.995</f>
        <v>3.7660750000000003</v>
      </c>
      <c r="G4" s="9">
        <v>3.7850000000000001</v>
      </c>
      <c r="H4" s="8">
        <f t="shared" ref="H4:H35" si="6">G4*1.005</f>
        <v>3.8039249999999996</v>
      </c>
      <c r="I4" s="7">
        <f t="shared" ref="I4:I35" si="7">G4*1.01</f>
        <v>3.8228500000000003</v>
      </c>
      <c r="J4" s="8">
        <f t="shared" ref="J4:J35" si="8">G4*1.015</f>
        <v>3.8417749999999997</v>
      </c>
      <c r="K4" s="7">
        <f t="shared" ref="K4:K35" si="9">G4*1.02</f>
        <v>3.8607</v>
      </c>
      <c r="L4" s="8">
        <f t="shared" ref="L4:L35" si="10">G4*1.025</f>
        <v>3.8796249999999999</v>
      </c>
      <c r="M4" s="7">
        <f t="shared" ref="M4:M35" si="11">G4*1.03</f>
        <v>3.8985500000000002</v>
      </c>
    </row>
    <row r="5" spans="1:13" x14ac:dyDescent="0.3">
      <c r="A5" s="7">
        <f t="shared" si="0"/>
        <v>3.6345899999999998</v>
      </c>
      <c r="B5" s="8">
        <f t="shared" si="1"/>
        <v>3.6533249999999997</v>
      </c>
      <c r="C5" s="7">
        <f t="shared" si="2"/>
        <v>3.6720599999999997</v>
      </c>
      <c r="D5" s="8">
        <f t="shared" si="3"/>
        <v>3.690795</v>
      </c>
      <c r="E5" s="7">
        <f t="shared" si="4"/>
        <v>3.70953</v>
      </c>
      <c r="F5" s="8">
        <f t="shared" si="5"/>
        <v>3.7282649999999999</v>
      </c>
      <c r="G5" s="9">
        <v>3.7469999999999999</v>
      </c>
      <c r="H5" s="8">
        <f t="shared" si="6"/>
        <v>3.7657349999999994</v>
      </c>
      <c r="I5" s="7">
        <f t="shared" si="7"/>
        <v>3.7844699999999998</v>
      </c>
      <c r="J5" s="8">
        <f t="shared" si="8"/>
        <v>3.8032049999999997</v>
      </c>
      <c r="K5" s="7">
        <f t="shared" si="9"/>
        <v>3.8219400000000001</v>
      </c>
      <c r="L5" s="8">
        <f t="shared" si="10"/>
        <v>3.8406749999999996</v>
      </c>
      <c r="M5" s="7">
        <f t="shared" si="11"/>
        <v>3.85941</v>
      </c>
    </row>
    <row r="6" spans="1:13" x14ac:dyDescent="0.3">
      <c r="A6" s="7">
        <f t="shared" si="0"/>
        <v>0</v>
      </c>
      <c r="B6" s="8">
        <f t="shared" si="1"/>
        <v>0</v>
      </c>
      <c r="C6" s="7">
        <f t="shared" si="2"/>
        <v>0</v>
      </c>
      <c r="D6" s="8">
        <f t="shared" si="3"/>
        <v>0</v>
      </c>
      <c r="E6" s="7">
        <f t="shared" si="4"/>
        <v>0</v>
      </c>
      <c r="F6" s="8">
        <f t="shared" si="5"/>
        <v>0</v>
      </c>
      <c r="G6" s="9">
        <v>0</v>
      </c>
      <c r="H6" s="8">
        <f t="shared" si="6"/>
        <v>0</v>
      </c>
      <c r="I6" s="7">
        <f t="shared" si="7"/>
        <v>0</v>
      </c>
      <c r="J6" s="8">
        <f t="shared" si="8"/>
        <v>0</v>
      </c>
      <c r="K6" s="7">
        <f t="shared" si="9"/>
        <v>0</v>
      </c>
      <c r="L6" s="8">
        <f t="shared" si="10"/>
        <v>0</v>
      </c>
      <c r="M6" s="7">
        <f t="shared" si="11"/>
        <v>0</v>
      </c>
    </row>
    <row r="7" spans="1:13" x14ac:dyDescent="0.3">
      <c r="A7" s="7">
        <f t="shared" si="0"/>
        <v>0</v>
      </c>
      <c r="B7" s="8">
        <f t="shared" si="1"/>
        <v>0</v>
      </c>
      <c r="C7" s="7">
        <f t="shared" si="2"/>
        <v>0</v>
      </c>
      <c r="D7" s="8">
        <f t="shared" si="3"/>
        <v>0</v>
      </c>
      <c r="E7" s="7">
        <f t="shared" si="4"/>
        <v>0</v>
      </c>
      <c r="F7" s="8">
        <f t="shared" si="5"/>
        <v>0</v>
      </c>
      <c r="G7" s="9">
        <v>0</v>
      </c>
      <c r="H7" s="8">
        <f t="shared" si="6"/>
        <v>0</v>
      </c>
      <c r="I7" s="7">
        <f t="shared" si="7"/>
        <v>0</v>
      </c>
      <c r="J7" s="8">
        <f t="shared" si="8"/>
        <v>0</v>
      </c>
      <c r="K7" s="7">
        <f t="shared" si="9"/>
        <v>0</v>
      </c>
      <c r="L7" s="8">
        <f t="shared" si="10"/>
        <v>0</v>
      </c>
      <c r="M7" s="7">
        <f t="shared" si="11"/>
        <v>0</v>
      </c>
    </row>
    <row r="8" spans="1:13" x14ac:dyDescent="0.3">
      <c r="A8" s="7">
        <f t="shared" si="0"/>
        <v>0</v>
      </c>
      <c r="B8" s="8">
        <f t="shared" si="1"/>
        <v>0</v>
      </c>
      <c r="C8" s="7">
        <f t="shared" si="2"/>
        <v>0</v>
      </c>
      <c r="D8" s="8">
        <f t="shared" si="3"/>
        <v>0</v>
      </c>
      <c r="E8" s="7">
        <f t="shared" si="4"/>
        <v>0</v>
      </c>
      <c r="F8" s="8">
        <f t="shared" si="5"/>
        <v>0</v>
      </c>
      <c r="G8" s="9">
        <v>0</v>
      </c>
      <c r="H8" s="8">
        <f t="shared" si="6"/>
        <v>0</v>
      </c>
      <c r="I8" s="7">
        <f t="shared" si="7"/>
        <v>0</v>
      </c>
      <c r="J8" s="8">
        <f t="shared" si="8"/>
        <v>0</v>
      </c>
      <c r="K8" s="7">
        <f t="shared" si="9"/>
        <v>0</v>
      </c>
      <c r="L8" s="8">
        <f t="shared" si="10"/>
        <v>0</v>
      </c>
      <c r="M8" s="7">
        <f t="shared" si="11"/>
        <v>0</v>
      </c>
    </row>
    <row r="9" spans="1:13" x14ac:dyDescent="0.3">
      <c r="A9" s="7">
        <f t="shared" si="0"/>
        <v>0</v>
      </c>
      <c r="B9" s="8">
        <f t="shared" si="1"/>
        <v>0</v>
      </c>
      <c r="C9" s="7">
        <f t="shared" si="2"/>
        <v>0</v>
      </c>
      <c r="D9" s="8">
        <f t="shared" si="3"/>
        <v>0</v>
      </c>
      <c r="E9" s="7">
        <f t="shared" si="4"/>
        <v>0</v>
      </c>
      <c r="F9" s="8">
        <f t="shared" si="5"/>
        <v>0</v>
      </c>
      <c r="G9" s="9">
        <v>0</v>
      </c>
      <c r="H9" s="8">
        <f t="shared" si="6"/>
        <v>0</v>
      </c>
      <c r="I9" s="7">
        <f t="shared" si="7"/>
        <v>0</v>
      </c>
      <c r="J9" s="8">
        <f t="shared" si="8"/>
        <v>0</v>
      </c>
      <c r="K9" s="7">
        <f t="shared" si="9"/>
        <v>0</v>
      </c>
      <c r="L9" s="8">
        <f t="shared" si="10"/>
        <v>0</v>
      </c>
      <c r="M9" s="7">
        <f t="shared" si="11"/>
        <v>0</v>
      </c>
    </row>
    <row r="10" spans="1:13" x14ac:dyDescent="0.3">
      <c r="A10" s="7">
        <f t="shared" si="0"/>
        <v>0</v>
      </c>
      <c r="B10" s="8">
        <f t="shared" si="1"/>
        <v>0</v>
      </c>
      <c r="C10" s="7">
        <f t="shared" si="2"/>
        <v>0</v>
      </c>
      <c r="D10" s="8">
        <f t="shared" si="3"/>
        <v>0</v>
      </c>
      <c r="E10" s="7">
        <f t="shared" si="4"/>
        <v>0</v>
      </c>
      <c r="F10" s="8">
        <f t="shared" si="5"/>
        <v>0</v>
      </c>
      <c r="G10" s="9">
        <v>0</v>
      </c>
      <c r="H10" s="8">
        <f t="shared" si="6"/>
        <v>0</v>
      </c>
      <c r="I10" s="7">
        <f t="shared" si="7"/>
        <v>0</v>
      </c>
      <c r="J10" s="8">
        <f t="shared" si="8"/>
        <v>0</v>
      </c>
      <c r="K10" s="7">
        <f t="shared" si="9"/>
        <v>0</v>
      </c>
      <c r="L10" s="8">
        <f t="shared" si="10"/>
        <v>0</v>
      </c>
      <c r="M10" s="7">
        <f t="shared" si="11"/>
        <v>0</v>
      </c>
    </row>
    <row r="11" spans="1:13" x14ac:dyDescent="0.3">
      <c r="A11" s="7">
        <f t="shared" si="0"/>
        <v>0</v>
      </c>
      <c r="B11" s="8">
        <f t="shared" si="1"/>
        <v>0</v>
      </c>
      <c r="C11" s="7">
        <f t="shared" si="2"/>
        <v>0</v>
      </c>
      <c r="D11" s="8">
        <f t="shared" si="3"/>
        <v>0</v>
      </c>
      <c r="E11" s="7">
        <f t="shared" si="4"/>
        <v>0</v>
      </c>
      <c r="F11" s="8">
        <f t="shared" si="5"/>
        <v>0</v>
      </c>
      <c r="G11" s="9">
        <v>0</v>
      </c>
      <c r="H11" s="8">
        <f t="shared" si="6"/>
        <v>0</v>
      </c>
      <c r="I11" s="7">
        <f t="shared" si="7"/>
        <v>0</v>
      </c>
      <c r="J11" s="8">
        <f t="shared" si="8"/>
        <v>0</v>
      </c>
      <c r="K11" s="7">
        <f t="shared" si="9"/>
        <v>0</v>
      </c>
      <c r="L11" s="8">
        <f t="shared" si="10"/>
        <v>0</v>
      </c>
      <c r="M11" s="7">
        <f t="shared" si="11"/>
        <v>0</v>
      </c>
    </row>
    <row r="12" spans="1:13" x14ac:dyDescent="0.3">
      <c r="A12" s="7">
        <f t="shared" si="0"/>
        <v>0</v>
      </c>
      <c r="B12" s="8">
        <f t="shared" si="1"/>
        <v>0</v>
      </c>
      <c r="C12" s="7">
        <f t="shared" si="2"/>
        <v>0</v>
      </c>
      <c r="D12" s="8">
        <f t="shared" si="3"/>
        <v>0</v>
      </c>
      <c r="E12" s="7">
        <f t="shared" si="4"/>
        <v>0</v>
      </c>
      <c r="F12" s="8">
        <f t="shared" si="5"/>
        <v>0</v>
      </c>
      <c r="G12" s="9">
        <v>0</v>
      </c>
      <c r="H12" s="8">
        <f t="shared" si="6"/>
        <v>0</v>
      </c>
      <c r="I12" s="7">
        <f t="shared" si="7"/>
        <v>0</v>
      </c>
      <c r="J12" s="8">
        <f t="shared" si="8"/>
        <v>0</v>
      </c>
      <c r="K12" s="7">
        <f t="shared" si="9"/>
        <v>0</v>
      </c>
      <c r="L12" s="8">
        <f t="shared" si="10"/>
        <v>0</v>
      </c>
      <c r="M12" s="7">
        <f t="shared" si="11"/>
        <v>0</v>
      </c>
    </row>
    <row r="13" spans="1:13" x14ac:dyDescent="0.3">
      <c r="A13" s="7">
        <f t="shared" si="0"/>
        <v>0</v>
      </c>
      <c r="B13" s="8">
        <f t="shared" si="1"/>
        <v>0</v>
      </c>
      <c r="C13" s="7">
        <f t="shared" si="2"/>
        <v>0</v>
      </c>
      <c r="D13" s="8">
        <f t="shared" si="3"/>
        <v>0</v>
      </c>
      <c r="E13" s="7">
        <f t="shared" si="4"/>
        <v>0</v>
      </c>
      <c r="F13" s="8">
        <f t="shared" si="5"/>
        <v>0</v>
      </c>
      <c r="G13" s="9">
        <v>0</v>
      </c>
      <c r="H13" s="8">
        <f t="shared" si="6"/>
        <v>0</v>
      </c>
      <c r="I13" s="7">
        <f t="shared" si="7"/>
        <v>0</v>
      </c>
      <c r="J13" s="8">
        <f t="shared" si="8"/>
        <v>0</v>
      </c>
      <c r="K13" s="7">
        <f t="shared" si="9"/>
        <v>0</v>
      </c>
      <c r="L13" s="8">
        <f t="shared" si="10"/>
        <v>0</v>
      </c>
      <c r="M13" s="7">
        <f t="shared" si="11"/>
        <v>0</v>
      </c>
    </row>
    <row r="14" spans="1:13" x14ac:dyDescent="0.3">
      <c r="A14" s="7">
        <f t="shared" si="0"/>
        <v>0</v>
      </c>
      <c r="B14" s="8">
        <f t="shared" si="1"/>
        <v>0</v>
      </c>
      <c r="C14" s="7">
        <f t="shared" si="2"/>
        <v>0</v>
      </c>
      <c r="D14" s="8">
        <f t="shared" si="3"/>
        <v>0</v>
      </c>
      <c r="E14" s="7">
        <f t="shared" si="4"/>
        <v>0</v>
      </c>
      <c r="F14" s="8">
        <f t="shared" si="5"/>
        <v>0</v>
      </c>
      <c r="G14" s="9">
        <v>0</v>
      </c>
      <c r="H14" s="8">
        <f t="shared" si="6"/>
        <v>0</v>
      </c>
      <c r="I14" s="7">
        <f t="shared" si="7"/>
        <v>0</v>
      </c>
      <c r="J14" s="8">
        <f t="shared" si="8"/>
        <v>0</v>
      </c>
      <c r="K14" s="7">
        <f t="shared" si="9"/>
        <v>0</v>
      </c>
      <c r="L14" s="8">
        <f t="shared" si="10"/>
        <v>0</v>
      </c>
      <c r="M14" s="7">
        <f t="shared" si="11"/>
        <v>0</v>
      </c>
    </row>
    <row r="15" spans="1:13" x14ac:dyDescent="0.3">
      <c r="A15" s="7">
        <f t="shared" si="0"/>
        <v>0</v>
      </c>
      <c r="B15" s="8">
        <f t="shared" si="1"/>
        <v>0</v>
      </c>
      <c r="C15" s="7">
        <f t="shared" si="2"/>
        <v>0</v>
      </c>
      <c r="D15" s="8">
        <f t="shared" si="3"/>
        <v>0</v>
      </c>
      <c r="E15" s="7">
        <f t="shared" si="4"/>
        <v>0</v>
      </c>
      <c r="F15" s="8">
        <f t="shared" si="5"/>
        <v>0</v>
      </c>
      <c r="G15" s="9">
        <v>0</v>
      </c>
      <c r="H15" s="8">
        <f t="shared" si="6"/>
        <v>0</v>
      </c>
      <c r="I15" s="7">
        <f t="shared" si="7"/>
        <v>0</v>
      </c>
      <c r="J15" s="8">
        <f t="shared" si="8"/>
        <v>0</v>
      </c>
      <c r="K15" s="7">
        <f t="shared" si="9"/>
        <v>0</v>
      </c>
      <c r="L15" s="8">
        <f t="shared" si="10"/>
        <v>0</v>
      </c>
      <c r="M15" s="7">
        <f t="shared" si="11"/>
        <v>0</v>
      </c>
    </row>
    <row r="16" spans="1:13" x14ac:dyDescent="0.3">
      <c r="A16" s="7">
        <f t="shared" si="0"/>
        <v>0</v>
      </c>
      <c r="B16" s="8">
        <f t="shared" si="1"/>
        <v>0</v>
      </c>
      <c r="C16" s="7">
        <f t="shared" si="2"/>
        <v>0</v>
      </c>
      <c r="D16" s="8">
        <f t="shared" si="3"/>
        <v>0</v>
      </c>
      <c r="E16" s="7">
        <f t="shared" si="4"/>
        <v>0</v>
      </c>
      <c r="F16" s="8">
        <f t="shared" si="5"/>
        <v>0</v>
      </c>
      <c r="G16" s="9">
        <v>0</v>
      </c>
      <c r="H16" s="8">
        <f t="shared" si="6"/>
        <v>0</v>
      </c>
      <c r="I16" s="7">
        <f t="shared" si="7"/>
        <v>0</v>
      </c>
      <c r="J16" s="8">
        <f t="shared" si="8"/>
        <v>0</v>
      </c>
      <c r="K16" s="7">
        <f t="shared" si="9"/>
        <v>0</v>
      </c>
      <c r="L16" s="8">
        <f t="shared" si="10"/>
        <v>0</v>
      </c>
      <c r="M16" s="7">
        <f t="shared" si="11"/>
        <v>0</v>
      </c>
    </row>
    <row r="17" spans="1:13" x14ac:dyDescent="0.3">
      <c r="A17" s="7">
        <f t="shared" si="0"/>
        <v>0</v>
      </c>
      <c r="B17" s="8">
        <f t="shared" si="1"/>
        <v>0</v>
      </c>
      <c r="C17" s="7">
        <f t="shared" si="2"/>
        <v>0</v>
      </c>
      <c r="D17" s="8">
        <f t="shared" si="3"/>
        <v>0</v>
      </c>
      <c r="E17" s="7">
        <f t="shared" si="4"/>
        <v>0</v>
      </c>
      <c r="F17" s="8">
        <f t="shared" si="5"/>
        <v>0</v>
      </c>
      <c r="G17" s="9">
        <v>0</v>
      </c>
      <c r="H17" s="8">
        <f t="shared" si="6"/>
        <v>0</v>
      </c>
      <c r="I17" s="7">
        <f t="shared" si="7"/>
        <v>0</v>
      </c>
      <c r="J17" s="8">
        <f t="shared" si="8"/>
        <v>0</v>
      </c>
      <c r="K17" s="7">
        <f t="shared" si="9"/>
        <v>0</v>
      </c>
      <c r="L17" s="8">
        <f t="shared" si="10"/>
        <v>0</v>
      </c>
      <c r="M17" s="7">
        <f t="shared" si="11"/>
        <v>0</v>
      </c>
    </row>
    <row r="18" spans="1:13" x14ac:dyDescent="0.3">
      <c r="A18" s="7">
        <f t="shared" si="0"/>
        <v>0</v>
      </c>
      <c r="B18" s="8">
        <f t="shared" si="1"/>
        <v>0</v>
      </c>
      <c r="C18" s="7">
        <f t="shared" si="2"/>
        <v>0</v>
      </c>
      <c r="D18" s="8">
        <f t="shared" si="3"/>
        <v>0</v>
      </c>
      <c r="E18" s="7">
        <f t="shared" si="4"/>
        <v>0</v>
      </c>
      <c r="F18" s="8">
        <f t="shared" si="5"/>
        <v>0</v>
      </c>
      <c r="G18" s="9">
        <v>0</v>
      </c>
      <c r="H18" s="8">
        <f t="shared" si="6"/>
        <v>0</v>
      </c>
      <c r="I18" s="7">
        <f t="shared" si="7"/>
        <v>0</v>
      </c>
      <c r="J18" s="8">
        <f t="shared" si="8"/>
        <v>0</v>
      </c>
      <c r="K18" s="7">
        <f t="shared" si="9"/>
        <v>0</v>
      </c>
      <c r="L18" s="8">
        <f t="shared" si="10"/>
        <v>0</v>
      </c>
      <c r="M18" s="7">
        <f t="shared" si="11"/>
        <v>0</v>
      </c>
    </row>
    <row r="19" spans="1:13" x14ac:dyDescent="0.3">
      <c r="A19" s="7">
        <f t="shared" si="0"/>
        <v>0</v>
      </c>
      <c r="B19" s="8">
        <f t="shared" si="1"/>
        <v>0</v>
      </c>
      <c r="C19" s="7">
        <f t="shared" si="2"/>
        <v>0</v>
      </c>
      <c r="D19" s="8">
        <f t="shared" si="3"/>
        <v>0</v>
      </c>
      <c r="E19" s="7">
        <f t="shared" si="4"/>
        <v>0</v>
      </c>
      <c r="F19" s="8">
        <f t="shared" si="5"/>
        <v>0</v>
      </c>
      <c r="G19" s="9">
        <v>0</v>
      </c>
      <c r="H19" s="8">
        <f t="shared" si="6"/>
        <v>0</v>
      </c>
      <c r="I19" s="7">
        <f t="shared" si="7"/>
        <v>0</v>
      </c>
      <c r="J19" s="8">
        <f t="shared" si="8"/>
        <v>0</v>
      </c>
      <c r="K19" s="7">
        <f t="shared" si="9"/>
        <v>0</v>
      </c>
      <c r="L19" s="8">
        <f t="shared" si="10"/>
        <v>0</v>
      </c>
      <c r="M19" s="7">
        <f t="shared" si="11"/>
        <v>0</v>
      </c>
    </row>
    <row r="20" spans="1:13" x14ac:dyDescent="0.3">
      <c r="A20" s="7">
        <f t="shared" si="0"/>
        <v>0</v>
      </c>
      <c r="B20" s="8">
        <f t="shared" si="1"/>
        <v>0</v>
      </c>
      <c r="C20" s="7">
        <f t="shared" si="2"/>
        <v>0</v>
      </c>
      <c r="D20" s="8">
        <f t="shared" si="3"/>
        <v>0</v>
      </c>
      <c r="E20" s="7">
        <f t="shared" si="4"/>
        <v>0</v>
      </c>
      <c r="F20" s="8">
        <f t="shared" si="5"/>
        <v>0</v>
      </c>
      <c r="G20" s="9">
        <v>0</v>
      </c>
      <c r="H20" s="8">
        <f t="shared" si="6"/>
        <v>0</v>
      </c>
      <c r="I20" s="7">
        <f t="shared" si="7"/>
        <v>0</v>
      </c>
      <c r="J20" s="8">
        <f t="shared" si="8"/>
        <v>0</v>
      </c>
      <c r="K20" s="7">
        <f t="shared" si="9"/>
        <v>0</v>
      </c>
      <c r="L20" s="8">
        <f t="shared" si="10"/>
        <v>0</v>
      </c>
      <c r="M20" s="7">
        <f t="shared" si="11"/>
        <v>0</v>
      </c>
    </row>
    <row r="21" spans="1:13" x14ac:dyDescent="0.3">
      <c r="A21" s="7">
        <f t="shared" si="0"/>
        <v>0</v>
      </c>
      <c r="B21" s="8">
        <f t="shared" si="1"/>
        <v>0</v>
      </c>
      <c r="C21" s="7">
        <f t="shared" si="2"/>
        <v>0</v>
      </c>
      <c r="D21" s="8">
        <f t="shared" si="3"/>
        <v>0</v>
      </c>
      <c r="E21" s="7">
        <f t="shared" si="4"/>
        <v>0</v>
      </c>
      <c r="F21" s="8">
        <f t="shared" si="5"/>
        <v>0</v>
      </c>
      <c r="G21" s="9">
        <v>0</v>
      </c>
      <c r="H21" s="8">
        <f t="shared" si="6"/>
        <v>0</v>
      </c>
      <c r="I21" s="7">
        <f t="shared" si="7"/>
        <v>0</v>
      </c>
      <c r="J21" s="8">
        <f t="shared" si="8"/>
        <v>0</v>
      </c>
      <c r="K21" s="7">
        <f t="shared" si="9"/>
        <v>0</v>
      </c>
      <c r="L21" s="8">
        <f t="shared" si="10"/>
        <v>0</v>
      </c>
      <c r="M21" s="7">
        <f t="shared" si="11"/>
        <v>0</v>
      </c>
    </row>
    <row r="22" spans="1:13" x14ac:dyDescent="0.3">
      <c r="A22" s="7">
        <f t="shared" si="0"/>
        <v>0</v>
      </c>
      <c r="B22" s="8">
        <f t="shared" si="1"/>
        <v>0</v>
      </c>
      <c r="C22" s="7">
        <f t="shared" si="2"/>
        <v>0</v>
      </c>
      <c r="D22" s="8">
        <f t="shared" si="3"/>
        <v>0</v>
      </c>
      <c r="E22" s="7">
        <f t="shared" si="4"/>
        <v>0</v>
      </c>
      <c r="F22" s="8">
        <f t="shared" si="5"/>
        <v>0</v>
      </c>
      <c r="G22" s="9">
        <v>0</v>
      </c>
      <c r="H22" s="8">
        <f t="shared" si="6"/>
        <v>0</v>
      </c>
      <c r="I22" s="7">
        <f t="shared" si="7"/>
        <v>0</v>
      </c>
      <c r="J22" s="8">
        <f t="shared" si="8"/>
        <v>0</v>
      </c>
      <c r="K22" s="7">
        <f t="shared" si="9"/>
        <v>0</v>
      </c>
      <c r="L22" s="8">
        <f t="shared" si="10"/>
        <v>0</v>
      </c>
      <c r="M22" s="7">
        <f t="shared" si="11"/>
        <v>0</v>
      </c>
    </row>
    <row r="23" spans="1:13" x14ac:dyDescent="0.3">
      <c r="A23" s="7">
        <f t="shared" si="0"/>
        <v>0</v>
      </c>
      <c r="B23" s="8">
        <f t="shared" si="1"/>
        <v>0</v>
      </c>
      <c r="C23" s="7">
        <f t="shared" si="2"/>
        <v>0</v>
      </c>
      <c r="D23" s="8">
        <f t="shared" si="3"/>
        <v>0</v>
      </c>
      <c r="E23" s="7">
        <f t="shared" si="4"/>
        <v>0</v>
      </c>
      <c r="F23" s="8">
        <f t="shared" si="5"/>
        <v>0</v>
      </c>
      <c r="G23" s="9">
        <v>0</v>
      </c>
      <c r="H23" s="8">
        <f t="shared" si="6"/>
        <v>0</v>
      </c>
      <c r="I23" s="7">
        <f t="shared" si="7"/>
        <v>0</v>
      </c>
      <c r="J23" s="8">
        <f t="shared" si="8"/>
        <v>0</v>
      </c>
      <c r="K23" s="7">
        <f t="shared" si="9"/>
        <v>0</v>
      </c>
      <c r="L23" s="8">
        <f t="shared" si="10"/>
        <v>0</v>
      </c>
      <c r="M23" s="7">
        <f t="shared" si="11"/>
        <v>0</v>
      </c>
    </row>
    <row r="24" spans="1:13" x14ac:dyDescent="0.3">
      <c r="A24" s="7">
        <f t="shared" si="0"/>
        <v>0</v>
      </c>
      <c r="B24" s="8">
        <f t="shared" si="1"/>
        <v>0</v>
      </c>
      <c r="C24" s="7">
        <f t="shared" si="2"/>
        <v>0</v>
      </c>
      <c r="D24" s="8">
        <f t="shared" si="3"/>
        <v>0</v>
      </c>
      <c r="E24" s="7">
        <f t="shared" si="4"/>
        <v>0</v>
      </c>
      <c r="F24" s="8">
        <f t="shared" si="5"/>
        <v>0</v>
      </c>
      <c r="G24" s="9">
        <v>0</v>
      </c>
      <c r="H24" s="8">
        <f t="shared" si="6"/>
        <v>0</v>
      </c>
      <c r="I24" s="7">
        <f t="shared" si="7"/>
        <v>0</v>
      </c>
      <c r="J24" s="8">
        <f t="shared" si="8"/>
        <v>0</v>
      </c>
      <c r="K24" s="7">
        <f t="shared" si="9"/>
        <v>0</v>
      </c>
      <c r="L24" s="8">
        <f t="shared" si="10"/>
        <v>0</v>
      </c>
      <c r="M24" s="7">
        <f t="shared" si="11"/>
        <v>0</v>
      </c>
    </row>
    <row r="25" spans="1:13" x14ac:dyDescent="0.3">
      <c r="A25" s="7">
        <f t="shared" si="0"/>
        <v>0</v>
      </c>
      <c r="B25" s="8">
        <f t="shared" si="1"/>
        <v>0</v>
      </c>
      <c r="C25" s="7">
        <f t="shared" si="2"/>
        <v>0</v>
      </c>
      <c r="D25" s="8">
        <f t="shared" si="3"/>
        <v>0</v>
      </c>
      <c r="E25" s="7">
        <f t="shared" si="4"/>
        <v>0</v>
      </c>
      <c r="F25" s="8">
        <f t="shared" si="5"/>
        <v>0</v>
      </c>
      <c r="G25" s="9">
        <v>0</v>
      </c>
      <c r="H25" s="8">
        <f t="shared" si="6"/>
        <v>0</v>
      </c>
      <c r="I25" s="7">
        <f t="shared" si="7"/>
        <v>0</v>
      </c>
      <c r="J25" s="8">
        <f t="shared" si="8"/>
        <v>0</v>
      </c>
      <c r="K25" s="7">
        <f t="shared" si="9"/>
        <v>0</v>
      </c>
      <c r="L25" s="8">
        <f t="shared" si="10"/>
        <v>0</v>
      </c>
      <c r="M25" s="7">
        <f t="shared" si="11"/>
        <v>0</v>
      </c>
    </row>
    <row r="26" spans="1:13" x14ac:dyDescent="0.3">
      <c r="A26" s="7">
        <f t="shared" si="0"/>
        <v>0</v>
      </c>
      <c r="B26" s="8">
        <f t="shared" si="1"/>
        <v>0</v>
      </c>
      <c r="C26" s="7">
        <f t="shared" si="2"/>
        <v>0</v>
      </c>
      <c r="D26" s="8">
        <f t="shared" si="3"/>
        <v>0</v>
      </c>
      <c r="E26" s="7">
        <f t="shared" si="4"/>
        <v>0</v>
      </c>
      <c r="F26" s="8">
        <f t="shared" si="5"/>
        <v>0</v>
      </c>
      <c r="G26" s="9">
        <v>0</v>
      </c>
      <c r="H26" s="8">
        <f t="shared" si="6"/>
        <v>0</v>
      </c>
      <c r="I26" s="7">
        <f t="shared" si="7"/>
        <v>0</v>
      </c>
      <c r="J26" s="8">
        <f t="shared" si="8"/>
        <v>0</v>
      </c>
      <c r="K26" s="7">
        <f t="shared" si="9"/>
        <v>0</v>
      </c>
      <c r="L26" s="8">
        <f t="shared" si="10"/>
        <v>0</v>
      </c>
      <c r="M26" s="7">
        <f t="shared" si="11"/>
        <v>0</v>
      </c>
    </row>
    <row r="27" spans="1:13" x14ac:dyDescent="0.3">
      <c r="A27" s="7">
        <f t="shared" si="0"/>
        <v>0</v>
      </c>
      <c r="B27" s="8">
        <f t="shared" si="1"/>
        <v>0</v>
      </c>
      <c r="C27" s="7">
        <f t="shared" si="2"/>
        <v>0</v>
      </c>
      <c r="D27" s="8">
        <f t="shared" si="3"/>
        <v>0</v>
      </c>
      <c r="E27" s="7">
        <f t="shared" si="4"/>
        <v>0</v>
      </c>
      <c r="F27" s="8">
        <f t="shared" si="5"/>
        <v>0</v>
      </c>
      <c r="G27" s="9">
        <v>0</v>
      </c>
      <c r="H27" s="8">
        <f t="shared" si="6"/>
        <v>0</v>
      </c>
      <c r="I27" s="7">
        <f t="shared" si="7"/>
        <v>0</v>
      </c>
      <c r="J27" s="8">
        <f t="shared" si="8"/>
        <v>0</v>
      </c>
      <c r="K27" s="7">
        <f t="shared" si="9"/>
        <v>0</v>
      </c>
      <c r="L27" s="8">
        <f t="shared" si="10"/>
        <v>0</v>
      </c>
      <c r="M27" s="7">
        <f t="shared" si="11"/>
        <v>0</v>
      </c>
    </row>
    <row r="28" spans="1:13" x14ac:dyDescent="0.3">
      <c r="A28" s="7">
        <f t="shared" si="0"/>
        <v>0</v>
      </c>
      <c r="B28" s="8">
        <f t="shared" si="1"/>
        <v>0</v>
      </c>
      <c r="C28" s="7">
        <f t="shared" si="2"/>
        <v>0</v>
      </c>
      <c r="D28" s="8">
        <f t="shared" si="3"/>
        <v>0</v>
      </c>
      <c r="E28" s="7">
        <f t="shared" si="4"/>
        <v>0</v>
      </c>
      <c r="F28" s="8">
        <f t="shared" si="5"/>
        <v>0</v>
      </c>
      <c r="G28" s="9">
        <v>0</v>
      </c>
      <c r="H28" s="8">
        <f t="shared" si="6"/>
        <v>0</v>
      </c>
      <c r="I28" s="7">
        <f t="shared" si="7"/>
        <v>0</v>
      </c>
      <c r="J28" s="8">
        <f t="shared" si="8"/>
        <v>0</v>
      </c>
      <c r="K28" s="7">
        <f t="shared" si="9"/>
        <v>0</v>
      </c>
      <c r="L28" s="8">
        <f t="shared" si="10"/>
        <v>0</v>
      </c>
      <c r="M28" s="7">
        <f t="shared" si="11"/>
        <v>0</v>
      </c>
    </row>
    <row r="29" spans="1:13" x14ac:dyDescent="0.3">
      <c r="A29" s="7">
        <f t="shared" si="0"/>
        <v>0</v>
      </c>
      <c r="B29" s="8">
        <f t="shared" si="1"/>
        <v>0</v>
      </c>
      <c r="C29" s="7">
        <f t="shared" si="2"/>
        <v>0</v>
      </c>
      <c r="D29" s="8">
        <f t="shared" si="3"/>
        <v>0</v>
      </c>
      <c r="E29" s="7">
        <f t="shared" si="4"/>
        <v>0</v>
      </c>
      <c r="F29" s="8">
        <f t="shared" si="5"/>
        <v>0</v>
      </c>
      <c r="G29" s="9">
        <v>0</v>
      </c>
      <c r="H29" s="8">
        <f t="shared" si="6"/>
        <v>0</v>
      </c>
      <c r="I29" s="7">
        <f t="shared" si="7"/>
        <v>0</v>
      </c>
      <c r="J29" s="8">
        <f t="shared" si="8"/>
        <v>0</v>
      </c>
      <c r="K29" s="7">
        <f t="shared" si="9"/>
        <v>0</v>
      </c>
      <c r="L29" s="8">
        <f t="shared" si="10"/>
        <v>0</v>
      </c>
      <c r="M29" s="7">
        <f t="shared" si="11"/>
        <v>0</v>
      </c>
    </row>
    <row r="30" spans="1:13" x14ac:dyDescent="0.3">
      <c r="A30" s="7">
        <f t="shared" si="0"/>
        <v>0</v>
      </c>
      <c r="B30" s="8">
        <f t="shared" si="1"/>
        <v>0</v>
      </c>
      <c r="C30" s="7">
        <f t="shared" si="2"/>
        <v>0</v>
      </c>
      <c r="D30" s="8">
        <f t="shared" si="3"/>
        <v>0</v>
      </c>
      <c r="E30" s="7">
        <f t="shared" si="4"/>
        <v>0</v>
      </c>
      <c r="F30" s="8">
        <f t="shared" si="5"/>
        <v>0</v>
      </c>
      <c r="G30" s="9">
        <v>0</v>
      </c>
      <c r="H30" s="8">
        <f t="shared" si="6"/>
        <v>0</v>
      </c>
      <c r="I30" s="7">
        <f t="shared" si="7"/>
        <v>0</v>
      </c>
      <c r="J30" s="8">
        <f t="shared" si="8"/>
        <v>0</v>
      </c>
      <c r="K30" s="7">
        <f t="shared" si="9"/>
        <v>0</v>
      </c>
      <c r="L30" s="8">
        <f t="shared" si="10"/>
        <v>0</v>
      </c>
      <c r="M30" s="7">
        <f t="shared" si="11"/>
        <v>0</v>
      </c>
    </row>
    <row r="31" spans="1:13" x14ac:dyDescent="0.3">
      <c r="A31" s="7">
        <f t="shared" si="0"/>
        <v>0</v>
      </c>
      <c r="B31" s="8">
        <f t="shared" si="1"/>
        <v>0</v>
      </c>
      <c r="C31" s="7">
        <f t="shared" si="2"/>
        <v>0</v>
      </c>
      <c r="D31" s="8">
        <f t="shared" si="3"/>
        <v>0</v>
      </c>
      <c r="E31" s="7">
        <f t="shared" si="4"/>
        <v>0</v>
      </c>
      <c r="F31" s="8">
        <f t="shared" si="5"/>
        <v>0</v>
      </c>
      <c r="G31" s="9">
        <v>0</v>
      </c>
      <c r="H31" s="8">
        <f t="shared" si="6"/>
        <v>0</v>
      </c>
      <c r="I31" s="7">
        <f t="shared" si="7"/>
        <v>0</v>
      </c>
      <c r="J31" s="8">
        <f t="shared" si="8"/>
        <v>0</v>
      </c>
      <c r="K31" s="7">
        <f t="shared" si="9"/>
        <v>0</v>
      </c>
      <c r="L31" s="8">
        <f t="shared" si="10"/>
        <v>0</v>
      </c>
      <c r="M31" s="7">
        <f t="shared" si="11"/>
        <v>0</v>
      </c>
    </row>
    <row r="32" spans="1:13" x14ac:dyDescent="0.3">
      <c r="A32" s="7">
        <f t="shared" si="0"/>
        <v>0</v>
      </c>
      <c r="B32" s="8">
        <f t="shared" si="1"/>
        <v>0</v>
      </c>
      <c r="C32" s="7">
        <f t="shared" si="2"/>
        <v>0</v>
      </c>
      <c r="D32" s="8">
        <f t="shared" si="3"/>
        <v>0</v>
      </c>
      <c r="E32" s="7">
        <f t="shared" si="4"/>
        <v>0</v>
      </c>
      <c r="F32" s="8">
        <f t="shared" si="5"/>
        <v>0</v>
      </c>
      <c r="G32" s="9">
        <v>0</v>
      </c>
      <c r="H32" s="8">
        <f t="shared" si="6"/>
        <v>0</v>
      </c>
      <c r="I32" s="7">
        <f t="shared" si="7"/>
        <v>0</v>
      </c>
      <c r="J32" s="8">
        <f t="shared" si="8"/>
        <v>0</v>
      </c>
      <c r="K32" s="7">
        <f t="shared" si="9"/>
        <v>0</v>
      </c>
      <c r="L32" s="8">
        <f t="shared" si="10"/>
        <v>0</v>
      </c>
      <c r="M32" s="7">
        <f t="shared" si="11"/>
        <v>0</v>
      </c>
    </row>
    <row r="33" spans="1:13" x14ac:dyDescent="0.3">
      <c r="A33" s="7">
        <f t="shared" si="0"/>
        <v>0</v>
      </c>
      <c r="B33" s="8">
        <f t="shared" si="1"/>
        <v>0</v>
      </c>
      <c r="C33" s="7">
        <f t="shared" si="2"/>
        <v>0</v>
      </c>
      <c r="D33" s="8">
        <f t="shared" si="3"/>
        <v>0</v>
      </c>
      <c r="E33" s="7">
        <f t="shared" si="4"/>
        <v>0</v>
      </c>
      <c r="F33" s="8">
        <f t="shared" si="5"/>
        <v>0</v>
      </c>
      <c r="G33" s="9">
        <v>0</v>
      </c>
      <c r="H33" s="8">
        <f t="shared" si="6"/>
        <v>0</v>
      </c>
      <c r="I33" s="7">
        <f t="shared" si="7"/>
        <v>0</v>
      </c>
      <c r="J33" s="8">
        <f t="shared" si="8"/>
        <v>0</v>
      </c>
      <c r="K33" s="7">
        <f t="shared" si="9"/>
        <v>0</v>
      </c>
      <c r="L33" s="8">
        <f t="shared" si="10"/>
        <v>0</v>
      </c>
      <c r="M33" s="7">
        <f t="shared" si="11"/>
        <v>0</v>
      </c>
    </row>
    <row r="34" spans="1:13" x14ac:dyDescent="0.3">
      <c r="A34" s="7">
        <f t="shared" si="0"/>
        <v>0</v>
      </c>
      <c r="B34" s="8">
        <f t="shared" si="1"/>
        <v>0</v>
      </c>
      <c r="C34" s="7">
        <f t="shared" si="2"/>
        <v>0</v>
      </c>
      <c r="D34" s="8">
        <f t="shared" si="3"/>
        <v>0</v>
      </c>
      <c r="E34" s="7">
        <f t="shared" si="4"/>
        <v>0</v>
      </c>
      <c r="F34" s="8">
        <f t="shared" si="5"/>
        <v>0</v>
      </c>
      <c r="G34" s="9">
        <v>0</v>
      </c>
      <c r="H34" s="8">
        <f t="shared" si="6"/>
        <v>0</v>
      </c>
      <c r="I34" s="7">
        <f t="shared" si="7"/>
        <v>0</v>
      </c>
      <c r="J34" s="8">
        <f t="shared" si="8"/>
        <v>0</v>
      </c>
      <c r="K34" s="7">
        <f t="shared" si="9"/>
        <v>0</v>
      </c>
      <c r="L34" s="8">
        <f t="shared" si="10"/>
        <v>0</v>
      </c>
      <c r="M34" s="7">
        <f t="shared" si="11"/>
        <v>0</v>
      </c>
    </row>
    <row r="35" spans="1:13" x14ac:dyDescent="0.3">
      <c r="A35" s="7">
        <f t="shared" si="0"/>
        <v>0</v>
      </c>
      <c r="B35" s="8">
        <f t="shared" si="1"/>
        <v>0</v>
      </c>
      <c r="C35" s="7">
        <f t="shared" si="2"/>
        <v>0</v>
      </c>
      <c r="D35" s="8">
        <f t="shared" si="3"/>
        <v>0</v>
      </c>
      <c r="E35" s="7">
        <f t="shared" si="4"/>
        <v>0</v>
      </c>
      <c r="F35" s="8">
        <f t="shared" si="5"/>
        <v>0</v>
      </c>
      <c r="G35" s="9">
        <v>0</v>
      </c>
      <c r="H35" s="8">
        <f t="shared" si="6"/>
        <v>0</v>
      </c>
      <c r="I35" s="7">
        <f t="shared" si="7"/>
        <v>0</v>
      </c>
      <c r="J35" s="8">
        <f t="shared" si="8"/>
        <v>0</v>
      </c>
      <c r="K35" s="7">
        <f t="shared" si="9"/>
        <v>0</v>
      </c>
      <c r="L35" s="8">
        <f t="shared" si="10"/>
        <v>0</v>
      </c>
      <c r="M35" s="7">
        <f t="shared" si="11"/>
        <v>0</v>
      </c>
    </row>
    <row r="36" spans="1:13" x14ac:dyDescent="0.3">
      <c r="A36" s="7">
        <f t="shared" ref="A36:A52" si="12">G36*0.97</f>
        <v>0</v>
      </c>
      <c r="B36" s="8">
        <f t="shared" ref="B36:B52" si="13">G36*0.975</f>
        <v>0</v>
      </c>
      <c r="C36" s="7">
        <f t="shared" ref="C36:C52" si="14">G36*0.98</f>
        <v>0</v>
      </c>
      <c r="D36" s="8">
        <f t="shared" ref="D36:D52" si="15">G36*0.985</f>
        <v>0</v>
      </c>
      <c r="E36" s="7">
        <f t="shared" ref="E36:E52" si="16">G36*0.99</f>
        <v>0</v>
      </c>
      <c r="F36" s="8">
        <f t="shared" ref="F36:F52" si="17">G36*0.995</f>
        <v>0</v>
      </c>
      <c r="G36" s="9">
        <v>0</v>
      </c>
      <c r="H36" s="8">
        <f t="shared" ref="H36:H52" si="18">G36*1.005</f>
        <v>0</v>
      </c>
      <c r="I36" s="7">
        <f t="shared" ref="I36:I52" si="19">G36*1.01</f>
        <v>0</v>
      </c>
      <c r="J36" s="8">
        <f t="shared" ref="J36:J52" si="20">G36*1.015</f>
        <v>0</v>
      </c>
      <c r="K36" s="7">
        <f t="shared" ref="K36:K52" si="21">G36*1.02</f>
        <v>0</v>
      </c>
      <c r="L36" s="8">
        <f t="shared" ref="L36:L52" si="22">G36*1.025</f>
        <v>0</v>
      </c>
      <c r="M36" s="7">
        <f t="shared" ref="M36:M52" si="23">G36*1.03</f>
        <v>0</v>
      </c>
    </row>
    <row r="37" spans="1:13" x14ac:dyDescent="0.3">
      <c r="A37" s="7">
        <f t="shared" si="12"/>
        <v>0</v>
      </c>
      <c r="B37" s="8">
        <f t="shared" si="13"/>
        <v>0</v>
      </c>
      <c r="C37" s="7">
        <f t="shared" si="14"/>
        <v>0</v>
      </c>
      <c r="D37" s="8">
        <f t="shared" si="15"/>
        <v>0</v>
      </c>
      <c r="E37" s="7">
        <f t="shared" si="16"/>
        <v>0</v>
      </c>
      <c r="F37" s="8">
        <f t="shared" si="17"/>
        <v>0</v>
      </c>
      <c r="G37" s="9">
        <v>0</v>
      </c>
      <c r="H37" s="8">
        <f t="shared" si="18"/>
        <v>0</v>
      </c>
      <c r="I37" s="7">
        <f t="shared" si="19"/>
        <v>0</v>
      </c>
      <c r="J37" s="8">
        <f t="shared" si="20"/>
        <v>0</v>
      </c>
      <c r="K37" s="7">
        <f t="shared" si="21"/>
        <v>0</v>
      </c>
      <c r="L37" s="8">
        <f t="shared" si="22"/>
        <v>0</v>
      </c>
      <c r="M37" s="7">
        <f t="shared" si="23"/>
        <v>0</v>
      </c>
    </row>
    <row r="38" spans="1:13" x14ac:dyDescent="0.3">
      <c r="A38" s="7">
        <f t="shared" si="12"/>
        <v>0</v>
      </c>
      <c r="B38" s="8">
        <f t="shared" si="13"/>
        <v>0</v>
      </c>
      <c r="C38" s="7">
        <f t="shared" si="14"/>
        <v>0</v>
      </c>
      <c r="D38" s="8">
        <f t="shared" si="15"/>
        <v>0</v>
      </c>
      <c r="E38" s="7">
        <f t="shared" si="16"/>
        <v>0</v>
      </c>
      <c r="F38" s="8">
        <f t="shared" si="17"/>
        <v>0</v>
      </c>
      <c r="G38" s="9">
        <v>0</v>
      </c>
      <c r="H38" s="8">
        <f t="shared" si="18"/>
        <v>0</v>
      </c>
      <c r="I38" s="7">
        <f t="shared" si="19"/>
        <v>0</v>
      </c>
      <c r="J38" s="8">
        <f t="shared" si="20"/>
        <v>0</v>
      </c>
      <c r="K38" s="7">
        <f t="shared" si="21"/>
        <v>0</v>
      </c>
      <c r="L38" s="8">
        <f t="shared" si="22"/>
        <v>0</v>
      </c>
      <c r="M38" s="7">
        <f t="shared" si="23"/>
        <v>0</v>
      </c>
    </row>
    <row r="39" spans="1:13" x14ac:dyDescent="0.3">
      <c r="A39" s="7">
        <f t="shared" si="12"/>
        <v>0</v>
      </c>
      <c r="B39" s="8">
        <f t="shared" si="13"/>
        <v>0</v>
      </c>
      <c r="C39" s="7">
        <f t="shared" si="14"/>
        <v>0</v>
      </c>
      <c r="D39" s="8">
        <f t="shared" si="15"/>
        <v>0</v>
      </c>
      <c r="E39" s="7">
        <f t="shared" si="16"/>
        <v>0</v>
      </c>
      <c r="F39" s="8">
        <f t="shared" si="17"/>
        <v>0</v>
      </c>
      <c r="G39" s="9">
        <v>0</v>
      </c>
      <c r="H39" s="8">
        <f t="shared" si="18"/>
        <v>0</v>
      </c>
      <c r="I39" s="7">
        <f t="shared" si="19"/>
        <v>0</v>
      </c>
      <c r="J39" s="8">
        <f t="shared" si="20"/>
        <v>0</v>
      </c>
      <c r="K39" s="7">
        <f t="shared" si="21"/>
        <v>0</v>
      </c>
      <c r="L39" s="8">
        <f t="shared" si="22"/>
        <v>0</v>
      </c>
      <c r="M39" s="7">
        <f t="shared" si="23"/>
        <v>0</v>
      </c>
    </row>
    <row r="40" spans="1:13" x14ac:dyDescent="0.3">
      <c r="A40" s="7">
        <f t="shared" si="12"/>
        <v>0</v>
      </c>
      <c r="B40" s="8">
        <f t="shared" si="13"/>
        <v>0</v>
      </c>
      <c r="C40" s="7">
        <f t="shared" si="14"/>
        <v>0</v>
      </c>
      <c r="D40" s="8">
        <f t="shared" si="15"/>
        <v>0</v>
      </c>
      <c r="E40" s="7">
        <f t="shared" si="16"/>
        <v>0</v>
      </c>
      <c r="F40" s="8">
        <f t="shared" si="17"/>
        <v>0</v>
      </c>
      <c r="G40" s="9">
        <v>0</v>
      </c>
      <c r="H40" s="8">
        <f t="shared" si="18"/>
        <v>0</v>
      </c>
      <c r="I40" s="7">
        <f t="shared" si="19"/>
        <v>0</v>
      </c>
      <c r="J40" s="8">
        <f t="shared" si="20"/>
        <v>0</v>
      </c>
      <c r="K40" s="7">
        <f t="shared" si="21"/>
        <v>0</v>
      </c>
      <c r="L40" s="8">
        <f t="shared" si="22"/>
        <v>0</v>
      </c>
      <c r="M40" s="7">
        <f t="shared" si="23"/>
        <v>0</v>
      </c>
    </row>
    <row r="41" spans="1:13" x14ac:dyDescent="0.3">
      <c r="A41" s="7">
        <f t="shared" si="12"/>
        <v>0</v>
      </c>
      <c r="B41" s="8">
        <f t="shared" si="13"/>
        <v>0</v>
      </c>
      <c r="C41" s="7">
        <f t="shared" si="14"/>
        <v>0</v>
      </c>
      <c r="D41" s="8">
        <f t="shared" si="15"/>
        <v>0</v>
      </c>
      <c r="E41" s="7">
        <f t="shared" si="16"/>
        <v>0</v>
      </c>
      <c r="F41" s="8">
        <f t="shared" si="17"/>
        <v>0</v>
      </c>
      <c r="G41" s="9">
        <v>0</v>
      </c>
      <c r="H41" s="8">
        <f t="shared" si="18"/>
        <v>0</v>
      </c>
      <c r="I41" s="7">
        <f t="shared" si="19"/>
        <v>0</v>
      </c>
      <c r="J41" s="8">
        <f t="shared" si="20"/>
        <v>0</v>
      </c>
      <c r="K41" s="7">
        <f t="shared" si="21"/>
        <v>0</v>
      </c>
      <c r="L41" s="8">
        <f t="shared" si="22"/>
        <v>0</v>
      </c>
      <c r="M41" s="7">
        <f t="shared" si="23"/>
        <v>0</v>
      </c>
    </row>
    <row r="42" spans="1:13" x14ac:dyDescent="0.3">
      <c r="A42" s="7">
        <f t="shared" si="12"/>
        <v>0</v>
      </c>
      <c r="B42" s="8">
        <f t="shared" si="13"/>
        <v>0</v>
      </c>
      <c r="C42" s="7">
        <f t="shared" si="14"/>
        <v>0</v>
      </c>
      <c r="D42" s="8">
        <f t="shared" si="15"/>
        <v>0</v>
      </c>
      <c r="E42" s="7">
        <f t="shared" si="16"/>
        <v>0</v>
      </c>
      <c r="F42" s="8">
        <f t="shared" si="17"/>
        <v>0</v>
      </c>
      <c r="G42" s="9">
        <v>0</v>
      </c>
      <c r="H42" s="8">
        <f t="shared" si="18"/>
        <v>0</v>
      </c>
      <c r="I42" s="7">
        <f t="shared" si="19"/>
        <v>0</v>
      </c>
      <c r="J42" s="8">
        <f t="shared" si="20"/>
        <v>0</v>
      </c>
      <c r="K42" s="7">
        <f t="shared" si="21"/>
        <v>0</v>
      </c>
      <c r="L42" s="8">
        <f t="shared" si="22"/>
        <v>0</v>
      </c>
      <c r="M42" s="7">
        <f t="shared" si="23"/>
        <v>0</v>
      </c>
    </row>
    <row r="43" spans="1:13" x14ac:dyDescent="0.3">
      <c r="A43" s="7">
        <f t="shared" si="12"/>
        <v>0</v>
      </c>
      <c r="B43" s="8">
        <f t="shared" si="13"/>
        <v>0</v>
      </c>
      <c r="C43" s="7">
        <f t="shared" si="14"/>
        <v>0</v>
      </c>
      <c r="D43" s="8">
        <f t="shared" si="15"/>
        <v>0</v>
      </c>
      <c r="E43" s="7">
        <f t="shared" si="16"/>
        <v>0</v>
      </c>
      <c r="F43" s="8">
        <f t="shared" si="17"/>
        <v>0</v>
      </c>
      <c r="G43" s="9">
        <v>0</v>
      </c>
      <c r="H43" s="8">
        <f t="shared" si="18"/>
        <v>0</v>
      </c>
      <c r="I43" s="7">
        <f t="shared" si="19"/>
        <v>0</v>
      </c>
      <c r="J43" s="8">
        <f t="shared" si="20"/>
        <v>0</v>
      </c>
      <c r="K43" s="7">
        <f t="shared" si="21"/>
        <v>0</v>
      </c>
      <c r="L43" s="8">
        <f t="shared" si="22"/>
        <v>0</v>
      </c>
      <c r="M43" s="7">
        <f t="shared" si="23"/>
        <v>0</v>
      </c>
    </row>
    <row r="44" spans="1:13" x14ac:dyDescent="0.3">
      <c r="A44" s="7">
        <f t="shared" si="12"/>
        <v>0</v>
      </c>
      <c r="B44" s="8">
        <f t="shared" si="13"/>
        <v>0</v>
      </c>
      <c r="C44" s="7">
        <f t="shared" si="14"/>
        <v>0</v>
      </c>
      <c r="D44" s="8">
        <f t="shared" si="15"/>
        <v>0</v>
      </c>
      <c r="E44" s="7">
        <f t="shared" si="16"/>
        <v>0</v>
      </c>
      <c r="F44" s="8">
        <f t="shared" si="17"/>
        <v>0</v>
      </c>
      <c r="G44" s="9">
        <v>0</v>
      </c>
      <c r="H44" s="8">
        <f t="shared" si="18"/>
        <v>0</v>
      </c>
      <c r="I44" s="7">
        <f t="shared" si="19"/>
        <v>0</v>
      </c>
      <c r="J44" s="8">
        <f t="shared" si="20"/>
        <v>0</v>
      </c>
      <c r="K44" s="7">
        <f t="shared" si="21"/>
        <v>0</v>
      </c>
      <c r="L44" s="8">
        <f t="shared" si="22"/>
        <v>0</v>
      </c>
      <c r="M44" s="7">
        <f t="shared" si="23"/>
        <v>0</v>
      </c>
    </row>
    <row r="45" spans="1:13" x14ac:dyDescent="0.3">
      <c r="A45" s="7">
        <f t="shared" si="12"/>
        <v>0</v>
      </c>
      <c r="B45" s="8">
        <f t="shared" si="13"/>
        <v>0</v>
      </c>
      <c r="C45" s="7">
        <f t="shared" si="14"/>
        <v>0</v>
      </c>
      <c r="D45" s="8">
        <f t="shared" si="15"/>
        <v>0</v>
      </c>
      <c r="E45" s="7">
        <f t="shared" si="16"/>
        <v>0</v>
      </c>
      <c r="F45" s="8">
        <f t="shared" si="17"/>
        <v>0</v>
      </c>
      <c r="G45" s="9">
        <v>0</v>
      </c>
      <c r="H45" s="8">
        <f t="shared" si="18"/>
        <v>0</v>
      </c>
      <c r="I45" s="7">
        <f t="shared" si="19"/>
        <v>0</v>
      </c>
      <c r="J45" s="8">
        <f t="shared" si="20"/>
        <v>0</v>
      </c>
      <c r="K45" s="7">
        <f t="shared" si="21"/>
        <v>0</v>
      </c>
      <c r="L45" s="8">
        <f t="shared" si="22"/>
        <v>0</v>
      </c>
      <c r="M45" s="7">
        <f t="shared" si="23"/>
        <v>0</v>
      </c>
    </row>
    <row r="46" spans="1:13" x14ac:dyDescent="0.3">
      <c r="A46" s="7">
        <f t="shared" si="12"/>
        <v>0</v>
      </c>
      <c r="B46" s="8">
        <f t="shared" si="13"/>
        <v>0</v>
      </c>
      <c r="C46" s="7">
        <f t="shared" si="14"/>
        <v>0</v>
      </c>
      <c r="D46" s="8">
        <f t="shared" si="15"/>
        <v>0</v>
      </c>
      <c r="E46" s="7">
        <f t="shared" si="16"/>
        <v>0</v>
      </c>
      <c r="F46" s="8">
        <f t="shared" si="17"/>
        <v>0</v>
      </c>
      <c r="G46" s="9">
        <v>0</v>
      </c>
      <c r="H46" s="8">
        <f t="shared" si="18"/>
        <v>0</v>
      </c>
      <c r="I46" s="7">
        <f t="shared" si="19"/>
        <v>0</v>
      </c>
      <c r="J46" s="8">
        <f t="shared" si="20"/>
        <v>0</v>
      </c>
      <c r="K46" s="7">
        <f t="shared" si="21"/>
        <v>0</v>
      </c>
      <c r="L46" s="8">
        <f t="shared" si="22"/>
        <v>0</v>
      </c>
      <c r="M46" s="7">
        <f t="shared" si="23"/>
        <v>0</v>
      </c>
    </row>
    <row r="47" spans="1:13" x14ac:dyDescent="0.3">
      <c r="A47" s="7">
        <f t="shared" si="12"/>
        <v>0</v>
      </c>
      <c r="B47" s="8">
        <f t="shared" si="13"/>
        <v>0</v>
      </c>
      <c r="C47" s="7">
        <f t="shared" si="14"/>
        <v>0</v>
      </c>
      <c r="D47" s="8">
        <f t="shared" si="15"/>
        <v>0</v>
      </c>
      <c r="E47" s="7">
        <f t="shared" si="16"/>
        <v>0</v>
      </c>
      <c r="F47" s="8">
        <f t="shared" si="17"/>
        <v>0</v>
      </c>
      <c r="G47" s="9">
        <v>0</v>
      </c>
      <c r="H47" s="8">
        <f t="shared" si="18"/>
        <v>0</v>
      </c>
      <c r="I47" s="7">
        <f t="shared" si="19"/>
        <v>0</v>
      </c>
      <c r="J47" s="8">
        <f t="shared" si="20"/>
        <v>0</v>
      </c>
      <c r="K47" s="7">
        <f t="shared" si="21"/>
        <v>0</v>
      </c>
      <c r="L47" s="8">
        <f t="shared" si="22"/>
        <v>0</v>
      </c>
      <c r="M47" s="7">
        <f t="shared" si="23"/>
        <v>0</v>
      </c>
    </row>
    <row r="48" spans="1:13" x14ac:dyDescent="0.3">
      <c r="A48" s="7">
        <f t="shared" si="12"/>
        <v>0</v>
      </c>
      <c r="B48" s="8">
        <f t="shared" si="13"/>
        <v>0</v>
      </c>
      <c r="C48" s="7">
        <f t="shared" si="14"/>
        <v>0</v>
      </c>
      <c r="D48" s="8">
        <f t="shared" si="15"/>
        <v>0</v>
      </c>
      <c r="E48" s="7">
        <f t="shared" si="16"/>
        <v>0</v>
      </c>
      <c r="F48" s="8">
        <f t="shared" si="17"/>
        <v>0</v>
      </c>
      <c r="G48" s="9">
        <v>0</v>
      </c>
      <c r="H48" s="8">
        <f t="shared" si="18"/>
        <v>0</v>
      </c>
      <c r="I48" s="7">
        <f t="shared" si="19"/>
        <v>0</v>
      </c>
      <c r="J48" s="8">
        <f t="shared" si="20"/>
        <v>0</v>
      </c>
      <c r="K48" s="7">
        <f t="shared" si="21"/>
        <v>0</v>
      </c>
      <c r="L48" s="8">
        <f t="shared" si="22"/>
        <v>0</v>
      </c>
      <c r="M48" s="7">
        <f t="shared" si="23"/>
        <v>0</v>
      </c>
    </row>
    <row r="49" spans="1:13" x14ac:dyDescent="0.3">
      <c r="A49" s="7">
        <f t="shared" si="12"/>
        <v>0</v>
      </c>
      <c r="B49" s="8">
        <f t="shared" si="13"/>
        <v>0</v>
      </c>
      <c r="C49" s="7">
        <f t="shared" si="14"/>
        <v>0</v>
      </c>
      <c r="D49" s="8">
        <f t="shared" si="15"/>
        <v>0</v>
      </c>
      <c r="E49" s="7">
        <f t="shared" si="16"/>
        <v>0</v>
      </c>
      <c r="F49" s="8">
        <f t="shared" si="17"/>
        <v>0</v>
      </c>
      <c r="G49" s="9">
        <v>0</v>
      </c>
      <c r="H49" s="8">
        <f t="shared" si="18"/>
        <v>0</v>
      </c>
      <c r="I49" s="7">
        <f t="shared" si="19"/>
        <v>0</v>
      </c>
      <c r="J49" s="8">
        <f t="shared" si="20"/>
        <v>0</v>
      </c>
      <c r="K49" s="7">
        <f t="shared" si="21"/>
        <v>0</v>
      </c>
      <c r="L49" s="8">
        <f t="shared" si="22"/>
        <v>0</v>
      </c>
      <c r="M49" s="7">
        <f t="shared" si="23"/>
        <v>0</v>
      </c>
    </row>
    <row r="50" spans="1:13" x14ac:dyDescent="0.3">
      <c r="A50" s="7">
        <f t="shared" si="12"/>
        <v>0</v>
      </c>
      <c r="B50" s="8">
        <f t="shared" si="13"/>
        <v>0</v>
      </c>
      <c r="C50" s="7">
        <f t="shared" si="14"/>
        <v>0</v>
      </c>
      <c r="D50" s="8">
        <f t="shared" si="15"/>
        <v>0</v>
      </c>
      <c r="E50" s="7">
        <f t="shared" si="16"/>
        <v>0</v>
      </c>
      <c r="F50" s="8">
        <f t="shared" si="17"/>
        <v>0</v>
      </c>
      <c r="G50" s="9">
        <v>0</v>
      </c>
      <c r="H50" s="8">
        <f t="shared" si="18"/>
        <v>0</v>
      </c>
      <c r="I50" s="7">
        <f t="shared" si="19"/>
        <v>0</v>
      </c>
      <c r="J50" s="8">
        <f t="shared" si="20"/>
        <v>0</v>
      </c>
      <c r="K50" s="7">
        <f t="shared" si="21"/>
        <v>0</v>
      </c>
      <c r="L50" s="8">
        <f t="shared" si="22"/>
        <v>0</v>
      </c>
      <c r="M50" s="7">
        <f t="shared" si="23"/>
        <v>0</v>
      </c>
    </row>
    <row r="51" spans="1:13" x14ac:dyDescent="0.3">
      <c r="A51" s="7">
        <f t="shared" si="12"/>
        <v>0</v>
      </c>
      <c r="B51" s="8">
        <f t="shared" si="13"/>
        <v>0</v>
      </c>
      <c r="C51" s="7">
        <f t="shared" si="14"/>
        <v>0</v>
      </c>
      <c r="D51" s="8">
        <f t="shared" si="15"/>
        <v>0</v>
      </c>
      <c r="E51" s="7">
        <f t="shared" si="16"/>
        <v>0</v>
      </c>
      <c r="F51" s="8">
        <f t="shared" si="17"/>
        <v>0</v>
      </c>
      <c r="G51" s="9">
        <v>0</v>
      </c>
      <c r="H51" s="8">
        <f t="shared" si="18"/>
        <v>0</v>
      </c>
      <c r="I51" s="7">
        <f t="shared" si="19"/>
        <v>0</v>
      </c>
      <c r="J51" s="8">
        <f t="shared" si="20"/>
        <v>0</v>
      </c>
      <c r="K51" s="7">
        <f t="shared" si="21"/>
        <v>0</v>
      </c>
      <c r="L51" s="8">
        <f t="shared" si="22"/>
        <v>0</v>
      </c>
      <c r="M51" s="7">
        <f t="shared" si="23"/>
        <v>0</v>
      </c>
    </row>
    <row r="52" spans="1:13" x14ac:dyDescent="0.3">
      <c r="A52" s="7">
        <f t="shared" si="12"/>
        <v>0</v>
      </c>
      <c r="B52" s="8">
        <f t="shared" si="13"/>
        <v>0</v>
      </c>
      <c r="C52" s="7">
        <f t="shared" si="14"/>
        <v>0</v>
      </c>
      <c r="D52" s="8">
        <f t="shared" si="15"/>
        <v>0</v>
      </c>
      <c r="E52" s="7">
        <f t="shared" si="16"/>
        <v>0</v>
      </c>
      <c r="F52" s="8">
        <f t="shared" si="17"/>
        <v>0</v>
      </c>
      <c r="G52" s="9">
        <v>0</v>
      </c>
      <c r="H52" s="8">
        <f t="shared" si="18"/>
        <v>0</v>
      </c>
      <c r="I52" s="7">
        <f t="shared" si="19"/>
        <v>0</v>
      </c>
      <c r="J52" s="8">
        <f t="shared" si="20"/>
        <v>0</v>
      </c>
      <c r="K52" s="7">
        <f t="shared" si="21"/>
        <v>0</v>
      </c>
      <c r="L52" s="8">
        <f t="shared" si="22"/>
        <v>0</v>
      </c>
      <c r="M52" s="7">
        <f t="shared" si="23"/>
        <v>0</v>
      </c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EBB7-7D26-43B3-BEB0-5C7B67FC656B}">
  <dimension ref="A1:G35"/>
  <sheetViews>
    <sheetView topLeftCell="A16" zoomScale="145" zoomScaleNormal="145" workbookViewId="0">
      <selection activeCell="C11" sqref="C11"/>
    </sheetView>
  </sheetViews>
  <sheetFormatPr defaultRowHeight="14" x14ac:dyDescent="0.3"/>
  <cols>
    <col min="1" max="1" width="8.6640625" style="45"/>
    <col min="2" max="2" width="11.08203125" style="45" bestFit="1" customWidth="1"/>
    <col min="3" max="3" width="11.25" style="45" bestFit="1" customWidth="1"/>
    <col min="4" max="4" width="8.6640625" style="45"/>
    <col min="5" max="5" width="10.1640625" style="45" customWidth="1"/>
    <col min="6" max="6" width="9.1640625" style="45" bestFit="1" customWidth="1"/>
    <col min="7" max="7" width="11.1640625" style="45" bestFit="1" customWidth="1"/>
    <col min="8" max="16384" width="8.6640625" style="45"/>
  </cols>
  <sheetData>
    <row r="1" spans="1:7" s="1" customFormat="1" x14ac:dyDescent="0.3">
      <c r="A1" s="211" t="s">
        <v>115</v>
      </c>
      <c r="B1" s="24"/>
      <c r="C1" s="24" t="s">
        <v>115</v>
      </c>
      <c r="D1" s="24" t="s">
        <v>114</v>
      </c>
      <c r="E1" s="24" t="s">
        <v>113</v>
      </c>
      <c r="F1" s="24" t="s">
        <v>55</v>
      </c>
      <c r="G1" s="24" t="s">
        <v>112</v>
      </c>
    </row>
    <row r="2" spans="1:7" s="1" customFormat="1" x14ac:dyDescent="0.3">
      <c r="A2" s="212"/>
      <c r="B2" s="24" t="s">
        <v>111</v>
      </c>
      <c r="C2" s="24">
        <v>2.6900000000000001E-3</v>
      </c>
      <c r="D2" s="24">
        <v>3.6840000000000002</v>
      </c>
      <c r="E2" s="24">
        <f>C2*D2</f>
        <v>9.9099600000000006E-3</v>
      </c>
      <c r="F2" s="24">
        <v>9.9099599999999999</v>
      </c>
      <c r="G2" s="47">
        <f>E2/F2</f>
        <v>1E-3</v>
      </c>
    </row>
    <row r="3" spans="1:7" s="1" customFormat="1" x14ac:dyDescent="0.3">
      <c r="A3" s="212"/>
      <c r="B3" s="24" t="s">
        <v>110</v>
      </c>
      <c r="C3" s="24">
        <v>9.9180299999999996E-3</v>
      </c>
      <c r="D3" s="24">
        <v>1</v>
      </c>
      <c r="E3" s="24">
        <f>C3*D3</f>
        <v>9.9180299999999996E-3</v>
      </c>
      <c r="F3" s="24">
        <v>9.9180299999999999</v>
      </c>
      <c r="G3" s="47">
        <f>E3/F3</f>
        <v>1E-3</v>
      </c>
    </row>
    <row r="4" spans="1:7" s="1" customFormat="1" x14ac:dyDescent="0.3">
      <c r="A4" s="212"/>
      <c r="B4" s="24"/>
      <c r="C4" s="24"/>
      <c r="D4" s="24"/>
      <c r="E4" s="24">
        <f>SUM(E2:E3)</f>
        <v>1.982799E-2</v>
      </c>
      <c r="F4" s="24">
        <f>SUM(F2:F3)</f>
        <v>19.82799</v>
      </c>
      <c r="G4" s="47">
        <f>E4/F4</f>
        <v>1E-3</v>
      </c>
    </row>
    <row r="5" spans="1:7" s="1" customFormat="1" x14ac:dyDescent="0.3">
      <c r="A5" s="212"/>
      <c r="B5" s="24"/>
      <c r="C5" s="213" t="s">
        <v>109</v>
      </c>
      <c r="D5" s="214"/>
      <c r="E5" s="24"/>
      <c r="F5" s="24">
        <f>F3-F2</f>
        <v>8.0700000000000216E-3</v>
      </c>
      <c r="G5" s="47">
        <f>E4/F4</f>
        <v>1E-3</v>
      </c>
    </row>
    <row r="6" spans="1:7" x14ac:dyDescent="0.3">
      <c r="G6" s="1"/>
    </row>
    <row r="7" spans="1:7" ht="28.5" customHeight="1" x14ac:dyDescent="0.3">
      <c r="A7" s="215" t="s">
        <v>108</v>
      </c>
      <c r="B7" s="175" t="s">
        <v>107</v>
      </c>
      <c r="C7" s="164"/>
      <c r="D7" s="164" t="s">
        <v>106</v>
      </c>
      <c r="E7" s="164"/>
      <c r="F7" s="164"/>
    </row>
    <row r="8" spans="1:7" ht="29.5" customHeight="1" x14ac:dyDescent="0.3">
      <c r="A8" s="216"/>
      <c r="B8" s="175" t="s">
        <v>105</v>
      </c>
      <c r="C8" s="164"/>
      <c r="D8" s="164" t="s">
        <v>104</v>
      </c>
      <c r="E8" s="164"/>
      <c r="F8" s="164"/>
    </row>
    <row r="9" spans="1:7" x14ac:dyDescent="0.3">
      <c r="A9" s="46"/>
      <c r="B9" s="164"/>
      <c r="C9" s="164"/>
      <c r="D9" s="164"/>
      <c r="E9" s="164"/>
      <c r="F9" s="164"/>
    </row>
    <row r="13" spans="1:7" x14ac:dyDescent="0.3">
      <c r="A13" s="210" t="s">
        <v>239</v>
      </c>
      <c r="B13" s="60"/>
      <c r="C13" s="24" t="s">
        <v>228</v>
      </c>
      <c r="D13" s="24" t="s">
        <v>229</v>
      </c>
      <c r="E13" s="24" t="s">
        <v>230</v>
      </c>
    </row>
    <row r="14" spans="1:7" x14ac:dyDescent="0.3">
      <c r="A14" s="167"/>
      <c r="B14" s="60"/>
      <c r="C14" s="24">
        <v>21</v>
      </c>
      <c r="D14" s="24">
        <v>15</v>
      </c>
      <c r="E14" s="24">
        <f>C14*D14</f>
        <v>315</v>
      </c>
    </row>
    <row r="15" spans="1:7" x14ac:dyDescent="0.3">
      <c r="A15" s="167"/>
      <c r="B15" s="1"/>
      <c r="C15" s="1"/>
      <c r="D15" s="1"/>
      <c r="E15" s="1"/>
    </row>
    <row r="16" spans="1:7" x14ac:dyDescent="0.3">
      <c r="A16" s="167"/>
      <c r="B16" s="60"/>
      <c r="C16" s="24" t="s">
        <v>231</v>
      </c>
      <c r="D16" s="24" t="s">
        <v>232</v>
      </c>
      <c r="E16" s="24" t="s">
        <v>233</v>
      </c>
    </row>
    <row r="17" spans="1:7" x14ac:dyDescent="0.3">
      <c r="A17" s="167"/>
      <c r="B17" s="60" t="s">
        <v>234</v>
      </c>
      <c r="C17" s="24">
        <v>55</v>
      </c>
      <c r="D17" s="24">
        <v>1.6396999999999999</v>
      </c>
      <c r="E17" s="24">
        <f>C17*D17</f>
        <v>90.183499999999995</v>
      </c>
    </row>
    <row r="18" spans="1:7" x14ac:dyDescent="0.3">
      <c r="A18" s="167"/>
      <c r="B18" s="60" t="s">
        <v>235</v>
      </c>
      <c r="C18" s="24">
        <v>1E-3</v>
      </c>
      <c r="D18" s="24">
        <v>58133</v>
      </c>
      <c r="E18" s="24">
        <f t="shared" ref="E18:E20" si="0">C18*D18</f>
        <v>58.133000000000003</v>
      </c>
    </row>
    <row r="19" spans="1:7" x14ac:dyDescent="0.3">
      <c r="A19" s="167"/>
      <c r="B19" s="60" t="s">
        <v>236</v>
      </c>
      <c r="C19" s="24">
        <v>3</v>
      </c>
      <c r="D19" s="24">
        <v>1.7137</v>
      </c>
      <c r="E19" s="24">
        <f t="shared" si="0"/>
        <v>5.1410999999999998</v>
      </c>
    </row>
    <row r="20" spans="1:7" x14ac:dyDescent="0.3">
      <c r="A20" s="167"/>
      <c r="B20" s="60" t="s">
        <v>236</v>
      </c>
      <c r="C20" s="24">
        <v>4</v>
      </c>
      <c r="D20" s="24">
        <v>1.677</v>
      </c>
      <c r="E20" s="24">
        <f t="shared" si="0"/>
        <v>6.7080000000000002</v>
      </c>
    </row>
    <row r="21" spans="1:7" x14ac:dyDescent="0.3">
      <c r="A21" s="167"/>
      <c r="B21" s="60"/>
      <c r="C21" s="24"/>
      <c r="D21" s="24" t="s">
        <v>237</v>
      </c>
      <c r="E21" s="24">
        <f>SUM(E17:E20)</f>
        <v>160.16559999999998</v>
      </c>
    </row>
    <row r="22" spans="1:7" x14ac:dyDescent="0.3">
      <c r="A22" s="167"/>
      <c r="B22" s="1"/>
      <c r="C22" s="1"/>
      <c r="D22" s="1"/>
      <c r="E22" s="1"/>
    </row>
    <row r="23" spans="1:7" x14ac:dyDescent="0.3">
      <c r="A23" s="167"/>
      <c r="B23" s="60"/>
      <c r="C23" s="24" t="s">
        <v>231</v>
      </c>
      <c r="D23" s="24" t="s">
        <v>232</v>
      </c>
      <c r="E23" s="24" t="s">
        <v>233</v>
      </c>
    </row>
    <row r="24" spans="1:7" x14ac:dyDescent="0.3">
      <c r="A24" s="167"/>
      <c r="B24" s="60" t="s">
        <v>234</v>
      </c>
      <c r="C24" s="24">
        <v>62</v>
      </c>
      <c r="D24" s="24">
        <v>1.7236</v>
      </c>
      <c r="E24" s="24">
        <f>C24*D24</f>
        <v>106.86320000000001</v>
      </c>
    </row>
    <row r="25" spans="1:7" x14ac:dyDescent="0.3">
      <c r="A25" s="167"/>
      <c r="B25" s="60" t="s">
        <v>235</v>
      </c>
      <c r="C25" s="24">
        <v>1E-3</v>
      </c>
      <c r="D25" s="24">
        <v>58681.3</v>
      </c>
      <c r="E25" s="24">
        <f>C25*D25</f>
        <v>58.681300000000007</v>
      </c>
    </row>
    <row r="26" spans="1:7" x14ac:dyDescent="0.3">
      <c r="A26" s="167"/>
      <c r="B26" s="60"/>
      <c r="C26" s="24"/>
      <c r="D26" s="24" t="s">
        <v>238</v>
      </c>
      <c r="E26" s="24">
        <f>SUM(E24:E25)</f>
        <v>165.54450000000003</v>
      </c>
    </row>
    <row r="30" spans="1:7" customFormat="1" x14ac:dyDescent="0.3">
      <c r="A30" s="209" t="s">
        <v>266</v>
      </c>
      <c r="B30" s="209"/>
      <c r="C30" s="209"/>
      <c r="D30" s="209"/>
      <c r="E30" s="209"/>
      <c r="F30" s="209"/>
      <c r="G30" s="209"/>
    </row>
    <row r="31" spans="1:7" s="1" customFormat="1" x14ac:dyDescent="0.3">
      <c r="A31" s="24"/>
      <c r="B31" s="38" t="s">
        <v>229</v>
      </c>
      <c r="C31" s="38" t="s">
        <v>267</v>
      </c>
      <c r="D31" s="12" t="s">
        <v>229</v>
      </c>
      <c r="E31" s="12" t="s">
        <v>267</v>
      </c>
      <c r="F31" s="148" t="s">
        <v>229</v>
      </c>
      <c r="G31" s="148" t="s">
        <v>267</v>
      </c>
    </row>
    <row r="32" spans="1:7" s="1" customFormat="1" x14ac:dyDescent="0.3">
      <c r="A32" s="24" t="s">
        <v>268</v>
      </c>
      <c r="B32" s="38">
        <v>15</v>
      </c>
      <c r="C32" s="38">
        <v>25</v>
      </c>
      <c r="D32" s="12">
        <v>20</v>
      </c>
      <c r="E32" s="12">
        <v>40</v>
      </c>
      <c r="F32" s="148">
        <v>25</v>
      </c>
      <c r="G32" s="148">
        <v>42</v>
      </c>
    </row>
    <row r="33" spans="1:7" s="1" customFormat="1" x14ac:dyDescent="0.3">
      <c r="A33" s="24" t="s">
        <v>269</v>
      </c>
      <c r="B33" s="38">
        <v>15</v>
      </c>
      <c r="C33" s="38">
        <v>23</v>
      </c>
      <c r="D33" s="12">
        <v>20</v>
      </c>
      <c r="E33" s="12">
        <v>34</v>
      </c>
      <c r="F33" s="148">
        <v>25</v>
      </c>
      <c r="G33" s="148">
        <v>40</v>
      </c>
    </row>
    <row r="34" spans="1:7" s="1" customFormat="1" x14ac:dyDescent="0.3">
      <c r="A34" s="24" t="s">
        <v>255</v>
      </c>
      <c r="B34" s="38">
        <v>15</v>
      </c>
      <c r="C34" s="38">
        <v>18</v>
      </c>
      <c r="D34" s="12">
        <v>20</v>
      </c>
      <c r="E34" s="12">
        <v>35</v>
      </c>
      <c r="F34" s="148">
        <v>25</v>
      </c>
      <c r="G34" s="148">
        <v>41</v>
      </c>
    </row>
    <row r="35" spans="1:7" s="1" customFormat="1" x14ac:dyDescent="0.3">
      <c r="A35" s="24" t="s">
        <v>270</v>
      </c>
      <c r="B35" s="38">
        <v>15</v>
      </c>
      <c r="C35" s="38">
        <v>3</v>
      </c>
      <c r="D35" s="12">
        <v>20</v>
      </c>
      <c r="E35" s="12">
        <v>32</v>
      </c>
      <c r="F35" s="148">
        <v>25</v>
      </c>
      <c r="G35" s="148">
        <v>33</v>
      </c>
    </row>
  </sheetData>
  <mergeCells count="11">
    <mergeCell ref="A30:G30"/>
    <mergeCell ref="A13:A26"/>
    <mergeCell ref="B9:C9"/>
    <mergeCell ref="D9:F9"/>
    <mergeCell ref="A1:A5"/>
    <mergeCell ref="C5:D5"/>
    <mergeCell ref="B7:C7"/>
    <mergeCell ref="B8:C8"/>
    <mergeCell ref="D7:F7"/>
    <mergeCell ref="D8:F8"/>
    <mergeCell ref="A7:A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769B-ADA0-4E7D-85E9-9A1C4AADD409}">
  <dimension ref="A1:O30"/>
  <sheetViews>
    <sheetView zoomScale="130" zoomScaleNormal="130" workbookViewId="0">
      <pane xSplit="2" ySplit="1" topLeftCell="C11" activePane="bottomRight" state="frozen"/>
      <selection activeCell="C5" sqref="C5"/>
      <selection pane="topRight" activeCell="C5" sqref="C5"/>
      <selection pane="bottomLeft" activeCell="C5" sqref="C5"/>
      <selection pane="bottomRight" activeCell="B25" sqref="B25"/>
    </sheetView>
  </sheetViews>
  <sheetFormatPr defaultRowHeight="14" x14ac:dyDescent="0.3"/>
  <cols>
    <col min="1" max="1" width="4.83203125" style="1" bestFit="1" customWidth="1"/>
    <col min="2" max="4" width="8.6640625" style="1"/>
    <col min="5" max="8" width="9.5" style="1" bestFit="1" customWidth="1"/>
    <col min="9" max="11" width="8.6640625" style="1"/>
    <col min="12" max="14" width="6.1640625" style="1" bestFit="1" customWidth="1"/>
    <col min="15" max="15" width="10.4140625" style="1" bestFit="1" customWidth="1"/>
    <col min="16" max="16384" width="8.6640625" style="1"/>
  </cols>
  <sheetData>
    <row r="1" spans="1:15" ht="28" x14ac:dyDescent="0.3">
      <c r="A1" s="3"/>
      <c r="B1" s="3" t="s">
        <v>47</v>
      </c>
      <c r="C1" s="61" t="s">
        <v>131</v>
      </c>
      <c r="D1" s="62" t="s">
        <v>132</v>
      </c>
      <c r="E1" s="63" t="s">
        <v>180</v>
      </c>
      <c r="F1" s="63" t="s">
        <v>179</v>
      </c>
      <c r="G1" s="64" t="s">
        <v>178</v>
      </c>
      <c r="H1" s="64" t="s">
        <v>177</v>
      </c>
      <c r="I1" s="63" t="s">
        <v>135</v>
      </c>
      <c r="J1" s="64" t="s">
        <v>136</v>
      </c>
      <c r="K1" s="65" t="s">
        <v>137</v>
      </c>
      <c r="L1" s="3" t="s">
        <v>138</v>
      </c>
      <c r="M1" s="3" t="s">
        <v>138</v>
      </c>
      <c r="N1" s="3" t="s">
        <v>138</v>
      </c>
    </row>
    <row r="2" spans="1:15" x14ac:dyDescent="0.3">
      <c r="A2" s="66" t="s">
        <v>130</v>
      </c>
      <c r="B2" s="67" t="s">
        <v>139</v>
      </c>
      <c r="C2" s="53">
        <f t="shared" ref="C2:N2" si="0">C13*1.1</f>
        <v>3.4771000000000005</v>
      </c>
      <c r="D2" s="53">
        <f t="shared" si="0"/>
        <v>3.4771000000000005</v>
      </c>
      <c r="E2" s="53">
        <f t="shared" si="0"/>
        <v>4.0425000000000004</v>
      </c>
      <c r="F2" s="53">
        <f t="shared" si="0"/>
        <v>3.759525</v>
      </c>
      <c r="G2" s="53">
        <f t="shared" si="0"/>
        <v>3.4903000000000004</v>
      </c>
      <c r="H2" s="53">
        <f t="shared" si="0"/>
        <v>3.6648150000000004</v>
      </c>
      <c r="I2" s="53">
        <f t="shared" si="0"/>
        <v>4.2878000000000007</v>
      </c>
      <c r="J2" s="53">
        <f t="shared" si="0"/>
        <v>4.3615000000000004</v>
      </c>
      <c r="K2" s="53">
        <f t="shared" si="0"/>
        <v>2.3463000000000003</v>
      </c>
      <c r="L2" s="53">
        <f t="shared" si="0"/>
        <v>2.3111000000000002</v>
      </c>
      <c r="M2" s="53">
        <f t="shared" si="0"/>
        <v>2.3473999999999999</v>
      </c>
      <c r="N2" s="53">
        <f t="shared" si="0"/>
        <v>2.3342000000000001</v>
      </c>
    </row>
    <row r="3" spans="1:15" x14ac:dyDescent="0.3">
      <c r="A3" s="66" t="s">
        <v>130</v>
      </c>
      <c r="B3" s="67" t="s">
        <v>140</v>
      </c>
      <c r="C3" s="69">
        <f t="shared" ref="C3:N3" si="1">C13*1.09</f>
        <v>3.4454900000000004</v>
      </c>
      <c r="D3" s="69">
        <f t="shared" si="1"/>
        <v>3.4454900000000004</v>
      </c>
      <c r="E3" s="69">
        <f t="shared" si="1"/>
        <v>4.0057499999999999</v>
      </c>
      <c r="F3" s="69">
        <f t="shared" si="1"/>
        <v>3.7253475000000003</v>
      </c>
      <c r="G3" s="69">
        <f t="shared" si="1"/>
        <v>3.4585700000000004</v>
      </c>
      <c r="H3" s="69">
        <f t="shared" si="1"/>
        <v>3.6314985000000006</v>
      </c>
      <c r="I3" s="69">
        <f t="shared" si="1"/>
        <v>4.2488200000000003</v>
      </c>
      <c r="J3" s="69">
        <f t="shared" si="1"/>
        <v>4.3218500000000004</v>
      </c>
      <c r="K3" s="69">
        <f t="shared" si="1"/>
        <v>2.32497</v>
      </c>
      <c r="L3" s="69">
        <f t="shared" si="1"/>
        <v>2.2900900000000002</v>
      </c>
      <c r="M3" s="69">
        <f t="shared" si="1"/>
        <v>2.32606</v>
      </c>
      <c r="N3" s="69">
        <f t="shared" si="1"/>
        <v>2.31298</v>
      </c>
    </row>
    <row r="4" spans="1:15" x14ac:dyDescent="0.3">
      <c r="A4" s="66" t="s">
        <v>130</v>
      </c>
      <c r="B4" s="67" t="s">
        <v>141</v>
      </c>
      <c r="C4" s="53">
        <f t="shared" ref="C4:N4" si="2">C13*1.08</f>
        <v>3.4138800000000002</v>
      </c>
      <c r="D4" s="53">
        <f t="shared" si="2"/>
        <v>3.4138800000000002</v>
      </c>
      <c r="E4" s="53">
        <f t="shared" si="2"/>
        <v>3.9689999999999999</v>
      </c>
      <c r="F4" s="53">
        <f t="shared" si="2"/>
        <v>3.6911700000000001</v>
      </c>
      <c r="G4" s="53">
        <f t="shared" si="2"/>
        <v>3.4268400000000003</v>
      </c>
      <c r="H4" s="53">
        <f t="shared" si="2"/>
        <v>3.5981820000000004</v>
      </c>
      <c r="I4" s="53">
        <f t="shared" si="2"/>
        <v>4.2098400000000007</v>
      </c>
      <c r="J4" s="53">
        <f t="shared" si="2"/>
        <v>4.2822000000000005</v>
      </c>
      <c r="K4" s="53">
        <f t="shared" si="2"/>
        <v>2.3036400000000001</v>
      </c>
      <c r="L4" s="53">
        <f t="shared" si="2"/>
        <v>2.2690800000000002</v>
      </c>
      <c r="M4" s="53">
        <f t="shared" si="2"/>
        <v>2.3047200000000001</v>
      </c>
      <c r="N4" s="53">
        <f t="shared" si="2"/>
        <v>2.29176</v>
      </c>
    </row>
    <row r="5" spans="1:15" x14ac:dyDescent="0.3">
      <c r="A5" s="66" t="s">
        <v>130</v>
      </c>
      <c r="B5" s="67" t="s">
        <v>142</v>
      </c>
      <c r="C5" s="69">
        <f t="shared" ref="C5:N5" si="3">C13*1.07</f>
        <v>3.3822700000000001</v>
      </c>
      <c r="D5" s="69">
        <f t="shared" si="3"/>
        <v>3.3822700000000001</v>
      </c>
      <c r="E5" s="69">
        <f t="shared" si="3"/>
        <v>3.9322500000000002</v>
      </c>
      <c r="F5" s="69">
        <f t="shared" si="3"/>
        <v>3.6569924999999999</v>
      </c>
      <c r="G5" s="69">
        <f t="shared" si="3"/>
        <v>3.3951100000000003</v>
      </c>
      <c r="H5" s="69">
        <f t="shared" si="3"/>
        <v>3.5648655000000002</v>
      </c>
      <c r="I5" s="69">
        <f t="shared" si="3"/>
        <v>4.1708600000000002</v>
      </c>
      <c r="J5" s="69">
        <f t="shared" si="3"/>
        <v>4.2425500000000005</v>
      </c>
      <c r="K5" s="69">
        <f t="shared" si="3"/>
        <v>2.2823100000000003</v>
      </c>
      <c r="L5" s="69">
        <f t="shared" si="3"/>
        <v>2.2480700000000002</v>
      </c>
      <c r="M5" s="69">
        <f t="shared" si="3"/>
        <v>2.2833800000000002</v>
      </c>
      <c r="N5" s="69">
        <f t="shared" si="3"/>
        <v>2.27054</v>
      </c>
    </row>
    <row r="6" spans="1:15" x14ac:dyDescent="0.3">
      <c r="A6" s="66" t="s">
        <v>130</v>
      </c>
      <c r="B6" s="67" t="s">
        <v>143</v>
      </c>
      <c r="C6" s="53">
        <f t="shared" ref="C6:N6" si="4">C13*1.06</f>
        <v>3.3506600000000004</v>
      </c>
      <c r="D6" s="53">
        <f t="shared" si="4"/>
        <v>3.3506600000000004</v>
      </c>
      <c r="E6" s="53">
        <f t="shared" si="4"/>
        <v>3.8955000000000002</v>
      </c>
      <c r="F6" s="53">
        <f t="shared" si="4"/>
        <v>3.6228150000000001</v>
      </c>
      <c r="G6" s="53">
        <f t="shared" si="4"/>
        <v>3.3633800000000003</v>
      </c>
      <c r="H6" s="53">
        <f t="shared" si="4"/>
        <v>3.5315490000000005</v>
      </c>
      <c r="I6" s="53">
        <f t="shared" si="4"/>
        <v>4.1318800000000007</v>
      </c>
      <c r="J6" s="53">
        <f t="shared" si="4"/>
        <v>4.2028999999999996</v>
      </c>
      <c r="K6" s="53">
        <f t="shared" si="4"/>
        <v>2.26098</v>
      </c>
      <c r="L6" s="53">
        <f t="shared" si="4"/>
        <v>2.2270600000000003</v>
      </c>
      <c r="M6" s="53">
        <f t="shared" si="4"/>
        <v>2.2620399999999998</v>
      </c>
      <c r="N6" s="53">
        <f t="shared" si="4"/>
        <v>2.24932</v>
      </c>
    </row>
    <row r="7" spans="1:15" x14ac:dyDescent="0.3">
      <c r="A7" s="66" t="s">
        <v>130</v>
      </c>
      <c r="B7" s="67" t="s">
        <v>129</v>
      </c>
      <c r="C7" s="69">
        <f t="shared" ref="C7:N7" si="5">C13*1.05</f>
        <v>3.3190500000000003</v>
      </c>
      <c r="D7" s="69">
        <f t="shared" si="5"/>
        <v>3.3190500000000003</v>
      </c>
      <c r="E7" s="69">
        <f t="shared" si="5"/>
        <v>3.8587500000000001</v>
      </c>
      <c r="F7" s="69">
        <f t="shared" si="5"/>
        <v>3.5886374999999999</v>
      </c>
      <c r="G7" s="70">
        <f t="shared" si="5"/>
        <v>3.3316500000000002</v>
      </c>
      <c r="H7" s="69">
        <f t="shared" si="5"/>
        <v>3.4982325000000003</v>
      </c>
      <c r="I7" s="69">
        <f t="shared" si="5"/>
        <v>4.0929000000000002</v>
      </c>
      <c r="J7" s="88">
        <f t="shared" si="5"/>
        <v>4.1632499999999997</v>
      </c>
      <c r="K7" s="69">
        <f t="shared" si="5"/>
        <v>2.2396500000000001</v>
      </c>
      <c r="L7" s="69">
        <f t="shared" si="5"/>
        <v>2.2060500000000003</v>
      </c>
      <c r="M7" s="69">
        <f t="shared" si="5"/>
        <v>2.2406999999999999</v>
      </c>
      <c r="N7" s="69">
        <f t="shared" si="5"/>
        <v>2.2281</v>
      </c>
    </row>
    <row r="8" spans="1:15" x14ac:dyDescent="0.3">
      <c r="A8" s="66" t="s">
        <v>130</v>
      </c>
      <c r="B8" s="67" t="s">
        <v>127</v>
      </c>
      <c r="C8" s="53">
        <f t="shared" ref="C8:N8" si="6">C13*1.04</f>
        <v>3.2874400000000001</v>
      </c>
      <c r="D8" s="53">
        <f t="shared" si="6"/>
        <v>3.2874400000000001</v>
      </c>
      <c r="E8" s="53">
        <f t="shared" si="6"/>
        <v>3.8220000000000001</v>
      </c>
      <c r="F8" s="53">
        <f t="shared" si="6"/>
        <v>3.5544600000000002</v>
      </c>
      <c r="G8" s="53">
        <f t="shared" si="6"/>
        <v>3.2999200000000002</v>
      </c>
      <c r="H8" s="53">
        <f t="shared" si="6"/>
        <v>3.4649160000000006</v>
      </c>
      <c r="I8" s="53">
        <f t="shared" si="6"/>
        <v>4.0539200000000006</v>
      </c>
      <c r="J8" s="53">
        <f t="shared" si="6"/>
        <v>4.1235999999999997</v>
      </c>
      <c r="K8" s="53">
        <f t="shared" si="6"/>
        <v>2.2183200000000003</v>
      </c>
      <c r="L8" s="53">
        <f t="shared" si="6"/>
        <v>2.1850399999999999</v>
      </c>
      <c r="M8" s="53">
        <f t="shared" si="6"/>
        <v>2.21936</v>
      </c>
      <c r="N8" s="53">
        <f t="shared" si="6"/>
        <v>2.20688</v>
      </c>
    </row>
    <row r="9" spans="1:15" x14ac:dyDescent="0.3">
      <c r="A9" s="32"/>
      <c r="B9" s="67" t="s">
        <v>125</v>
      </c>
      <c r="C9" s="69">
        <f t="shared" ref="C9:N9" si="7">C13*1.03</f>
        <v>3.25583</v>
      </c>
      <c r="D9" s="69">
        <f t="shared" si="7"/>
        <v>3.25583</v>
      </c>
      <c r="E9" s="69">
        <f t="shared" si="7"/>
        <v>3.78525</v>
      </c>
      <c r="F9" s="69">
        <f t="shared" si="7"/>
        <v>3.5202825</v>
      </c>
      <c r="G9" s="69">
        <f t="shared" si="7"/>
        <v>3.2681900000000002</v>
      </c>
      <c r="H9" s="70">
        <f t="shared" si="7"/>
        <v>3.4315995000000004</v>
      </c>
      <c r="I9" s="69">
        <f t="shared" si="7"/>
        <v>4.0149400000000002</v>
      </c>
      <c r="J9" s="69">
        <f t="shared" si="7"/>
        <v>4.0839499999999997</v>
      </c>
      <c r="K9" s="69">
        <f t="shared" si="7"/>
        <v>2.19699</v>
      </c>
      <c r="L9" s="69">
        <f t="shared" si="7"/>
        <v>2.1640299999999999</v>
      </c>
      <c r="M9" s="69">
        <f t="shared" si="7"/>
        <v>2.1980200000000001</v>
      </c>
      <c r="N9" s="69">
        <f t="shared" si="7"/>
        <v>2.1856599999999999</v>
      </c>
    </row>
    <row r="10" spans="1:15" x14ac:dyDescent="0.3">
      <c r="A10" s="32"/>
      <c r="B10" s="67" t="s">
        <v>122</v>
      </c>
      <c r="C10" s="53">
        <f t="shared" ref="C10:N10" si="8">C13*1.02</f>
        <v>3.2242200000000003</v>
      </c>
      <c r="D10" s="53">
        <f t="shared" si="8"/>
        <v>3.2242200000000003</v>
      </c>
      <c r="E10" s="53">
        <f t="shared" si="8"/>
        <v>3.7484999999999999</v>
      </c>
      <c r="F10" s="53">
        <f t="shared" si="8"/>
        <v>3.4861049999999998</v>
      </c>
      <c r="G10" s="53">
        <f t="shared" si="8"/>
        <v>3.2364600000000001</v>
      </c>
      <c r="H10" s="53">
        <f t="shared" si="8"/>
        <v>3.3982830000000002</v>
      </c>
      <c r="I10" s="53">
        <f t="shared" si="8"/>
        <v>3.9759600000000002</v>
      </c>
      <c r="J10" s="53">
        <f t="shared" si="8"/>
        <v>4.0442999999999998</v>
      </c>
      <c r="K10" s="53">
        <f t="shared" si="8"/>
        <v>2.1756600000000001</v>
      </c>
      <c r="L10" s="53">
        <f t="shared" si="8"/>
        <v>2.1430199999999999</v>
      </c>
      <c r="M10" s="53">
        <f t="shared" si="8"/>
        <v>2.1766799999999997</v>
      </c>
      <c r="N10" s="53">
        <f t="shared" si="8"/>
        <v>2.1644399999999999</v>
      </c>
    </row>
    <row r="11" spans="1:15" x14ac:dyDescent="0.3">
      <c r="A11" s="72" t="s">
        <v>128</v>
      </c>
      <c r="B11" s="67" t="s">
        <v>120</v>
      </c>
      <c r="C11" s="104">
        <f t="shared" ref="C11:N11" si="9">C13*1.01</f>
        <v>3.1926100000000002</v>
      </c>
      <c r="D11" s="104">
        <f t="shared" si="9"/>
        <v>3.1926100000000002</v>
      </c>
      <c r="E11" s="104">
        <f t="shared" si="9"/>
        <v>3.7117499999999999</v>
      </c>
      <c r="F11" s="104">
        <f t="shared" si="9"/>
        <v>3.4519275</v>
      </c>
      <c r="G11" s="104">
        <f t="shared" si="9"/>
        <v>3.2047300000000001</v>
      </c>
      <c r="H11" s="104">
        <f t="shared" si="9"/>
        <v>3.3649665000000004</v>
      </c>
      <c r="I11" s="104">
        <f t="shared" si="9"/>
        <v>3.9369800000000001</v>
      </c>
      <c r="J11" s="104">
        <f t="shared" si="9"/>
        <v>4.0046499999999998</v>
      </c>
      <c r="K11" s="104">
        <f t="shared" si="9"/>
        <v>2.1543299999999999</v>
      </c>
      <c r="L11" s="104">
        <f t="shared" si="9"/>
        <v>2.12201</v>
      </c>
      <c r="M11" s="104">
        <f t="shared" si="9"/>
        <v>2.1553399999999998</v>
      </c>
      <c r="N11" s="104">
        <f t="shared" si="9"/>
        <v>2.1432199999999999</v>
      </c>
      <c r="O11" s="74" t="s">
        <v>176</v>
      </c>
    </row>
    <row r="12" spans="1:15" x14ac:dyDescent="0.3">
      <c r="A12" s="76"/>
      <c r="B12" s="67" t="s">
        <v>0</v>
      </c>
      <c r="C12" s="8">
        <f t="shared" ref="C12:N12" si="10">C13*1.005</f>
        <v>3.1768049999999999</v>
      </c>
      <c r="D12" s="8">
        <f t="shared" si="10"/>
        <v>3.1768049999999999</v>
      </c>
      <c r="E12" s="8">
        <f t="shared" si="10"/>
        <v>3.6933749999999996</v>
      </c>
      <c r="F12" s="8">
        <f t="shared" si="10"/>
        <v>3.4348387499999995</v>
      </c>
      <c r="G12" s="8">
        <f t="shared" si="10"/>
        <v>3.1888649999999998</v>
      </c>
      <c r="H12" s="8">
        <f t="shared" si="10"/>
        <v>3.3483082499999997</v>
      </c>
      <c r="I12" s="8">
        <f t="shared" si="10"/>
        <v>3.9174899999999999</v>
      </c>
      <c r="J12" s="8">
        <f t="shared" si="10"/>
        <v>3.9848249999999994</v>
      </c>
      <c r="K12" s="8">
        <f t="shared" si="10"/>
        <v>2.1436649999999999</v>
      </c>
      <c r="L12" s="8">
        <f t="shared" si="10"/>
        <v>2.1115049999999997</v>
      </c>
      <c r="M12" s="8">
        <f t="shared" si="10"/>
        <v>2.1446699999999996</v>
      </c>
      <c r="N12" s="8">
        <f t="shared" si="10"/>
        <v>2.1326099999999997</v>
      </c>
      <c r="O12" s="75">
        <v>48</v>
      </c>
    </row>
    <row r="13" spans="1:15" x14ac:dyDescent="0.3">
      <c r="A13" s="77" t="s">
        <v>146</v>
      </c>
      <c r="B13" s="77">
        <v>0</v>
      </c>
      <c r="C13" s="78">
        <v>3.161</v>
      </c>
      <c r="D13" s="79">
        <v>3.161</v>
      </c>
      <c r="E13" s="63">
        <v>3.6749999999999998</v>
      </c>
      <c r="F13" s="88">
        <f>E21</f>
        <v>3.4177499999999998</v>
      </c>
      <c r="G13" s="64">
        <v>3.173</v>
      </c>
      <c r="H13" s="70">
        <f>G7</f>
        <v>3.3316500000000002</v>
      </c>
      <c r="I13" s="106">
        <v>3.8980000000000001</v>
      </c>
      <c r="J13" s="105">
        <v>3.9649999999999999</v>
      </c>
      <c r="K13" s="81">
        <v>2.133</v>
      </c>
      <c r="L13" s="82">
        <v>2.101</v>
      </c>
      <c r="M13" s="83">
        <v>2.1339999999999999</v>
      </c>
      <c r="N13" s="83">
        <v>2.1219999999999999</v>
      </c>
      <c r="O13" s="84" t="s">
        <v>147</v>
      </c>
    </row>
    <row r="14" spans="1:15" x14ac:dyDescent="0.3">
      <c r="A14" s="32"/>
      <c r="B14" s="85" t="s">
        <v>1</v>
      </c>
      <c r="C14" s="8">
        <f t="shared" ref="C14:N14" si="11">C13*0.995</f>
        <v>3.1451950000000002</v>
      </c>
      <c r="D14" s="8">
        <f t="shared" si="11"/>
        <v>3.1451950000000002</v>
      </c>
      <c r="E14" s="8">
        <f t="shared" si="11"/>
        <v>3.656625</v>
      </c>
      <c r="F14" s="8">
        <f t="shared" si="11"/>
        <v>3.4006612499999997</v>
      </c>
      <c r="G14" s="8">
        <f t="shared" si="11"/>
        <v>3.1571350000000002</v>
      </c>
      <c r="H14" s="8">
        <f t="shared" si="11"/>
        <v>3.3149917500000003</v>
      </c>
      <c r="I14" s="8">
        <f t="shared" si="11"/>
        <v>3.8785099999999999</v>
      </c>
      <c r="J14" s="8">
        <f t="shared" si="11"/>
        <v>3.9451749999999999</v>
      </c>
      <c r="K14" s="8">
        <f t="shared" si="11"/>
        <v>2.1223350000000001</v>
      </c>
      <c r="L14" s="8">
        <f t="shared" si="11"/>
        <v>2.0904949999999998</v>
      </c>
      <c r="M14" s="8">
        <f t="shared" si="11"/>
        <v>2.1233299999999997</v>
      </c>
      <c r="N14" s="8">
        <f t="shared" si="11"/>
        <v>2.1113899999999997</v>
      </c>
      <c r="O14" s="84">
        <v>20</v>
      </c>
    </row>
    <row r="15" spans="1:15" x14ac:dyDescent="0.3">
      <c r="A15" s="86" t="s">
        <v>126</v>
      </c>
      <c r="B15" s="85" t="s">
        <v>123</v>
      </c>
      <c r="C15" s="104">
        <f t="shared" ref="C15:N15" si="12">C13*0.99</f>
        <v>3.1293899999999999</v>
      </c>
      <c r="D15" s="104">
        <f t="shared" si="12"/>
        <v>3.1293899999999999</v>
      </c>
      <c r="E15" s="104">
        <f t="shared" si="12"/>
        <v>3.6382499999999998</v>
      </c>
      <c r="F15" s="104">
        <f t="shared" si="12"/>
        <v>3.3835724999999996</v>
      </c>
      <c r="G15" s="104">
        <f t="shared" si="12"/>
        <v>3.14127</v>
      </c>
      <c r="H15" s="104">
        <f t="shared" si="12"/>
        <v>3.2983335</v>
      </c>
      <c r="I15" s="104">
        <f t="shared" si="12"/>
        <v>3.8590200000000001</v>
      </c>
      <c r="J15" s="104">
        <f t="shared" si="12"/>
        <v>3.9253499999999999</v>
      </c>
      <c r="K15" s="104">
        <f t="shared" si="12"/>
        <v>2.1116700000000002</v>
      </c>
      <c r="L15" s="104">
        <f t="shared" si="12"/>
        <v>2.07999</v>
      </c>
      <c r="M15" s="104">
        <f t="shared" si="12"/>
        <v>2.11266</v>
      </c>
      <c r="N15" s="104">
        <f t="shared" si="12"/>
        <v>2.1007799999999999</v>
      </c>
      <c r="O15" s="84" t="s">
        <v>175</v>
      </c>
    </row>
    <row r="16" spans="1:15" x14ac:dyDescent="0.3">
      <c r="A16" s="32"/>
      <c r="B16" s="85" t="s">
        <v>121</v>
      </c>
      <c r="C16" s="53">
        <f t="shared" ref="C16:N16" si="13">C13*0.98</f>
        <v>3.0977799999999998</v>
      </c>
      <c r="D16" s="53">
        <f t="shared" si="13"/>
        <v>3.0977799999999998</v>
      </c>
      <c r="E16" s="53">
        <f t="shared" si="13"/>
        <v>3.6014999999999997</v>
      </c>
      <c r="F16" s="53">
        <f t="shared" si="13"/>
        <v>3.3493949999999999</v>
      </c>
      <c r="G16" s="53">
        <f t="shared" si="13"/>
        <v>3.10954</v>
      </c>
      <c r="H16" s="53">
        <f t="shared" si="13"/>
        <v>3.2650170000000003</v>
      </c>
      <c r="I16" s="53">
        <f t="shared" si="13"/>
        <v>3.8200400000000001</v>
      </c>
      <c r="J16" s="53">
        <f t="shared" si="13"/>
        <v>3.8856999999999999</v>
      </c>
      <c r="K16" s="53">
        <f t="shared" si="13"/>
        <v>2.0903399999999999</v>
      </c>
      <c r="L16" s="53">
        <f t="shared" si="13"/>
        <v>2.05898</v>
      </c>
      <c r="M16" s="53">
        <f t="shared" si="13"/>
        <v>2.0913200000000001</v>
      </c>
      <c r="N16" s="53">
        <f t="shared" si="13"/>
        <v>2.0795599999999999</v>
      </c>
      <c r="O16" s="84" t="s">
        <v>148</v>
      </c>
    </row>
    <row r="17" spans="1:14" x14ac:dyDescent="0.3">
      <c r="A17" s="32"/>
      <c r="B17" s="85" t="s">
        <v>118</v>
      </c>
      <c r="C17" s="69">
        <f t="shared" ref="C17:N17" si="14">C13*0.97</f>
        <v>3.0661700000000001</v>
      </c>
      <c r="D17" s="69">
        <f t="shared" si="14"/>
        <v>3.0661700000000001</v>
      </c>
      <c r="E17" s="69">
        <f t="shared" si="14"/>
        <v>3.5647499999999996</v>
      </c>
      <c r="F17" s="88">
        <f t="shared" si="14"/>
        <v>3.3152174999999997</v>
      </c>
      <c r="G17" s="69">
        <f t="shared" si="14"/>
        <v>3.0778099999999999</v>
      </c>
      <c r="H17" s="69">
        <f t="shared" si="14"/>
        <v>3.2317005000000001</v>
      </c>
      <c r="I17" s="69">
        <f t="shared" si="14"/>
        <v>3.7810600000000001</v>
      </c>
      <c r="J17" s="69">
        <f t="shared" si="14"/>
        <v>3.84605</v>
      </c>
      <c r="K17" s="69">
        <f t="shared" si="14"/>
        <v>2.06901</v>
      </c>
      <c r="L17" s="69">
        <f t="shared" si="14"/>
        <v>2.0379700000000001</v>
      </c>
      <c r="M17" s="69">
        <f t="shared" si="14"/>
        <v>2.0699799999999997</v>
      </c>
      <c r="N17" s="69">
        <f t="shared" si="14"/>
        <v>2.0583399999999998</v>
      </c>
    </row>
    <row r="18" spans="1:14" x14ac:dyDescent="0.3">
      <c r="A18" s="89" t="s">
        <v>116</v>
      </c>
      <c r="B18" s="85" t="s">
        <v>149</v>
      </c>
      <c r="C18" s="53">
        <f t="shared" ref="C18:N18" si="15">C13*0.96</f>
        <v>3.0345599999999999</v>
      </c>
      <c r="D18" s="53">
        <f t="shared" si="15"/>
        <v>3.0345599999999999</v>
      </c>
      <c r="E18" s="53">
        <f t="shared" si="15"/>
        <v>3.5279999999999996</v>
      </c>
      <c r="F18" s="53">
        <f t="shared" si="15"/>
        <v>3.2810399999999995</v>
      </c>
      <c r="G18" s="53">
        <f t="shared" si="15"/>
        <v>3.0460799999999999</v>
      </c>
      <c r="H18" s="53">
        <f t="shared" si="15"/>
        <v>3.1983839999999999</v>
      </c>
      <c r="I18" s="53">
        <f t="shared" si="15"/>
        <v>3.7420800000000001</v>
      </c>
      <c r="J18" s="53">
        <f t="shared" si="15"/>
        <v>3.8063999999999996</v>
      </c>
      <c r="K18" s="53">
        <f t="shared" si="15"/>
        <v>2.0476799999999997</v>
      </c>
      <c r="L18" s="53">
        <f t="shared" si="15"/>
        <v>2.0169600000000001</v>
      </c>
      <c r="M18" s="53">
        <f t="shared" si="15"/>
        <v>2.0486399999999998</v>
      </c>
      <c r="N18" s="53">
        <f t="shared" si="15"/>
        <v>2.0371199999999998</v>
      </c>
    </row>
    <row r="19" spans="1:14" x14ac:dyDescent="0.3">
      <c r="A19" s="89" t="s">
        <v>116</v>
      </c>
      <c r="B19" s="85" t="s">
        <v>150</v>
      </c>
      <c r="C19" s="69">
        <f t="shared" ref="C19:N19" si="16">C13*0.95</f>
        <v>3.0029499999999998</v>
      </c>
      <c r="D19" s="69">
        <f t="shared" si="16"/>
        <v>3.0029499999999998</v>
      </c>
      <c r="E19" s="88">
        <f t="shared" si="16"/>
        <v>3.4912499999999995</v>
      </c>
      <c r="F19" s="69">
        <f t="shared" si="16"/>
        <v>3.2468624999999998</v>
      </c>
      <c r="G19" s="69">
        <f t="shared" si="16"/>
        <v>3.0143499999999999</v>
      </c>
      <c r="H19" s="69">
        <f t="shared" si="16"/>
        <v>3.1650675000000001</v>
      </c>
      <c r="I19" s="88">
        <f t="shared" si="16"/>
        <v>3.7031000000000001</v>
      </c>
      <c r="J19" s="69">
        <f t="shared" si="16"/>
        <v>3.7667499999999996</v>
      </c>
      <c r="K19" s="69">
        <f t="shared" si="16"/>
        <v>2.0263499999999999</v>
      </c>
      <c r="L19" s="69">
        <f t="shared" si="16"/>
        <v>1.9959499999999999</v>
      </c>
      <c r="M19" s="69">
        <f t="shared" si="16"/>
        <v>2.0272999999999999</v>
      </c>
      <c r="N19" s="69">
        <f t="shared" si="16"/>
        <v>2.0158999999999998</v>
      </c>
    </row>
    <row r="20" spans="1:14" x14ac:dyDescent="0.3">
      <c r="A20" s="89" t="s">
        <v>116</v>
      </c>
      <c r="B20" s="85" t="s">
        <v>151</v>
      </c>
      <c r="C20" s="53">
        <f t="shared" ref="C20:N20" si="17">C13*0.94</f>
        <v>2.9713399999999996</v>
      </c>
      <c r="D20" s="53">
        <f t="shared" si="17"/>
        <v>2.9713399999999996</v>
      </c>
      <c r="E20" s="53">
        <f t="shared" si="17"/>
        <v>3.4544999999999995</v>
      </c>
      <c r="F20" s="53">
        <f t="shared" si="17"/>
        <v>3.2126849999999996</v>
      </c>
      <c r="G20" s="53">
        <f t="shared" si="17"/>
        <v>2.9826199999999998</v>
      </c>
      <c r="H20" s="53">
        <f t="shared" si="17"/>
        <v>3.131751</v>
      </c>
      <c r="I20" s="53">
        <f t="shared" si="17"/>
        <v>3.66412</v>
      </c>
      <c r="J20" s="53">
        <f t="shared" si="17"/>
        <v>3.7270999999999996</v>
      </c>
      <c r="K20" s="53">
        <f t="shared" si="17"/>
        <v>2.00502</v>
      </c>
      <c r="L20" s="53">
        <f t="shared" si="17"/>
        <v>1.9749399999999999</v>
      </c>
      <c r="M20" s="53">
        <f t="shared" si="17"/>
        <v>2.00596</v>
      </c>
      <c r="N20" s="53">
        <f t="shared" si="17"/>
        <v>1.9946799999999998</v>
      </c>
    </row>
    <row r="21" spans="1:14" x14ac:dyDescent="0.3">
      <c r="A21" s="89" t="s">
        <v>116</v>
      </c>
      <c r="B21" s="85" t="s">
        <v>152</v>
      </c>
      <c r="C21" s="69">
        <f t="shared" ref="C21:N21" si="18">C13*0.93</f>
        <v>2.9397300000000004</v>
      </c>
      <c r="D21" s="69">
        <f t="shared" si="18"/>
        <v>2.9397300000000004</v>
      </c>
      <c r="E21" s="69">
        <f t="shared" si="18"/>
        <v>3.4177499999999998</v>
      </c>
      <c r="F21" s="69">
        <f t="shared" si="18"/>
        <v>3.1785074999999998</v>
      </c>
      <c r="G21" s="69">
        <f t="shared" si="18"/>
        <v>2.9508900000000002</v>
      </c>
      <c r="H21" s="69">
        <f t="shared" si="18"/>
        <v>3.0984345000000002</v>
      </c>
      <c r="I21" s="69">
        <f t="shared" si="18"/>
        <v>3.6251400000000005</v>
      </c>
      <c r="J21" s="69">
        <f t="shared" si="18"/>
        <v>3.6874500000000001</v>
      </c>
      <c r="K21" s="69">
        <f t="shared" si="18"/>
        <v>1.9836900000000002</v>
      </c>
      <c r="L21" s="69">
        <f t="shared" si="18"/>
        <v>1.9539300000000002</v>
      </c>
      <c r="M21" s="69">
        <f t="shared" si="18"/>
        <v>1.9846200000000001</v>
      </c>
      <c r="N21" s="69">
        <f t="shared" si="18"/>
        <v>1.97346</v>
      </c>
    </row>
    <row r="22" spans="1:14" x14ac:dyDescent="0.3">
      <c r="A22" s="89" t="s">
        <v>116</v>
      </c>
      <c r="B22" s="85" t="s">
        <v>153</v>
      </c>
      <c r="C22" s="53">
        <f t="shared" ref="C22:N22" si="19">C13*0.92</f>
        <v>2.9081200000000003</v>
      </c>
      <c r="D22" s="53">
        <f t="shared" si="19"/>
        <v>2.9081200000000003</v>
      </c>
      <c r="E22" s="53">
        <f t="shared" si="19"/>
        <v>3.3809999999999998</v>
      </c>
      <c r="F22" s="53">
        <f t="shared" si="19"/>
        <v>3.1443300000000001</v>
      </c>
      <c r="G22" s="53">
        <f t="shared" si="19"/>
        <v>2.9191600000000002</v>
      </c>
      <c r="H22" s="53">
        <f t="shared" si="19"/>
        <v>3.0651180000000005</v>
      </c>
      <c r="I22" s="53">
        <f t="shared" si="19"/>
        <v>3.5861600000000005</v>
      </c>
      <c r="J22" s="53">
        <f t="shared" si="19"/>
        <v>3.6478000000000002</v>
      </c>
      <c r="K22" s="53">
        <f t="shared" si="19"/>
        <v>1.9623600000000001</v>
      </c>
      <c r="L22" s="53">
        <f t="shared" si="19"/>
        <v>1.93292</v>
      </c>
      <c r="M22" s="53">
        <f t="shared" si="19"/>
        <v>1.9632799999999999</v>
      </c>
      <c r="N22" s="53">
        <f t="shared" si="19"/>
        <v>1.95224</v>
      </c>
    </row>
    <row r="23" spans="1:14" x14ac:dyDescent="0.3">
      <c r="A23" s="89" t="s">
        <v>116</v>
      </c>
      <c r="B23" s="85" t="s">
        <v>154</v>
      </c>
      <c r="C23" s="69">
        <f t="shared" ref="C23:N23" si="20">C13*0.91</f>
        <v>2.8765100000000001</v>
      </c>
      <c r="D23" s="69">
        <f t="shared" si="20"/>
        <v>2.8765100000000001</v>
      </c>
      <c r="E23" s="69">
        <f t="shared" si="20"/>
        <v>3.3442500000000002</v>
      </c>
      <c r="F23" s="69">
        <f t="shared" si="20"/>
        <v>3.1101524999999999</v>
      </c>
      <c r="G23" s="69">
        <f t="shared" si="20"/>
        <v>2.8874300000000002</v>
      </c>
      <c r="H23" s="69">
        <f t="shared" si="20"/>
        <v>3.0318015000000003</v>
      </c>
      <c r="I23" s="69">
        <f t="shared" si="20"/>
        <v>3.5471800000000004</v>
      </c>
      <c r="J23" s="69">
        <f t="shared" si="20"/>
        <v>3.6081500000000002</v>
      </c>
      <c r="K23" s="69">
        <f t="shared" si="20"/>
        <v>1.94103</v>
      </c>
      <c r="L23" s="69">
        <f t="shared" si="20"/>
        <v>1.91191</v>
      </c>
      <c r="M23" s="69">
        <f t="shared" si="20"/>
        <v>1.94194</v>
      </c>
      <c r="N23" s="69">
        <f t="shared" si="20"/>
        <v>1.93102</v>
      </c>
    </row>
    <row r="24" spans="1:14" x14ac:dyDescent="0.3">
      <c r="A24" s="89" t="s">
        <v>116</v>
      </c>
      <c r="B24" s="85" t="s">
        <v>155</v>
      </c>
      <c r="C24" s="53">
        <f t="shared" ref="C24:N24" si="21">C13*0.9</f>
        <v>2.8449</v>
      </c>
      <c r="D24" s="53">
        <f t="shared" si="21"/>
        <v>2.8449</v>
      </c>
      <c r="E24" s="53">
        <f t="shared" si="21"/>
        <v>3.3075000000000001</v>
      </c>
      <c r="F24" s="53">
        <f t="shared" si="21"/>
        <v>3.0759750000000001</v>
      </c>
      <c r="G24" s="53">
        <f t="shared" si="21"/>
        <v>2.8557000000000001</v>
      </c>
      <c r="H24" s="53">
        <f t="shared" si="21"/>
        <v>2.9984850000000001</v>
      </c>
      <c r="I24" s="53">
        <f t="shared" si="21"/>
        <v>3.5082</v>
      </c>
      <c r="J24" s="53">
        <f t="shared" si="21"/>
        <v>3.5684999999999998</v>
      </c>
      <c r="K24" s="53">
        <f t="shared" si="21"/>
        <v>1.9197</v>
      </c>
      <c r="L24" s="53">
        <f t="shared" si="21"/>
        <v>1.8909</v>
      </c>
      <c r="M24" s="53">
        <f t="shared" si="21"/>
        <v>1.9205999999999999</v>
      </c>
      <c r="N24" s="53">
        <f t="shared" si="21"/>
        <v>1.9097999999999999</v>
      </c>
    </row>
    <row r="28" spans="1:14" ht="120.5" customHeight="1" x14ac:dyDescent="0.3">
      <c r="C28" s="190" t="s">
        <v>156</v>
      </c>
      <c r="D28" s="191"/>
      <c r="E28" s="191"/>
      <c r="F28" s="191"/>
      <c r="G28" s="191"/>
      <c r="H28" s="191"/>
      <c r="I28" s="191"/>
      <c r="J28" s="91"/>
      <c r="K28" s="192"/>
      <c r="L28" s="192"/>
      <c r="M28" s="192"/>
      <c r="N28" s="192"/>
    </row>
    <row r="29" spans="1:14" ht="122.5" customHeight="1" x14ac:dyDescent="0.3">
      <c r="C29" s="193" t="s">
        <v>157</v>
      </c>
      <c r="D29" s="194"/>
      <c r="E29" s="194"/>
      <c r="F29" s="194"/>
      <c r="G29" s="194"/>
      <c r="H29" s="194"/>
      <c r="I29" s="194"/>
      <c r="J29" s="65"/>
      <c r="K29" s="164"/>
      <c r="L29" s="164"/>
      <c r="M29" s="164"/>
      <c r="N29" s="164"/>
    </row>
    <row r="30" spans="1:14" ht="13.5" customHeight="1" x14ac:dyDescent="0.3"/>
  </sheetData>
  <mergeCells count="4">
    <mergeCell ref="C28:I28"/>
    <mergeCell ref="K28:N28"/>
    <mergeCell ref="C29:I29"/>
    <mergeCell ref="K29:N29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727D-D3E2-4B24-A228-E401A15A8B33}">
  <dimension ref="A1:G14"/>
  <sheetViews>
    <sheetView topLeftCell="A4" zoomScale="145" zoomScaleNormal="145" workbookViewId="0">
      <selection activeCell="C5" sqref="C5"/>
    </sheetView>
  </sheetViews>
  <sheetFormatPr defaultRowHeight="14" x14ac:dyDescent="0.3"/>
  <cols>
    <col min="1" max="16384" width="8.6640625" style="1"/>
  </cols>
  <sheetData>
    <row r="1" spans="1:7" x14ac:dyDescent="0.3">
      <c r="E1" s="223" t="s">
        <v>185</v>
      </c>
      <c r="F1" s="224"/>
      <c r="G1" s="225"/>
    </row>
    <row r="2" spans="1:7" x14ac:dyDescent="0.3">
      <c r="B2" s="40">
        <v>188.89160000000001</v>
      </c>
      <c r="E2" s="24" t="s">
        <v>192</v>
      </c>
      <c r="F2" s="2" t="s">
        <v>195</v>
      </c>
      <c r="G2" s="107">
        <f>G4*1.1</f>
        <v>2.4030930000000001</v>
      </c>
    </row>
    <row r="3" spans="1:7" x14ac:dyDescent="0.3">
      <c r="E3" s="24" t="s">
        <v>194</v>
      </c>
      <c r="F3" s="2" t="s">
        <v>10</v>
      </c>
      <c r="G3" s="107">
        <f>G4*1.02</f>
        <v>2.2283225999999998</v>
      </c>
    </row>
    <row r="4" spans="1:7" x14ac:dyDescent="0.3">
      <c r="A4" s="217" t="s">
        <v>193</v>
      </c>
      <c r="B4" s="218"/>
      <c r="C4" s="219"/>
      <c r="E4" s="39" t="s">
        <v>184</v>
      </c>
      <c r="F4" s="113" t="s">
        <v>7</v>
      </c>
      <c r="G4" s="112">
        <f>C7</f>
        <v>2.1846299999999998</v>
      </c>
    </row>
    <row r="5" spans="1:7" x14ac:dyDescent="0.3">
      <c r="A5" s="24" t="s">
        <v>192</v>
      </c>
      <c r="B5" s="2" t="s">
        <v>191</v>
      </c>
      <c r="C5" s="8">
        <f>C8*1.1</f>
        <v>2.3331000000000004</v>
      </c>
      <c r="E5" s="24" t="s">
        <v>190</v>
      </c>
      <c r="F5" s="2" t="s">
        <v>97</v>
      </c>
      <c r="G5" s="107">
        <f>G4*0.97</f>
        <v>2.1190910999999999</v>
      </c>
    </row>
    <row r="6" spans="1:7" x14ac:dyDescent="0.3">
      <c r="A6" s="24" t="s">
        <v>187</v>
      </c>
      <c r="B6" s="2" t="s">
        <v>186</v>
      </c>
      <c r="C6" s="107">
        <f>C8*1.04</f>
        <v>2.2058400000000002</v>
      </c>
      <c r="E6" s="24" t="s">
        <v>189</v>
      </c>
      <c r="F6" s="2" t="s">
        <v>188</v>
      </c>
      <c r="G6" s="107">
        <f>G4*0.96</f>
        <v>2.0972447999999999</v>
      </c>
    </row>
    <row r="7" spans="1:7" x14ac:dyDescent="0.3">
      <c r="A7" s="39" t="s">
        <v>185</v>
      </c>
      <c r="B7" s="2" t="s">
        <v>8</v>
      </c>
      <c r="C7" s="112">
        <f>C8*1.03</f>
        <v>2.1846299999999998</v>
      </c>
    </row>
    <row r="8" spans="1:7" x14ac:dyDescent="0.3">
      <c r="A8" s="3" t="s">
        <v>184</v>
      </c>
      <c r="B8" s="111" t="s">
        <v>7</v>
      </c>
      <c r="C8" s="110">
        <v>2.121</v>
      </c>
    </row>
    <row r="9" spans="1:7" x14ac:dyDescent="0.3">
      <c r="A9" s="103" t="s">
        <v>190</v>
      </c>
      <c r="B9" s="2" t="s">
        <v>15</v>
      </c>
      <c r="C9" s="108">
        <f>C8*0.98</f>
        <v>2.0785800000000001</v>
      </c>
      <c r="E9" s="220" t="s">
        <v>190</v>
      </c>
      <c r="F9" s="221"/>
      <c r="G9" s="222"/>
    </row>
    <row r="10" spans="1:7" x14ac:dyDescent="0.3">
      <c r="A10" s="24" t="s">
        <v>189</v>
      </c>
      <c r="B10" s="2" t="s">
        <v>188</v>
      </c>
      <c r="C10" s="8">
        <f>C8*0.96</f>
        <v>2.0361599999999997</v>
      </c>
      <c r="E10" s="24" t="s">
        <v>187</v>
      </c>
      <c r="F10" s="2" t="s">
        <v>186</v>
      </c>
      <c r="G10" s="107">
        <f>G12*1.04</f>
        <v>2.1617232</v>
      </c>
    </row>
    <row r="11" spans="1:7" x14ac:dyDescent="0.3">
      <c r="A11" s="24" t="s">
        <v>182</v>
      </c>
      <c r="B11" s="2" t="s">
        <v>181</v>
      </c>
      <c r="C11" s="107">
        <f>C8*0.9</f>
        <v>1.9089</v>
      </c>
      <c r="E11" s="24" t="s">
        <v>185</v>
      </c>
      <c r="F11" s="2" t="s">
        <v>8</v>
      </c>
      <c r="G11" s="107">
        <f>G12*1.03</f>
        <v>2.1409374000000003</v>
      </c>
    </row>
    <row r="12" spans="1:7" x14ac:dyDescent="0.3">
      <c r="E12" s="103" t="s">
        <v>184</v>
      </c>
      <c r="F12" s="109" t="s">
        <v>7</v>
      </c>
      <c r="G12" s="108">
        <f>C9</f>
        <v>2.0785800000000001</v>
      </c>
    </row>
    <row r="13" spans="1:7" x14ac:dyDescent="0.3">
      <c r="E13" s="24" t="s">
        <v>183</v>
      </c>
      <c r="F13" s="2" t="s">
        <v>15</v>
      </c>
      <c r="G13" s="107">
        <f>G12*0.98</f>
        <v>2.0370083999999999</v>
      </c>
    </row>
    <row r="14" spans="1:7" x14ac:dyDescent="0.3">
      <c r="E14" s="24" t="s">
        <v>182</v>
      </c>
      <c r="F14" s="2" t="s">
        <v>181</v>
      </c>
      <c r="G14" s="107">
        <f>G12*0.9</f>
        <v>1.8707220000000002</v>
      </c>
    </row>
  </sheetData>
  <mergeCells count="3">
    <mergeCell ref="A4:C4"/>
    <mergeCell ref="E9:G9"/>
    <mergeCell ref="E1:G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822D-D71D-424C-9EF7-3D83C9E77386}">
  <dimension ref="A1:G14"/>
  <sheetViews>
    <sheetView zoomScale="145" zoomScaleNormal="145" workbookViewId="0">
      <selection activeCell="A5" sqref="A5:C5"/>
    </sheetView>
  </sheetViews>
  <sheetFormatPr defaultRowHeight="14" x14ac:dyDescent="0.3"/>
  <cols>
    <col min="1" max="16384" width="8.6640625" style="1"/>
  </cols>
  <sheetData>
    <row r="1" spans="1:7" x14ac:dyDescent="0.3">
      <c r="E1" s="220" t="s">
        <v>128</v>
      </c>
      <c r="F1" s="221"/>
      <c r="G1" s="222"/>
    </row>
    <row r="2" spans="1:7" x14ac:dyDescent="0.3">
      <c r="E2" s="24" t="s">
        <v>187</v>
      </c>
      <c r="F2" s="2" t="s">
        <v>8</v>
      </c>
      <c r="G2" s="107">
        <f>G4*1.03</f>
        <v>2.0146799999999998</v>
      </c>
    </row>
    <row r="3" spans="1:7" x14ac:dyDescent="0.3">
      <c r="B3" s="40">
        <v>188.89160000000001</v>
      </c>
      <c r="E3" s="24" t="s">
        <v>185</v>
      </c>
      <c r="F3" s="2" t="s">
        <v>10</v>
      </c>
      <c r="G3" s="107">
        <f>G4*1.02</f>
        <v>1.99512</v>
      </c>
    </row>
    <row r="4" spans="1:7" x14ac:dyDescent="0.3">
      <c r="E4" s="24" t="s">
        <v>184</v>
      </c>
      <c r="F4" s="2" t="s">
        <v>7</v>
      </c>
      <c r="G4" s="107">
        <v>1.956</v>
      </c>
    </row>
    <row r="5" spans="1:7" x14ac:dyDescent="0.3">
      <c r="A5" s="223" t="s">
        <v>198</v>
      </c>
      <c r="B5" s="224"/>
      <c r="C5" s="225"/>
      <c r="E5" s="24" t="s">
        <v>183</v>
      </c>
      <c r="F5" s="2" t="s">
        <v>15</v>
      </c>
      <c r="G5" s="107">
        <f>G4*0.98</f>
        <v>1.9168799999999999</v>
      </c>
    </row>
    <row r="6" spans="1:7" x14ac:dyDescent="0.3">
      <c r="A6" s="24" t="s">
        <v>192</v>
      </c>
      <c r="B6" s="2" t="s">
        <v>196</v>
      </c>
      <c r="C6" s="107">
        <f>C8*1.06</f>
        <v>2.28748</v>
      </c>
      <c r="E6" s="24" t="s">
        <v>182</v>
      </c>
      <c r="F6" s="2" t="s">
        <v>197</v>
      </c>
      <c r="G6" s="107">
        <f>G4*0.94</f>
        <v>1.8386399999999998</v>
      </c>
    </row>
    <row r="7" spans="1:7" x14ac:dyDescent="0.3">
      <c r="A7" s="24" t="s">
        <v>194</v>
      </c>
      <c r="B7" s="2" t="s">
        <v>10</v>
      </c>
      <c r="C7" s="107">
        <f>C8*1.02</f>
        <v>2.2011599999999998</v>
      </c>
    </row>
    <row r="8" spans="1:7" x14ac:dyDescent="0.3">
      <c r="A8" s="24" t="s">
        <v>184</v>
      </c>
      <c r="B8" s="2" t="s">
        <v>7</v>
      </c>
      <c r="C8" s="107">
        <v>2.1579999999999999</v>
      </c>
    </row>
    <row r="9" spans="1:7" x14ac:dyDescent="0.3">
      <c r="A9" s="24" t="s">
        <v>190</v>
      </c>
      <c r="B9" s="2" t="s">
        <v>15</v>
      </c>
      <c r="C9" s="107">
        <f>C8*0.98</f>
        <v>2.1148400000000001</v>
      </c>
      <c r="E9" s="223" t="s">
        <v>194</v>
      </c>
      <c r="F9" s="224"/>
      <c r="G9" s="225"/>
    </row>
    <row r="10" spans="1:7" x14ac:dyDescent="0.3">
      <c r="A10" s="24" t="s">
        <v>189</v>
      </c>
      <c r="B10" s="2" t="s">
        <v>97</v>
      </c>
      <c r="C10" s="107">
        <f>C8*0.97</f>
        <v>2.0932599999999999</v>
      </c>
      <c r="E10" s="24" t="s">
        <v>192</v>
      </c>
      <c r="F10" s="2" t="s">
        <v>196</v>
      </c>
      <c r="G10" s="107">
        <f>G12*1.06</f>
        <v>2.1613400000000005</v>
      </c>
    </row>
    <row r="11" spans="1:7" x14ac:dyDescent="0.3">
      <c r="E11" s="24" t="s">
        <v>194</v>
      </c>
      <c r="F11" s="2" t="s">
        <v>10</v>
      </c>
      <c r="G11" s="107">
        <f>G12*1.02</f>
        <v>2.0797800000000004</v>
      </c>
    </row>
    <row r="12" spans="1:7" x14ac:dyDescent="0.3">
      <c r="E12" s="24" t="s">
        <v>184</v>
      </c>
      <c r="F12" s="2" t="s">
        <v>7</v>
      </c>
      <c r="G12" s="107">
        <v>2.0390000000000001</v>
      </c>
    </row>
    <row r="13" spans="1:7" x14ac:dyDescent="0.3">
      <c r="E13" s="24" t="s">
        <v>190</v>
      </c>
      <c r="F13" s="2" t="s">
        <v>15</v>
      </c>
      <c r="G13" s="107">
        <f>G12*0.98</f>
        <v>1.9982200000000001</v>
      </c>
    </row>
    <row r="14" spans="1:7" x14ac:dyDescent="0.3">
      <c r="E14" s="24" t="s">
        <v>189</v>
      </c>
      <c r="F14" s="2" t="s">
        <v>97</v>
      </c>
      <c r="G14" s="107">
        <f>G12*0.97</f>
        <v>1.97783</v>
      </c>
    </row>
  </sheetData>
  <mergeCells count="3">
    <mergeCell ref="E1:G1"/>
    <mergeCell ref="E9:G9"/>
    <mergeCell ref="A5:C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CB41-5A3F-4939-A7B6-957BD41DBD8B}">
  <dimension ref="A1:G14"/>
  <sheetViews>
    <sheetView zoomScale="145" zoomScaleNormal="145" workbookViewId="0">
      <selection activeCell="A5" sqref="A5:C5"/>
    </sheetView>
  </sheetViews>
  <sheetFormatPr defaultRowHeight="14" x14ac:dyDescent="0.3"/>
  <cols>
    <col min="1" max="16384" width="8.6640625" style="1"/>
  </cols>
  <sheetData>
    <row r="1" spans="1:7" x14ac:dyDescent="0.3">
      <c r="E1" s="220" t="s">
        <v>183</v>
      </c>
      <c r="F1" s="221"/>
      <c r="G1" s="222"/>
    </row>
    <row r="2" spans="1:7" x14ac:dyDescent="0.3">
      <c r="E2" s="24" t="s">
        <v>187</v>
      </c>
      <c r="F2" s="2" t="s">
        <v>8</v>
      </c>
      <c r="G2" s="107">
        <f>G4*1.03</f>
        <v>3.0635289999999999</v>
      </c>
    </row>
    <row r="3" spans="1:7" x14ac:dyDescent="0.3">
      <c r="B3" s="40"/>
      <c r="E3" s="24" t="s">
        <v>185</v>
      </c>
      <c r="F3" s="2" t="s">
        <v>10</v>
      </c>
      <c r="G3" s="107">
        <f>G4*1.02</f>
        <v>3.0337860000000001</v>
      </c>
    </row>
    <row r="4" spans="1:7" x14ac:dyDescent="0.3">
      <c r="E4" s="24" t="s">
        <v>184</v>
      </c>
      <c r="F4" s="2" t="s">
        <v>7</v>
      </c>
      <c r="G4" s="107">
        <f>C9</f>
        <v>2.9742999999999999</v>
      </c>
    </row>
    <row r="5" spans="1:7" x14ac:dyDescent="0.3">
      <c r="A5" s="220" t="s">
        <v>199</v>
      </c>
      <c r="B5" s="221"/>
      <c r="C5" s="222"/>
      <c r="E5" s="24" t="s">
        <v>183</v>
      </c>
      <c r="F5" s="2" t="s">
        <v>15</v>
      </c>
      <c r="G5" s="107">
        <f>G4*0.98</f>
        <v>2.9148139999999998</v>
      </c>
    </row>
    <row r="6" spans="1:7" x14ac:dyDescent="0.3">
      <c r="A6" s="24" t="s">
        <v>187</v>
      </c>
      <c r="B6" s="2" t="s">
        <v>8</v>
      </c>
      <c r="C6" s="107">
        <f>C8*1.03</f>
        <v>3.1260500000000002</v>
      </c>
      <c r="E6" s="24" t="s">
        <v>182</v>
      </c>
      <c r="F6" s="2" t="s">
        <v>197</v>
      </c>
      <c r="G6" s="107">
        <f>G4*0.94</f>
        <v>2.7958419999999999</v>
      </c>
    </row>
    <row r="7" spans="1:7" x14ac:dyDescent="0.3">
      <c r="A7" s="24" t="s">
        <v>185</v>
      </c>
      <c r="B7" s="2" t="s">
        <v>10</v>
      </c>
      <c r="C7" s="107">
        <f>C8*1.02</f>
        <v>3.0957000000000003</v>
      </c>
    </row>
    <row r="8" spans="1:7" x14ac:dyDescent="0.3">
      <c r="A8" s="24" t="s">
        <v>184</v>
      </c>
      <c r="B8" s="2" t="s">
        <v>7</v>
      </c>
      <c r="C8" s="107">
        <v>3.0350000000000001</v>
      </c>
    </row>
    <row r="9" spans="1:7" x14ac:dyDescent="0.3">
      <c r="A9" s="24" t="s">
        <v>183</v>
      </c>
      <c r="B9" s="2" t="s">
        <v>15</v>
      </c>
      <c r="C9" s="107">
        <f>C8*0.98</f>
        <v>2.9742999999999999</v>
      </c>
      <c r="E9" s="223" t="s">
        <v>126</v>
      </c>
      <c r="F9" s="224"/>
      <c r="G9" s="225"/>
    </row>
    <row r="10" spans="1:7" x14ac:dyDescent="0.3">
      <c r="A10" s="24" t="s">
        <v>182</v>
      </c>
      <c r="B10" s="2" t="s">
        <v>197</v>
      </c>
      <c r="C10" s="107">
        <f>C8*0.94</f>
        <v>2.8529</v>
      </c>
      <c r="E10" s="24" t="s">
        <v>192</v>
      </c>
      <c r="F10" s="2" t="s">
        <v>196</v>
      </c>
      <c r="G10" s="107">
        <f>G12*1.06</f>
        <v>2.26946</v>
      </c>
    </row>
    <row r="11" spans="1:7" x14ac:dyDescent="0.3">
      <c r="E11" s="24" t="s">
        <v>194</v>
      </c>
      <c r="F11" s="2" t="s">
        <v>10</v>
      </c>
      <c r="G11" s="107">
        <f>G12*1.02</f>
        <v>2.1838199999999999</v>
      </c>
    </row>
    <row r="12" spans="1:7" x14ac:dyDescent="0.3">
      <c r="E12" s="24" t="s">
        <v>184</v>
      </c>
      <c r="F12" s="2" t="s">
        <v>7</v>
      </c>
      <c r="G12" s="107">
        <v>2.141</v>
      </c>
    </row>
    <row r="13" spans="1:7" x14ac:dyDescent="0.3">
      <c r="E13" s="24" t="s">
        <v>190</v>
      </c>
      <c r="F13" s="2" t="s">
        <v>15</v>
      </c>
      <c r="G13" s="107">
        <f>G12*0.98</f>
        <v>2.0981800000000002</v>
      </c>
    </row>
    <row r="14" spans="1:7" x14ac:dyDescent="0.3">
      <c r="E14" s="24" t="s">
        <v>189</v>
      </c>
      <c r="F14" s="2" t="s">
        <v>97</v>
      </c>
      <c r="G14" s="107">
        <f>G12*0.97</f>
        <v>2.0767699999999998</v>
      </c>
    </row>
  </sheetData>
  <mergeCells count="3">
    <mergeCell ref="E1:G1"/>
    <mergeCell ref="A5:C5"/>
    <mergeCell ref="E9:G9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EEC4-D61B-4E57-AE65-D18270314904}">
  <dimension ref="A1:M30"/>
  <sheetViews>
    <sheetView zoomScale="130" zoomScaleNormal="130" workbookViewId="0">
      <pane xSplit="2" ySplit="1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" x14ac:dyDescent="0.3"/>
  <cols>
    <col min="1" max="1" width="4.83203125" style="1" bestFit="1" customWidth="1"/>
    <col min="2" max="12" width="8.6640625" style="1"/>
    <col min="13" max="13" width="10.4140625" style="1" bestFit="1" customWidth="1"/>
    <col min="14" max="16384" width="8.6640625" style="1"/>
  </cols>
  <sheetData>
    <row r="1" spans="1:13" ht="28" x14ac:dyDescent="0.3">
      <c r="A1" s="3"/>
      <c r="B1" s="3" t="s">
        <v>47</v>
      </c>
      <c r="C1" s="61" t="s">
        <v>131</v>
      </c>
      <c r="D1" s="62" t="s">
        <v>132</v>
      </c>
      <c r="E1" s="63" t="s">
        <v>133</v>
      </c>
      <c r="F1" s="64" t="s">
        <v>134</v>
      </c>
      <c r="G1" s="63" t="s">
        <v>135</v>
      </c>
      <c r="H1" s="64" t="s">
        <v>136</v>
      </c>
      <c r="I1" s="65" t="s">
        <v>137</v>
      </c>
      <c r="J1" s="3" t="s">
        <v>138</v>
      </c>
      <c r="K1" s="3" t="s">
        <v>138</v>
      </c>
      <c r="L1" s="3" t="s">
        <v>138</v>
      </c>
    </row>
    <row r="2" spans="1:13" x14ac:dyDescent="0.3">
      <c r="A2" s="66" t="s">
        <v>130</v>
      </c>
      <c r="B2" s="67" t="s">
        <v>139</v>
      </c>
      <c r="C2" s="114">
        <f t="shared" ref="C2:L2" si="0">C13*1.1</f>
        <v>0.72907999999999995</v>
      </c>
      <c r="D2" s="114">
        <f t="shared" si="0"/>
        <v>0.72907999999999995</v>
      </c>
      <c r="E2" s="114">
        <f t="shared" si="0"/>
        <v>0.71830000000000005</v>
      </c>
      <c r="F2" s="114">
        <f t="shared" si="0"/>
        <v>0.71323999999999999</v>
      </c>
      <c r="G2" s="114">
        <f t="shared" si="0"/>
        <v>0</v>
      </c>
      <c r="H2" s="114">
        <f t="shared" si="0"/>
        <v>0</v>
      </c>
      <c r="I2" s="114">
        <f t="shared" si="0"/>
        <v>0</v>
      </c>
      <c r="J2" s="114">
        <f t="shared" si="0"/>
        <v>0</v>
      </c>
      <c r="K2" s="114">
        <f t="shared" si="0"/>
        <v>0.71951000000000009</v>
      </c>
      <c r="L2" s="114">
        <f t="shared" si="0"/>
        <v>0.72754000000000008</v>
      </c>
    </row>
    <row r="3" spans="1:13" x14ac:dyDescent="0.3">
      <c r="A3" s="66" t="s">
        <v>130</v>
      </c>
      <c r="B3" s="67" t="s">
        <v>140</v>
      </c>
      <c r="C3" s="115">
        <f t="shared" ref="C3:L3" si="1">C13*1.09</f>
        <v>0.72245199999999998</v>
      </c>
      <c r="D3" s="115">
        <f t="shared" si="1"/>
        <v>0.72245199999999998</v>
      </c>
      <c r="E3" s="115">
        <f t="shared" si="1"/>
        <v>0.71177000000000012</v>
      </c>
      <c r="F3" s="115">
        <f t="shared" si="1"/>
        <v>0.70675600000000005</v>
      </c>
      <c r="G3" s="115">
        <f t="shared" si="1"/>
        <v>0</v>
      </c>
      <c r="H3" s="115">
        <f t="shared" si="1"/>
        <v>0</v>
      </c>
      <c r="I3" s="115">
        <f t="shared" si="1"/>
        <v>0</v>
      </c>
      <c r="J3" s="115">
        <f t="shared" si="1"/>
        <v>0</v>
      </c>
      <c r="K3" s="115">
        <f t="shared" si="1"/>
        <v>0.71296900000000007</v>
      </c>
      <c r="L3" s="115">
        <f t="shared" si="1"/>
        <v>0.72092600000000007</v>
      </c>
    </row>
    <row r="4" spans="1:13" x14ac:dyDescent="0.3">
      <c r="A4" s="66" t="s">
        <v>130</v>
      </c>
      <c r="B4" s="67" t="s">
        <v>141</v>
      </c>
      <c r="C4" s="114">
        <f t="shared" ref="C4:L4" si="2">C13*1.08</f>
        <v>0.71582400000000002</v>
      </c>
      <c r="D4" s="114">
        <f t="shared" si="2"/>
        <v>0.71582400000000002</v>
      </c>
      <c r="E4" s="114">
        <f t="shared" si="2"/>
        <v>0.70524000000000009</v>
      </c>
      <c r="F4" s="114">
        <f t="shared" si="2"/>
        <v>0.70027200000000001</v>
      </c>
      <c r="G4" s="114">
        <f t="shared" si="2"/>
        <v>0</v>
      </c>
      <c r="H4" s="114">
        <f t="shared" si="2"/>
        <v>0</v>
      </c>
      <c r="I4" s="114">
        <f t="shared" si="2"/>
        <v>0</v>
      </c>
      <c r="J4" s="114">
        <f t="shared" si="2"/>
        <v>0</v>
      </c>
      <c r="K4" s="114">
        <f t="shared" si="2"/>
        <v>0.70642800000000006</v>
      </c>
      <c r="L4" s="114">
        <f t="shared" si="2"/>
        <v>0.71431200000000006</v>
      </c>
    </row>
    <row r="5" spans="1:13" x14ac:dyDescent="0.3">
      <c r="A5" s="66" t="s">
        <v>130</v>
      </c>
      <c r="B5" s="67" t="s">
        <v>142</v>
      </c>
      <c r="C5" s="115">
        <f t="shared" ref="C5:L5" si="3">C13*1.07</f>
        <v>0.70919599999999994</v>
      </c>
      <c r="D5" s="115">
        <f t="shared" si="3"/>
        <v>0.70919599999999994</v>
      </c>
      <c r="E5" s="115">
        <f t="shared" si="3"/>
        <v>0.69871000000000005</v>
      </c>
      <c r="F5" s="115">
        <f t="shared" si="3"/>
        <v>0.69378799999999996</v>
      </c>
      <c r="G5" s="115">
        <f t="shared" si="3"/>
        <v>0</v>
      </c>
      <c r="H5" s="115">
        <f t="shared" si="3"/>
        <v>0</v>
      </c>
      <c r="I5" s="115">
        <f t="shared" si="3"/>
        <v>0</v>
      </c>
      <c r="J5" s="115">
        <f t="shared" si="3"/>
        <v>0</v>
      </c>
      <c r="K5" s="115">
        <f t="shared" si="3"/>
        <v>0.69988700000000004</v>
      </c>
      <c r="L5" s="115">
        <f t="shared" si="3"/>
        <v>0.70769800000000005</v>
      </c>
    </row>
    <row r="6" spans="1:13" x14ac:dyDescent="0.3">
      <c r="A6" s="66" t="s">
        <v>130</v>
      </c>
      <c r="B6" s="67" t="s">
        <v>143</v>
      </c>
      <c r="C6" s="114">
        <f t="shared" ref="C6:L6" si="4">C13*1.06</f>
        <v>0.70256799999999997</v>
      </c>
      <c r="D6" s="114">
        <f t="shared" si="4"/>
        <v>0.70256799999999997</v>
      </c>
      <c r="E6" s="114">
        <f t="shared" si="4"/>
        <v>0.69218000000000002</v>
      </c>
      <c r="F6" s="114">
        <f t="shared" si="4"/>
        <v>0.68730400000000003</v>
      </c>
      <c r="G6" s="114">
        <f t="shared" si="4"/>
        <v>0</v>
      </c>
      <c r="H6" s="114">
        <f t="shared" si="4"/>
        <v>0</v>
      </c>
      <c r="I6" s="114">
        <f t="shared" si="4"/>
        <v>0</v>
      </c>
      <c r="J6" s="114">
        <f t="shared" si="4"/>
        <v>0</v>
      </c>
      <c r="K6" s="114">
        <f t="shared" si="4"/>
        <v>0.69334600000000002</v>
      </c>
      <c r="L6" s="114">
        <f t="shared" si="4"/>
        <v>0.70108400000000004</v>
      </c>
    </row>
    <row r="7" spans="1:13" x14ac:dyDescent="0.3">
      <c r="A7" s="66" t="s">
        <v>130</v>
      </c>
      <c r="B7" s="67" t="s">
        <v>129</v>
      </c>
      <c r="C7" s="115">
        <f t="shared" ref="C7:L7" si="5">C13*1.05</f>
        <v>0.69594</v>
      </c>
      <c r="D7" s="115">
        <f t="shared" si="5"/>
        <v>0.69594</v>
      </c>
      <c r="E7" s="115">
        <f t="shared" si="5"/>
        <v>0.68565000000000009</v>
      </c>
      <c r="F7" s="115">
        <f t="shared" si="5"/>
        <v>0.68081999999999998</v>
      </c>
      <c r="G7" s="115">
        <f t="shared" si="5"/>
        <v>0</v>
      </c>
      <c r="H7" s="115">
        <f t="shared" si="5"/>
        <v>0</v>
      </c>
      <c r="I7" s="115">
        <f t="shared" si="5"/>
        <v>0</v>
      </c>
      <c r="J7" s="115">
        <f t="shared" si="5"/>
        <v>0</v>
      </c>
      <c r="K7" s="115">
        <f t="shared" si="5"/>
        <v>0.686805</v>
      </c>
      <c r="L7" s="115">
        <f t="shared" si="5"/>
        <v>0.69447000000000003</v>
      </c>
    </row>
    <row r="8" spans="1:13" x14ac:dyDescent="0.3">
      <c r="A8" s="66" t="s">
        <v>130</v>
      </c>
      <c r="B8" s="67" t="s">
        <v>127</v>
      </c>
      <c r="C8" s="123">
        <f t="shared" ref="C8:L8" si="6">C13*1.04</f>
        <v>0.68931199999999992</v>
      </c>
      <c r="D8" s="123">
        <f t="shared" si="6"/>
        <v>0.68931199999999992</v>
      </c>
      <c r="E8" s="123">
        <f t="shared" si="6"/>
        <v>0.67912000000000006</v>
      </c>
      <c r="F8" s="123">
        <f t="shared" si="6"/>
        <v>0.67433600000000005</v>
      </c>
      <c r="G8" s="123">
        <f t="shared" si="6"/>
        <v>0</v>
      </c>
      <c r="H8" s="123">
        <f t="shared" si="6"/>
        <v>0</v>
      </c>
      <c r="I8" s="123">
        <f t="shared" si="6"/>
        <v>0</v>
      </c>
      <c r="J8" s="123">
        <f t="shared" si="6"/>
        <v>0</v>
      </c>
      <c r="K8" s="123">
        <f t="shared" si="6"/>
        <v>0.68026400000000009</v>
      </c>
      <c r="L8" s="123">
        <f t="shared" si="6"/>
        <v>0.68785600000000002</v>
      </c>
    </row>
    <row r="9" spans="1:13" x14ac:dyDescent="0.3">
      <c r="A9" s="32"/>
      <c r="B9" s="67" t="s">
        <v>125</v>
      </c>
      <c r="C9" s="115">
        <f t="shared" ref="C9:L9" si="7">C13*1.03</f>
        <v>0.68268399999999996</v>
      </c>
      <c r="D9" s="115">
        <f t="shared" si="7"/>
        <v>0.68268399999999996</v>
      </c>
      <c r="E9" s="115">
        <f t="shared" si="7"/>
        <v>0.67259000000000002</v>
      </c>
      <c r="F9" s="115">
        <f t="shared" si="7"/>
        <v>0.667852</v>
      </c>
      <c r="G9" s="115">
        <f t="shared" si="7"/>
        <v>0</v>
      </c>
      <c r="H9" s="115">
        <f t="shared" si="7"/>
        <v>0</v>
      </c>
      <c r="I9" s="115">
        <f t="shared" si="7"/>
        <v>0</v>
      </c>
      <c r="J9" s="115">
        <f t="shared" si="7"/>
        <v>0</v>
      </c>
      <c r="K9" s="115">
        <f t="shared" si="7"/>
        <v>0.67372300000000007</v>
      </c>
      <c r="L9" s="115">
        <f t="shared" si="7"/>
        <v>0.68124200000000001</v>
      </c>
    </row>
    <row r="10" spans="1:13" x14ac:dyDescent="0.3">
      <c r="A10" s="32"/>
      <c r="B10" s="67" t="s">
        <v>122</v>
      </c>
      <c r="C10" s="123">
        <f t="shared" ref="C10:L10" si="8">C13*1.02</f>
        <v>0.67605599999999999</v>
      </c>
      <c r="D10" s="123">
        <f t="shared" si="8"/>
        <v>0.67605599999999999</v>
      </c>
      <c r="E10" s="123">
        <f t="shared" si="8"/>
        <v>0.66605999999999999</v>
      </c>
      <c r="F10" s="123">
        <f t="shared" si="8"/>
        <v>0.66136799999999996</v>
      </c>
      <c r="G10" s="123">
        <f t="shared" si="8"/>
        <v>0</v>
      </c>
      <c r="H10" s="123">
        <f t="shared" si="8"/>
        <v>0</v>
      </c>
      <c r="I10" s="123">
        <f t="shared" si="8"/>
        <v>0</v>
      </c>
      <c r="J10" s="123">
        <f t="shared" si="8"/>
        <v>0</v>
      </c>
      <c r="K10" s="123">
        <f t="shared" si="8"/>
        <v>0.66718200000000005</v>
      </c>
      <c r="L10" s="123">
        <f t="shared" si="8"/>
        <v>0.67462800000000001</v>
      </c>
    </row>
    <row r="11" spans="1:13" x14ac:dyDescent="0.3">
      <c r="A11" s="72" t="s">
        <v>128</v>
      </c>
      <c r="B11" s="67" t="s">
        <v>120</v>
      </c>
      <c r="C11" s="117">
        <f t="shared" ref="C11:L11" si="9">C13*1.01</f>
        <v>0.66942799999999991</v>
      </c>
      <c r="D11" s="117">
        <f t="shared" si="9"/>
        <v>0.66942799999999991</v>
      </c>
      <c r="E11" s="117">
        <f t="shared" si="9"/>
        <v>0.65953000000000006</v>
      </c>
      <c r="F11" s="117">
        <f t="shared" si="9"/>
        <v>0.65488400000000002</v>
      </c>
      <c r="G11" s="117">
        <f t="shared" si="9"/>
        <v>0</v>
      </c>
      <c r="H11" s="117">
        <f t="shared" si="9"/>
        <v>0</v>
      </c>
      <c r="I11" s="117">
        <f t="shared" si="9"/>
        <v>0</v>
      </c>
      <c r="J11" s="117">
        <f t="shared" si="9"/>
        <v>0</v>
      </c>
      <c r="K11" s="117">
        <f t="shared" si="9"/>
        <v>0.66064100000000003</v>
      </c>
      <c r="L11" s="117">
        <f t="shared" si="9"/>
        <v>0.668014</v>
      </c>
      <c r="M11" s="74" t="s">
        <v>176</v>
      </c>
    </row>
    <row r="12" spans="1:13" x14ac:dyDescent="0.3">
      <c r="A12" s="76"/>
      <c r="B12" s="67" t="s">
        <v>0</v>
      </c>
      <c r="C12" s="118">
        <f t="shared" ref="C12:L12" si="10">C13*1.005</f>
        <v>0.66611399999999987</v>
      </c>
      <c r="D12" s="118">
        <f t="shared" si="10"/>
        <v>0.66611399999999987</v>
      </c>
      <c r="E12" s="118">
        <f t="shared" si="10"/>
        <v>0.65626499999999999</v>
      </c>
      <c r="F12" s="118">
        <f t="shared" si="10"/>
        <v>0.65164199999999994</v>
      </c>
      <c r="G12" s="118">
        <f t="shared" si="10"/>
        <v>0</v>
      </c>
      <c r="H12" s="118">
        <f t="shared" si="10"/>
        <v>0</v>
      </c>
      <c r="I12" s="118">
        <f t="shared" si="10"/>
        <v>0</v>
      </c>
      <c r="J12" s="118">
        <f t="shared" si="10"/>
        <v>0</v>
      </c>
      <c r="K12" s="118">
        <f t="shared" si="10"/>
        <v>0.65737049999999997</v>
      </c>
      <c r="L12" s="118">
        <f t="shared" si="10"/>
        <v>0.66470699999999994</v>
      </c>
      <c r="M12" s="75">
        <v>300</v>
      </c>
    </row>
    <row r="13" spans="1:13" x14ac:dyDescent="0.3">
      <c r="A13" s="77" t="s">
        <v>146</v>
      </c>
      <c r="B13" s="77">
        <v>0</v>
      </c>
      <c r="C13" s="125">
        <v>0.66279999999999994</v>
      </c>
      <c r="D13" s="124">
        <v>0.66279999999999994</v>
      </c>
      <c r="E13" s="116">
        <v>0.65300000000000002</v>
      </c>
      <c r="F13" s="123">
        <v>0.64839999999999998</v>
      </c>
      <c r="G13" s="122">
        <v>0</v>
      </c>
      <c r="H13" s="122">
        <v>0</v>
      </c>
      <c r="I13" s="121">
        <v>0</v>
      </c>
      <c r="J13" s="120">
        <v>0</v>
      </c>
      <c r="K13" s="119">
        <v>0.65410000000000001</v>
      </c>
      <c r="L13" s="119">
        <v>0.66139999999999999</v>
      </c>
      <c r="M13" s="84" t="s">
        <v>147</v>
      </c>
    </row>
    <row r="14" spans="1:13" x14ac:dyDescent="0.3">
      <c r="A14" s="32"/>
      <c r="B14" s="85" t="s">
        <v>1</v>
      </c>
      <c r="C14" s="118">
        <f t="shared" ref="C14:L14" si="11">C13*0.995</f>
        <v>0.65948599999999991</v>
      </c>
      <c r="D14" s="118">
        <f t="shared" si="11"/>
        <v>0.65948599999999991</v>
      </c>
      <c r="E14" s="118">
        <f t="shared" si="11"/>
        <v>0.64973500000000006</v>
      </c>
      <c r="F14" s="118">
        <f t="shared" si="11"/>
        <v>0.64515800000000001</v>
      </c>
      <c r="G14" s="118">
        <f t="shared" si="11"/>
        <v>0</v>
      </c>
      <c r="H14" s="118">
        <f t="shared" si="11"/>
        <v>0</v>
      </c>
      <c r="I14" s="118">
        <f t="shared" si="11"/>
        <v>0</v>
      </c>
      <c r="J14" s="118">
        <f t="shared" si="11"/>
        <v>0</v>
      </c>
      <c r="K14" s="118">
        <f t="shared" si="11"/>
        <v>0.65082950000000006</v>
      </c>
      <c r="L14" s="118">
        <f t="shared" si="11"/>
        <v>0.65809300000000004</v>
      </c>
      <c r="M14" s="84">
        <v>110</v>
      </c>
    </row>
    <row r="15" spans="1:13" x14ac:dyDescent="0.3">
      <c r="A15" s="86" t="s">
        <v>126</v>
      </c>
      <c r="B15" s="85" t="s">
        <v>123</v>
      </c>
      <c r="C15" s="117">
        <f t="shared" ref="C15:L15" si="12">C13*0.99</f>
        <v>0.65617199999999998</v>
      </c>
      <c r="D15" s="117">
        <f t="shared" si="12"/>
        <v>0.65617199999999998</v>
      </c>
      <c r="E15" s="117">
        <f t="shared" si="12"/>
        <v>0.64646999999999999</v>
      </c>
      <c r="F15" s="117">
        <f t="shared" si="12"/>
        <v>0.64191599999999993</v>
      </c>
      <c r="G15" s="117">
        <f t="shared" si="12"/>
        <v>0</v>
      </c>
      <c r="H15" s="117">
        <f t="shared" si="12"/>
        <v>0</v>
      </c>
      <c r="I15" s="117">
        <f t="shared" si="12"/>
        <v>0</v>
      </c>
      <c r="J15" s="117">
        <f t="shared" si="12"/>
        <v>0</v>
      </c>
      <c r="K15" s="117">
        <f t="shared" si="12"/>
        <v>0.647559</v>
      </c>
      <c r="L15" s="117">
        <f t="shared" si="12"/>
        <v>0.65478599999999998</v>
      </c>
      <c r="M15" s="84" t="s">
        <v>175</v>
      </c>
    </row>
    <row r="16" spans="1:13" x14ac:dyDescent="0.3">
      <c r="A16" s="32"/>
      <c r="B16" s="85" t="s">
        <v>121</v>
      </c>
      <c r="C16" s="116">
        <f t="shared" ref="C16:L16" si="13">C13*0.98</f>
        <v>0.6495439999999999</v>
      </c>
      <c r="D16" s="116">
        <f t="shared" si="13"/>
        <v>0.6495439999999999</v>
      </c>
      <c r="E16" s="116">
        <f t="shared" si="13"/>
        <v>0.63994000000000006</v>
      </c>
      <c r="F16" s="116">
        <f t="shared" si="13"/>
        <v>0.635432</v>
      </c>
      <c r="G16" s="116">
        <f t="shared" si="13"/>
        <v>0</v>
      </c>
      <c r="H16" s="116">
        <f t="shared" si="13"/>
        <v>0</v>
      </c>
      <c r="I16" s="116">
        <f t="shared" si="13"/>
        <v>0</v>
      </c>
      <c r="J16" s="116">
        <f t="shared" si="13"/>
        <v>0</v>
      </c>
      <c r="K16" s="116">
        <f t="shared" si="13"/>
        <v>0.64101799999999998</v>
      </c>
      <c r="L16" s="116">
        <f t="shared" si="13"/>
        <v>0.64817199999999997</v>
      </c>
      <c r="M16" s="84" t="s">
        <v>200</v>
      </c>
    </row>
    <row r="17" spans="1:12" x14ac:dyDescent="0.3">
      <c r="A17" s="32"/>
      <c r="B17" s="85" t="s">
        <v>118</v>
      </c>
      <c r="C17" s="115">
        <f t="shared" ref="C17:L17" si="14">C13*0.97</f>
        <v>0.64291599999999993</v>
      </c>
      <c r="D17" s="115">
        <f t="shared" si="14"/>
        <v>0.64291599999999993</v>
      </c>
      <c r="E17" s="115">
        <f t="shared" si="14"/>
        <v>0.63341000000000003</v>
      </c>
      <c r="F17" s="115">
        <f t="shared" si="14"/>
        <v>0.62894799999999995</v>
      </c>
      <c r="G17" s="115">
        <f t="shared" si="14"/>
        <v>0</v>
      </c>
      <c r="H17" s="115">
        <f t="shared" si="14"/>
        <v>0</v>
      </c>
      <c r="I17" s="115">
        <f t="shared" si="14"/>
        <v>0</v>
      </c>
      <c r="J17" s="115">
        <f t="shared" si="14"/>
        <v>0</v>
      </c>
      <c r="K17" s="115">
        <f t="shared" si="14"/>
        <v>0.63447699999999996</v>
      </c>
      <c r="L17" s="115">
        <f t="shared" si="14"/>
        <v>0.64155799999999996</v>
      </c>
    </row>
    <row r="18" spans="1:12" x14ac:dyDescent="0.3">
      <c r="A18" s="89" t="s">
        <v>116</v>
      </c>
      <c r="B18" s="85" t="s">
        <v>149</v>
      </c>
      <c r="C18" s="116">
        <f t="shared" ref="C18:L18" si="15">C13*0.96</f>
        <v>0.63628799999999996</v>
      </c>
      <c r="D18" s="116">
        <f t="shared" si="15"/>
        <v>0.63628799999999996</v>
      </c>
      <c r="E18" s="116">
        <f t="shared" si="15"/>
        <v>0.62687999999999999</v>
      </c>
      <c r="F18" s="116">
        <f t="shared" si="15"/>
        <v>0.62246399999999991</v>
      </c>
      <c r="G18" s="116">
        <f t="shared" si="15"/>
        <v>0</v>
      </c>
      <c r="H18" s="116">
        <f t="shared" si="15"/>
        <v>0</v>
      </c>
      <c r="I18" s="116">
        <f t="shared" si="15"/>
        <v>0</v>
      </c>
      <c r="J18" s="116">
        <f t="shared" si="15"/>
        <v>0</v>
      </c>
      <c r="K18" s="116">
        <f t="shared" si="15"/>
        <v>0.62793599999999994</v>
      </c>
      <c r="L18" s="116">
        <f t="shared" si="15"/>
        <v>0.63494399999999995</v>
      </c>
    </row>
    <row r="19" spans="1:12" x14ac:dyDescent="0.3">
      <c r="A19" s="89" t="s">
        <v>116</v>
      </c>
      <c r="B19" s="85" t="s">
        <v>150</v>
      </c>
      <c r="C19" s="115">
        <f t="shared" ref="C19:L19" si="16">C13*0.95</f>
        <v>0.62965999999999989</v>
      </c>
      <c r="D19" s="115">
        <f t="shared" si="16"/>
        <v>0.62965999999999989</v>
      </c>
      <c r="E19" s="115">
        <f t="shared" si="16"/>
        <v>0.62034999999999996</v>
      </c>
      <c r="F19" s="115">
        <f t="shared" si="16"/>
        <v>0.61597999999999997</v>
      </c>
      <c r="G19" s="115">
        <f t="shared" si="16"/>
        <v>0</v>
      </c>
      <c r="H19" s="115">
        <f t="shared" si="16"/>
        <v>0</v>
      </c>
      <c r="I19" s="115">
        <f t="shared" si="16"/>
        <v>0</v>
      </c>
      <c r="J19" s="115">
        <f t="shared" si="16"/>
        <v>0</v>
      </c>
      <c r="K19" s="115">
        <f t="shared" si="16"/>
        <v>0.62139500000000003</v>
      </c>
      <c r="L19" s="115">
        <f t="shared" si="16"/>
        <v>0.62832999999999994</v>
      </c>
    </row>
    <row r="20" spans="1:12" x14ac:dyDescent="0.3">
      <c r="A20" s="89" t="s">
        <v>116</v>
      </c>
      <c r="B20" s="85" t="s">
        <v>151</v>
      </c>
      <c r="C20" s="114">
        <f t="shared" ref="C20:L20" si="17">C13*0.94</f>
        <v>0.62303199999999992</v>
      </c>
      <c r="D20" s="114">
        <f t="shared" si="17"/>
        <v>0.62303199999999992</v>
      </c>
      <c r="E20" s="114">
        <f t="shared" si="17"/>
        <v>0.61382000000000003</v>
      </c>
      <c r="F20" s="114">
        <f t="shared" si="17"/>
        <v>0.60949599999999993</v>
      </c>
      <c r="G20" s="114">
        <f t="shared" si="17"/>
        <v>0</v>
      </c>
      <c r="H20" s="114">
        <f t="shared" si="17"/>
        <v>0</v>
      </c>
      <c r="I20" s="114">
        <f t="shared" si="17"/>
        <v>0</v>
      </c>
      <c r="J20" s="114">
        <f t="shared" si="17"/>
        <v>0</v>
      </c>
      <c r="K20" s="114">
        <f t="shared" si="17"/>
        <v>0.61485400000000001</v>
      </c>
      <c r="L20" s="114">
        <f t="shared" si="17"/>
        <v>0.62171599999999994</v>
      </c>
    </row>
    <row r="21" spans="1:12" x14ac:dyDescent="0.3">
      <c r="A21" s="89" t="s">
        <v>116</v>
      </c>
      <c r="B21" s="85" t="s">
        <v>152</v>
      </c>
      <c r="C21" s="115">
        <f t="shared" ref="C21:L21" si="18">C13*0.93</f>
        <v>0.61640399999999995</v>
      </c>
      <c r="D21" s="115">
        <f t="shared" si="18"/>
        <v>0.61640399999999995</v>
      </c>
      <c r="E21" s="115">
        <f t="shared" si="18"/>
        <v>0.60729000000000011</v>
      </c>
      <c r="F21" s="115">
        <f t="shared" si="18"/>
        <v>0.60301199999999999</v>
      </c>
      <c r="G21" s="115">
        <f t="shared" si="18"/>
        <v>0</v>
      </c>
      <c r="H21" s="115">
        <f t="shared" si="18"/>
        <v>0</v>
      </c>
      <c r="I21" s="115">
        <f t="shared" si="18"/>
        <v>0</v>
      </c>
      <c r="J21" s="115">
        <f t="shared" si="18"/>
        <v>0</v>
      </c>
      <c r="K21" s="115">
        <f t="shared" si="18"/>
        <v>0.60831299999999999</v>
      </c>
      <c r="L21" s="115">
        <f t="shared" si="18"/>
        <v>0.61510200000000004</v>
      </c>
    </row>
    <row r="22" spans="1:12" x14ac:dyDescent="0.3">
      <c r="A22" s="89" t="s">
        <v>116</v>
      </c>
      <c r="B22" s="85" t="s">
        <v>153</v>
      </c>
      <c r="C22" s="114">
        <f t="shared" ref="C22:L22" si="19">C13*0.92</f>
        <v>0.60977599999999998</v>
      </c>
      <c r="D22" s="114">
        <f t="shared" si="19"/>
        <v>0.60977599999999998</v>
      </c>
      <c r="E22" s="114">
        <f t="shared" si="19"/>
        <v>0.60076000000000007</v>
      </c>
      <c r="F22" s="114">
        <f t="shared" si="19"/>
        <v>0.59652800000000006</v>
      </c>
      <c r="G22" s="114">
        <f t="shared" si="19"/>
        <v>0</v>
      </c>
      <c r="H22" s="114">
        <f t="shared" si="19"/>
        <v>0</v>
      </c>
      <c r="I22" s="114">
        <f t="shared" si="19"/>
        <v>0</v>
      </c>
      <c r="J22" s="114">
        <f t="shared" si="19"/>
        <v>0</v>
      </c>
      <c r="K22" s="114">
        <f t="shared" si="19"/>
        <v>0.60177200000000008</v>
      </c>
      <c r="L22" s="114">
        <f t="shared" si="19"/>
        <v>0.60848800000000003</v>
      </c>
    </row>
    <row r="23" spans="1:12" x14ac:dyDescent="0.3">
      <c r="A23" s="89" t="s">
        <v>116</v>
      </c>
      <c r="B23" s="85" t="s">
        <v>154</v>
      </c>
      <c r="C23" s="115">
        <f t="shared" ref="C23:L23" si="20">C13*0.91</f>
        <v>0.60314800000000002</v>
      </c>
      <c r="D23" s="115">
        <f t="shared" si="20"/>
        <v>0.60314800000000002</v>
      </c>
      <c r="E23" s="115">
        <f t="shared" si="20"/>
        <v>0.59423000000000004</v>
      </c>
      <c r="F23" s="115">
        <f t="shared" si="20"/>
        <v>0.59004400000000001</v>
      </c>
      <c r="G23" s="115">
        <f t="shared" si="20"/>
        <v>0</v>
      </c>
      <c r="H23" s="115">
        <f t="shared" si="20"/>
        <v>0</v>
      </c>
      <c r="I23" s="115">
        <f t="shared" si="20"/>
        <v>0</v>
      </c>
      <c r="J23" s="115">
        <f t="shared" si="20"/>
        <v>0</v>
      </c>
      <c r="K23" s="115">
        <f t="shared" si="20"/>
        <v>0.59523100000000007</v>
      </c>
      <c r="L23" s="115">
        <f t="shared" si="20"/>
        <v>0.60187400000000002</v>
      </c>
    </row>
    <row r="24" spans="1:12" x14ac:dyDescent="0.3">
      <c r="A24" s="89" t="s">
        <v>116</v>
      </c>
      <c r="B24" s="85" t="s">
        <v>155</v>
      </c>
      <c r="C24" s="114">
        <f t="shared" ref="C24:L24" si="21">C13*0.9</f>
        <v>0.59651999999999994</v>
      </c>
      <c r="D24" s="114">
        <f t="shared" si="21"/>
        <v>0.59651999999999994</v>
      </c>
      <c r="E24" s="114">
        <f t="shared" si="21"/>
        <v>0.5877</v>
      </c>
      <c r="F24" s="114">
        <f t="shared" si="21"/>
        <v>0.58355999999999997</v>
      </c>
      <c r="G24" s="114">
        <f t="shared" si="21"/>
        <v>0</v>
      </c>
      <c r="H24" s="114">
        <f t="shared" si="21"/>
        <v>0</v>
      </c>
      <c r="I24" s="114">
        <f t="shared" si="21"/>
        <v>0</v>
      </c>
      <c r="J24" s="114">
        <f t="shared" si="21"/>
        <v>0</v>
      </c>
      <c r="K24" s="114">
        <f t="shared" si="21"/>
        <v>0.58869000000000005</v>
      </c>
      <c r="L24" s="114">
        <f t="shared" si="21"/>
        <v>0.59526000000000001</v>
      </c>
    </row>
    <row r="28" spans="1:12" ht="120.5" customHeight="1" x14ac:dyDescent="0.3">
      <c r="C28" s="190" t="s">
        <v>156</v>
      </c>
      <c r="D28" s="191"/>
      <c r="E28" s="191"/>
      <c r="F28" s="191"/>
      <c r="G28" s="191"/>
      <c r="H28" s="91"/>
      <c r="I28" s="192"/>
      <c r="J28" s="192"/>
      <c r="K28" s="192"/>
      <c r="L28" s="192"/>
    </row>
    <row r="29" spans="1:12" ht="122.5" customHeight="1" x14ac:dyDescent="0.3">
      <c r="C29" s="193" t="s">
        <v>157</v>
      </c>
      <c r="D29" s="194"/>
      <c r="E29" s="194"/>
      <c r="F29" s="194"/>
      <c r="G29" s="194"/>
      <c r="H29" s="65"/>
      <c r="I29" s="164"/>
      <c r="J29" s="164"/>
      <c r="K29" s="164"/>
      <c r="L29" s="164"/>
    </row>
    <row r="30" spans="1:12" ht="13.5" customHeight="1" x14ac:dyDescent="0.3"/>
  </sheetData>
  <mergeCells count="4">
    <mergeCell ref="C28:G28"/>
    <mergeCell ref="I28:L28"/>
    <mergeCell ref="C29:G29"/>
    <mergeCell ref="I29:L29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3A53-BDEF-4C05-BCDA-F1AA1AA55BC6}">
  <dimension ref="A1:U29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1" sqref="E21:E22"/>
    </sheetView>
  </sheetViews>
  <sheetFormatPr defaultRowHeight="14" x14ac:dyDescent="0.3"/>
  <cols>
    <col min="1" max="1" width="13.1640625" style="1" bestFit="1" customWidth="1"/>
    <col min="2" max="2" width="8.6640625" style="1"/>
    <col min="3" max="3" width="8.5" style="1" customWidth="1"/>
    <col min="4" max="4" width="8.5" style="1" bestFit="1" customWidth="1"/>
    <col min="5" max="5" width="12.4140625" style="1" bestFit="1" customWidth="1"/>
    <col min="6" max="7" width="8.5" style="1" customWidth="1"/>
    <col min="8" max="8" width="8.6640625" style="1"/>
    <col min="9" max="9" width="7.08203125" style="1" bestFit="1" customWidth="1"/>
    <col min="10" max="11" width="10.4140625" style="1" bestFit="1" customWidth="1"/>
    <col min="12" max="12" width="6.6640625" style="1" bestFit="1" customWidth="1"/>
    <col min="13" max="14" width="12.4140625" style="1" bestFit="1" customWidth="1"/>
    <col min="15" max="15" width="12.4140625" style="1" customWidth="1"/>
    <col min="16" max="18" width="13.6640625" style="1" customWidth="1"/>
    <col min="19" max="19" width="8.6640625" style="1"/>
    <col min="20" max="20" width="10.4140625" style="1" customWidth="1"/>
    <col min="21" max="16384" width="8.6640625" style="1"/>
  </cols>
  <sheetData>
    <row r="1" spans="1:21" x14ac:dyDescent="0.3">
      <c r="A1" s="3"/>
      <c r="B1" s="232" t="s">
        <v>224</v>
      </c>
      <c r="C1" s="232"/>
      <c r="D1" s="232"/>
      <c r="E1" s="232"/>
      <c r="F1" s="232"/>
      <c r="G1" s="232"/>
      <c r="H1" s="232"/>
      <c r="I1" s="232"/>
      <c r="J1" s="243" t="s">
        <v>223</v>
      </c>
      <c r="K1" s="244"/>
      <c r="L1" s="244"/>
      <c r="M1" s="244"/>
      <c r="N1" s="245"/>
      <c r="O1" s="240" t="s">
        <v>222</v>
      </c>
      <c r="P1" s="241"/>
      <c r="Q1" s="241"/>
      <c r="R1" s="241"/>
      <c r="S1" s="242"/>
      <c r="T1" s="239" t="s">
        <v>221</v>
      </c>
      <c r="U1" s="239"/>
    </row>
    <row r="2" spans="1:21" ht="28" x14ac:dyDescent="0.3">
      <c r="A2" s="3" t="s">
        <v>220</v>
      </c>
      <c r="B2" s="3" t="s">
        <v>219</v>
      </c>
      <c r="C2" s="3" t="s">
        <v>218</v>
      </c>
      <c r="D2" s="65" t="s">
        <v>206</v>
      </c>
      <c r="E2" s="65" t="s">
        <v>217</v>
      </c>
      <c r="F2" s="3" t="s">
        <v>216</v>
      </c>
      <c r="G2" s="3" t="s">
        <v>215</v>
      </c>
      <c r="H2" s="3" t="s">
        <v>214</v>
      </c>
      <c r="I2" s="65" t="s">
        <v>137</v>
      </c>
      <c r="J2" s="3" t="s">
        <v>213</v>
      </c>
      <c r="K2" s="3" t="s">
        <v>212</v>
      </c>
      <c r="L2" s="3" t="s">
        <v>145</v>
      </c>
      <c r="M2" s="65" t="s">
        <v>211</v>
      </c>
      <c r="N2" s="65" t="s">
        <v>210</v>
      </c>
      <c r="O2" s="65" t="s">
        <v>209</v>
      </c>
      <c r="P2" s="65" t="s">
        <v>208</v>
      </c>
      <c r="Q2" s="65" t="s">
        <v>207</v>
      </c>
      <c r="R2" s="65" t="s">
        <v>206</v>
      </c>
      <c r="S2" s="3" t="s">
        <v>205</v>
      </c>
      <c r="T2" s="3" t="s">
        <v>204</v>
      </c>
      <c r="U2" s="65" t="s">
        <v>203</v>
      </c>
    </row>
    <row r="3" spans="1:21" x14ac:dyDescent="0.3">
      <c r="A3" s="230">
        <f>DATE(2024, 6, 25) + (ROW() - 2)/2</f>
        <v>45468.5</v>
      </c>
      <c r="B3" s="136" t="s">
        <v>69</v>
      </c>
      <c r="C3" s="135">
        <v>3.5219999999999998</v>
      </c>
      <c r="D3" s="135">
        <v>19</v>
      </c>
      <c r="E3" s="231">
        <f>(C3-C4)/C3</f>
        <v>5.3946621237932098E-3</v>
      </c>
      <c r="F3" s="232">
        <v>0</v>
      </c>
      <c r="G3" s="134" t="e">
        <f>(F3-C3)/F3</f>
        <v>#DIV/0!</v>
      </c>
      <c r="H3" s="133" t="e">
        <f>D3*C3*G3</f>
        <v>#DIV/0!</v>
      </c>
      <c r="I3" s="238">
        <f>F3*(1-E3)</f>
        <v>0</v>
      </c>
      <c r="J3" s="234">
        <v>195.69</v>
      </c>
      <c r="K3" s="234">
        <v>193.84</v>
      </c>
      <c r="L3" s="235">
        <f>J3*0.25</f>
        <v>48.922499999999999</v>
      </c>
      <c r="M3" s="130">
        <f>J3*O3</f>
        <v>73.383749999999992</v>
      </c>
      <c r="N3" s="129">
        <f>C3*D3</f>
        <v>66.917999999999992</v>
      </c>
      <c r="O3" s="236">
        <v>0.375</v>
      </c>
      <c r="P3" s="128">
        <f>N3/J3</f>
        <v>0.34195922121723132</v>
      </c>
      <c r="Q3" s="127">
        <f>M3/C3</f>
        <v>20.835817717206133</v>
      </c>
      <c r="R3" s="126">
        <f>D3</f>
        <v>19</v>
      </c>
      <c r="S3" s="126">
        <f>Q3-R3</f>
        <v>1.8358177172061332</v>
      </c>
      <c r="T3" s="237">
        <v>3.6760000000000002</v>
      </c>
      <c r="U3" s="226">
        <f>(T3-C3)/C3</f>
        <v>4.3725156161272108E-2</v>
      </c>
    </row>
    <row r="4" spans="1:21" x14ac:dyDescent="0.3">
      <c r="A4" s="230"/>
      <c r="B4" s="71" t="s">
        <v>68</v>
      </c>
      <c r="C4" s="74">
        <v>3.5030000000000001</v>
      </c>
      <c r="D4" s="74">
        <v>19</v>
      </c>
      <c r="E4" s="231"/>
      <c r="F4" s="232"/>
      <c r="G4" s="132">
        <f>(C4-F3)/C4</f>
        <v>1</v>
      </c>
      <c r="H4" s="131">
        <f>D4*C4*G4</f>
        <v>66.557000000000002</v>
      </c>
      <c r="I4" s="238"/>
      <c r="J4" s="234"/>
      <c r="K4" s="234"/>
      <c r="L4" s="235"/>
      <c r="M4" s="130">
        <f>J3*O3</f>
        <v>73.383749999999992</v>
      </c>
      <c r="N4" s="129">
        <f>C4*D4</f>
        <v>66.557000000000002</v>
      </c>
      <c r="O4" s="236"/>
      <c r="P4" s="128">
        <f>N4/J3</f>
        <v>0.34011446675864893</v>
      </c>
      <c r="Q4" s="127">
        <f>M4/C4</f>
        <v>20.948829574650297</v>
      </c>
      <c r="R4" s="126">
        <f>D4</f>
        <v>19</v>
      </c>
      <c r="S4" s="126">
        <f>Q4-R4</f>
        <v>1.948829574650297</v>
      </c>
      <c r="T4" s="237"/>
      <c r="U4" s="226"/>
    </row>
    <row r="5" spans="1:21" x14ac:dyDescent="0.3">
      <c r="A5" s="230"/>
      <c r="B5" s="251"/>
      <c r="C5" s="252"/>
      <c r="D5" s="252"/>
      <c r="E5" s="252"/>
      <c r="F5" s="252"/>
      <c r="G5" s="252"/>
      <c r="H5" s="252"/>
      <c r="I5" s="253"/>
      <c r="J5" s="227"/>
      <c r="K5" s="228"/>
      <c r="L5" s="228"/>
      <c r="M5" s="228"/>
      <c r="N5" s="229"/>
      <c r="O5" s="248"/>
      <c r="P5" s="249"/>
      <c r="Q5" s="249"/>
      <c r="R5" s="249"/>
      <c r="S5" s="250"/>
      <c r="T5" s="246"/>
      <c r="U5" s="247"/>
    </row>
    <row r="6" spans="1:21" x14ac:dyDescent="0.3">
      <c r="A6" s="230">
        <f>DATE(2024, 6, 25) + (ROW() - 2)/3</f>
        <v>45469.333333333336</v>
      </c>
      <c r="B6" s="136" t="s">
        <v>69</v>
      </c>
      <c r="C6" s="135">
        <v>3.5219999999999998</v>
      </c>
      <c r="D6" s="135">
        <v>19</v>
      </c>
      <c r="E6" s="231">
        <f>(C6-C7)/C6</f>
        <v>5.3946621237932098E-3</v>
      </c>
      <c r="F6" s="232">
        <v>0</v>
      </c>
      <c r="G6" s="134" t="e">
        <f>(F6-C6)/F6</f>
        <v>#DIV/0!</v>
      </c>
      <c r="H6" s="133" t="e">
        <f>D6*C6*G6</f>
        <v>#DIV/0!</v>
      </c>
      <c r="I6" s="238">
        <f>F6*(1-E6)</f>
        <v>0</v>
      </c>
      <c r="J6" s="234">
        <f>K3</f>
        <v>193.84</v>
      </c>
      <c r="K6" s="234">
        <v>193.84</v>
      </c>
      <c r="L6" s="235">
        <f>J6*0.25</f>
        <v>48.46</v>
      </c>
      <c r="M6" s="130">
        <f>J6*O6</f>
        <v>72.69</v>
      </c>
      <c r="N6" s="129">
        <f>C6*D6</f>
        <v>66.917999999999992</v>
      </c>
      <c r="O6" s="236">
        <v>0.375</v>
      </c>
      <c r="P6" s="128">
        <f>N6/J6</f>
        <v>0.34522286421791165</v>
      </c>
      <c r="Q6" s="127">
        <f>M6/C6</f>
        <v>20.638841567291312</v>
      </c>
      <c r="R6" s="126">
        <f>D6</f>
        <v>19</v>
      </c>
      <c r="S6" s="126">
        <f>Q6-R6</f>
        <v>1.6388415672913119</v>
      </c>
      <c r="T6" s="237">
        <v>3.6760000000000002</v>
      </c>
      <c r="U6" s="226">
        <f>(T6-C6)/C6</f>
        <v>4.3725156161272108E-2</v>
      </c>
    </row>
    <row r="7" spans="1:21" x14ac:dyDescent="0.3">
      <c r="A7" s="230"/>
      <c r="B7" s="71" t="s">
        <v>68</v>
      </c>
      <c r="C7" s="74">
        <v>3.5030000000000001</v>
      </c>
      <c r="D7" s="74">
        <v>19</v>
      </c>
      <c r="E7" s="231"/>
      <c r="F7" s="232"/>
      <c r="G7" s="132">
        <f>(C7-F6)/C7</f>
        <v>1</v>
      </c>
      <c r="H7" s="131">
        <f>D7*C7*G7</f>
        <v>66.557000000000002</v>
      </c>
      <c r="I7" s="238"/>
      <c r="J7" s="234"/>
      <c r="K7" s="234"/>
      <c r="L7" s="235"/>
      <c r="M7" s="130">
        <f>J6*O6</f>
        <v>72.69</v>
      </c>
      <c r="N7" s="129">
        <f>C7*D7</f>
        <v>66.557000000000002</v>
      </c>
      <c r="O7" s="236"/>
      <c r="P7" s="128">
        <f>N7/J6</f>
        <v>0.34336050350804787</v>
      </c>
      <c r="Q7" s="127">
        <f>M7/C7</f>
        <v>20.75078504139309</v>
      </c>
      <c r="R7" s="126">
        <f>D7</f>
        <v>19</v>
      </c>
      <c r="S7" s="126">
        <f>Q7-R7</f>
        <v>1.7507850413930903</v>
      </c>
      <c r="T7" s="237"/>
      <c r="U7" s="226"/>
    </row>
    <row r="8" spans="1:21" x14ac:dyDescent="0.3">
      <c r="A8" s="230"/>
      <c r="B8" s="251"/>
      <c r="C8" s="252"/>
      <c r="D8" s="252"/>
      <c r="E8" s="252"/>
      <c r="F8" s="252"/>
      <c r="G8" s="252"/>
      <c r="H8" s="252"/>
      <c r="I8" s="253"/>
      <c r="J8" s="227"/>
      <c r="K8" s="228"/>
      <c r="L8" s="228"/>
      <c r="M8" s="228"/>
      <c r="N8" s="229"/>
      <c r="O8" s="248"/>
      <c r="P8" s="249"/>
      <c r="Q8" s="249"/>
      <c r="R8" s="249"/>
      <c r="S8" s="250"/>
      <c r="T8" s="246"/>
      <c r="U8" s="247"/>
    </row>
    <row r="9" spans="1:21" x14ac:dyDescent="0.3">
      <c r="A9" s="230">
        <f>DATE(2024, 6, 25) + (ROW() - 2)/3</f>
        <v>45470.333333333336</v>
      </c>
      <c r="B9" s="136" t="s">
        <v>69</v>
      </c>
      <c r="C9" s="135">
        <v>3.5139999999999998</v>
      </c>
      <c r="D9" s="135">
        <v>19</v>
      </c>
      <c r="E9" s="231">
        <f>(C9-C10)/C9</f>
        <v>8.5372794536131753E-4</v>
      </c>
      <c r="F9" s="232">
        <v>3.6549999999999998</v>
      </c>
      <c r="G9" s="134">
        <f>(F9-C9)/F9</f>
        <v>3.8577291381668953E-2</v>
      </c>
      <c r="H9" s="133">
        <f>D9*C9*G9</f>
        <v>2.575651436388509</v>
      </c>
      <c r="I9" s="238">
        <f>F9*(1-E9)</f>
        <v>3.651879624359704</v>
      </c>
      <c r="J9" s="234">
        <f>K6</f>
        <v>193.84</v>
      </c>
      <c r="K9" s="234">
        <v>191.89500000000001</v>
      </c>
      <c r="L9" s="235">
        <f>J9*0.25</f>
        <v>48.46</v>
      </c>
      <c r="M9" s="130">
        <f>J9*O9</f>
        <v>72.69</v>
      </c>
      <c r="N9" s="129">
        <f>C9*D9</f>
        <v>66.765999999999991</v>
      </c>
      <c r="O9" s="236">
        <v>0.375</v>
      </c>
      <c r="P9" s="128">
        <f>N9/J9</f>
        <v>0.34443871234007423</v>
      </c>
      <c r="Q9" s="127">
        <f>M9/C9</f>
        <v>20.685828116107</v>
      </c>
      <c r="R9" s="126">
        <f>D9</f>
        <v>19</v>
      </c>
      <c r="S9" s="126">
        <f>Q9-R9</f>
        <v>1.6858281161070003</v>
      </c>
      <c r="T9" s="237">
        <v>3.6760000000000002</v>
      </c>
      <c r="U9" s="226">
        <f>(T9-C9)/C9</f>
        <v>4.6101309049516329E-2</v>
      </c>
    </row>
    <row r="10" spans="1:21" x14ac:dyDescent="0.3">
      <c r="A10" s="230"/>
      <c r="B10" s="71" t="s">
        <v>68</v>
      </c>
      <c r="C10" s="74">
        <v>3.5110000000000001</v>
      </c>
      <c r="D10" s="74">
        <v>26</v>
      </c>
      <c r="E10" s="231"/>
      <c r="F10" s="232"/>
      <c r="G10" s="132">
        <f>(C10-F9)/C10</f>
        <v>-4.1013956137852373E-2</v>
      </c>
      <c r="H10" s="131">
        <f>D10*C10*G10</f>
        <v>-3.7439999999999918</v>
      </c>
      <c r="I10" s="238"/>
      <c r="J10" s="234"/>
      <c r="K10" s="234"/>
      <c r="L10" s="235"/>
      <c r="M10" s="130">
        <f>J9*O9</f>
        <v>72.69</v>
      </c>
      <c r="N10" s="129">
        <f>C10*D10</f>
        <v>91.286000000000001</v>
      </c>
      <c r="O10" s="236"/>
      <c r="P10" s="128">
        <f>N10/J9</f>
        <v>0.47093479158068507</v>
      </c>
      <c r="Q10" s="127">
        <f>M10/C10</f>
        <v>20.703503275420108</v>
      </c>
      <c r="R10" s="126">
        <f>D10</f>
        <v>26</v>
      </c>
      <c r="S10" s="126">
        <f>Q10-R10</f>
        <v>-5.2964967245798924</v>
      </c>
      <c r="T10" s="237"/>
      <c r="U10" s="226"/>
    </row>
    <row r="11" spans="1:21" x14ac:dyDescent="0.3">
      <c r="A11" s="230"/>
      <c r="B11" s="227"/>
      <c r="C11" s="228"/>
      <c r="D11" s="228"/>
      <c r="E11" s="228"/>
      <c r="F11" s="228"/>
      <c r="G11" s="228"/>
      <c r="H11" s="228"/>
      <c r="I11" s="229"/>
      <c r="J11" s="227"/>
      <c r="K11" s="228"/>
      <c r="L11" s="228"/>
      <c r="M11" s="228"/>
      <c r="N11" s="229"/>
      <c r="O11" s="227"/>
      <c r="P11" s="228"/>
      <c r="Q11" s="228"/>
      <c r="R11" s="228"/>
      <c r="S11" s="229"/>
      <c r="T11" s="227"/>
      <c r="U11" s="229"/>
    </row>
    <row r="12" spans="1:21" x14ac:dyDescent="0.3">
      <c r="A12" s="230">
        <f>DATE(2024, 6, 25) + (ROW() - 2)/3</f>
        <v>45471.333333333336</v>
      </c>
      <c r="B12" s="136" t="s">
        <v>69</v>
      </c>
      <c r="C12" s="135">
        <v>3.54</v>
      </c>
      <c r="D12" s="135">
        <v>13</v>
      </c>
      <c r="E12" s="231">
        <f>(C12-C13)/C12</f>
        <v>2.6553672316384141E-2</v>
      </c>
      <c r="F12" s="232">
        <v>3.4460000000000002</v>
      </c>
      <c r="G12" s="134">
        <f>(F12-C12)/F12</f>
        <v>-2.7278003482298276E-2</v>
      </c>
      <c r="H12" s="133">
        <f>D12*C12*G12</f>
        <v>-1.2553337202553667</v>
      </c>
      <c r="I12" s="238">
        <f>F12*(1-E12)</f>
        <v>3.3544960451977404</v>
      </c>
      <c r="J12" s="234">
        <f>K9</f>
        <v>191.89500000000001</v>
      </c>
      <c r="K12" s="234">
        <v>197.23</v>
      </c>
      <c r="L12" s="235">
        <f>J12*0.25</f>
        <v>47.973750000000003</v>
      </c>
      <c r="M12" s="130">
        <f>J12*O12</f>
        <v>71.960625000000007</v>
      </c>
      <c r="N12" s="129">
        <f>C12*D12</f>
        <v>46.02</v>
      </c>
      <c r="O12" s="236">
        <v>0.375</v>
      </c>
      <c r="P12" s="128">
        <f>N12/J12</f>
        <v>0.23981865082466974</v>
      </c>
      <c r="Q12" s="127">
        <f>M12/C12</f>
        <v>20.327860169491526</v>
      </c>
      <c r="R12" s="126">
        <f>D12</f>
        <v>13</v>
      </c>
      <c r="S12" s="126">
        <f>Q12-R12</f>
        <v>7.327860169491526</v>
      </c>
      <c r="T12" s="237">
        <v>3.843</v>
      </c>
      <c r="U12" s="226">
        <f>(T12-C12)/C12</f>
        <v>8.5593220338983034E-2</v>
      </c>
    </row>
    <row r="13" spans="1:21" x14ac:dyDescent="0.3">
      <c r="A13" s="230"/>
      <c r="B13" s="71" t="s">
        <v>68</v>
      </c>
      <c r="C13" s="74">
        <v>3.4460000000000002</v>
      </c>
      <c r="D13" s="74">
        <v>11</v>
      </c>
      <c r="E13" s="231"/>
      <c r="F13" s="232"/>
      <c r="G13" s="132">
        <f>(C13-F12)/C13</f>
        <v>0</v>
      </c>
      <c r="H13" s="131">
        <f>D13*C13*G13</f>
        <v>0</v>
      </c>
      <c r="I13" s="238"/>
      <c r="J13" s="234"/>
      <c r="K13" s="234"/>
      <c r="L13" s="235"/>
      <c r="M13" s="130">
        <f>J12*O12</f>
        <v>71.960625000000007</v>
      </c>
      <c r="N13" s="129">
        <f>C13*D13</f>
        <v>37.905999999999999</v>
      </c>
      <c r="O13" s="236"/>
      <c r="P13" s="128">
        <f>N13/J12</f>
        <v>0.19753511034680424</v>
      </c>
      <c r="Q13" s="127">
        <f>M13/C13</f>
        <v>20.88236360998259</v>
      </c>
      <c r="R13" s="126">
        <f>D13</f>
        <v>11</v>
      </c>
      <c r="S13" s="126">
        <f>Q13-R13</f>
        <v>9.8823636099825904</v>
      </c>
      <c r="T13" s="237"/>
      <c r="U13" s="226"/>
    </row>
    <row r="14" spans="1:21" x14ac:dyDescent="0.3">
      <c r="A14" s="230"/>
      <c r="B14" s="227"/>
      <c r="C14" s="228"/>
      <c r="D14" s="228"/>
      <c r="E14" s="228"/>
      <c r="F14" s="228"/>
      <c r="G14" s="228"/>
      <c r="H14" s="228"/>
      <c r="I14" s="229"/>
      <c r="J14" s="227"/>
      <c r="K14" s="228"/>
      <c r="L14" s="228"/>
      <c r="M14" s="228"/>
      <c r="N14" s="229"/>
      <c r="O14" s="227"/>
      <c r="P14" s="228"/>
      <c r="Q14" s="228"/>
      <c r="R14" s="228"/>
      <c r="S14" s="229"/>
      <c r="T14" s="227"/>
      <c r="U14" s="229"/>
    </row>
    <row r="15" spans="1:21" x14ac:dyDescent="0.3">
      <c r="A15" s="230" t="s">
        <v>202</v>
      </c>
      <c r="B15" s="136" t="s">
        <v>69</v>
      </c>
      <c r="C15" s="135">
        <v>3.3820000000000001</v>
      </c>
      <c r="D15" s="135">
        <v>24</v>
      </c>
      <c r="E15" s="231">
        <f>(C15-C16)/C15</f>
        <v>1.7149615612063948E-2</v>
      </c>
      <c r="F15" s="232">
        <v>3.1579999999999999</v>
      </c>
      <c r="G15" s="134">
        <f>(F15-C15)/F15</f>
        <v>-7.0930968967701138E-2</v>
      </c>
      <c r="H15" s="133">
        <f>D15*C15*G15</f>
        <v>-5.7573248891703663</v>
      </c>
      <c r="I15" s="238">
        <f>F15*(1-E15)</f>
        <v>3.1038415138971018</v>
      </c>
      <c r="J15" s="234">
        <f>K12</f>
        <v>197.23</v>
      </c>
      <c r="K15" s="234">
        <v>194.93899999999999</v>
      </c>
      <c r="L15" s="235">
        <f>J15*0.25</f>
        <v>49.307499999999997</v>
      </c>
      <c r="M15" s="130">
        <f>J15*O15</f>
        <v>73.961249999999993</v>
      </c>
      <c r="N15" s="129">
        <f>C15*D15</f>
        <v>81.168000000000006</v>
      </c>
      <c r="O15" s="236">
        <v>0.375</v>
      </c>
      <c r="P15" s="128">
        <f>N15/J15</f>
        <v>0.41153982659838773</v>
      </c>
      <c r="Q15" s="127">
        <f>M15/C15</f>
        <v>21.869086339444113</v>
      </c>
      <c r="R15" s="126">
        <f>D15</f>
        <v>24</v>
      </c>
      <c r="S15" s="126">
        <f>Q15-R15</f>
        <v>-2.1309136605558869</v>
      </c>
      <c r="T15" s="237">
        <v>3.6760000000000002</v>
      </c>
      <c r="U15" s="226">
        <f>(T15-C15)/C15</f>
        <v>8.6930810171496162E-2</v>
      </c>
    </row>
    <row r="16" spans="1:21" x14ac:dyDescent="0.3">
      <c r="A16" s="230"/>
      <c r="B16" s="71" t="s">
        <v>68</v>
      </c>
      <c r="C16" s="74">
        <v>3.3239999999999998</v>
      </c>
      <c r="D16" s="74">
        <v>12</v>
      </c>
      <c r="E16" s="231"/>
      <c r="F16" s="232"/>
      <c r="G16" s="132">
        <f>(C16-F15)/C16</f>
        <v>4.993983152827916E-2</v>
      </c>
      <c r="H16" s="131">
        <f>D16*C16*G16</f>
        <v>1.9919999999999991</v>
      </c>
      <c r="I16" s="238"/>
      <c r="J16" s="234"/>
      <c r="K16" s="234"/>
      <c r="L16" s="235"/>
      <c r="M16" s="130">
        <f>J15*O15</f>
        <v>73.961249999999993</v>
      </c>
      <c r="N16" s="129">
        <f>C16*D16</f>
        <v>39.887999999999998</v>
      </c>
      <c r="O16" s="236"/>
      <c r="P16" s="128">
        <f>N16/J15</f>
        <v>0.20224103838158494</v>
      </c>
      <c r="Q16" s="127">
        <f>M16/C16</f>
        <v>22.250676895306857</v>
      </c>
      <c r="R16" s="126">
        <f>D16</f>
        <v>12</v>
      </c>
      <c r="S16" s="126">
        <f>Q16-R16</f>
        <v>10.250676895306857</v>
      </c>
      <c r="T16" s="237"/>
      <c r="U16" s="226"/>
    </row>
    <row r="17" spans="1:21" x14ac:dyDescent="0.3">
      <c r="A17" s="230"/>
      <c r="B17" s="227"/>
      <c r="C17" s="228"/>
      <c r="D17" s="228"/>
      <c r="E17" s="228"/>
      <c r="F17" s="228"/>
      <c r="G17" s="228"/>
      <c r="H17" s="228"/>
      <c r="I17" s="229"/>
      <c r="J17" s="227"/>
      <c r="K17" s="228"/>
      <c r="L17" s="228"/>
      <c r="M17" s="228"/>
      <c r="N17" s="229"/>
      <c r="O17" s="227"/>
      <c r="P17" s="228"/>
      <c r="Q17" s="228"/>
      <c r="R17" s="228"/>
      <c r="S17" s="229"/>
      <c r="T17" s="227"/>
      <c r="U17" s="229"/>
    </row>
    <row r="18" spans="1:21" x14ac:dyDescent="0.3">
      <c r="A18" s="230" t="s">
        <v>201</v>
      </c>
      <c r="B18" s="136" t="s">
        <v>69</v>
      </c>
      <c r="C18" s="135">
        <v>3.96</v>
      </c>
      <c r="D18" s="135">
        <v>15</v>
      </c>
      <c r="E18" s="231">
        <f>(C18-C19)/C18</f>
        <v>0.1886363636363636</v>
      </c>
      <c r="F18" s="232">
        <v>3.2629999999999999</v>
      </c>
      <c r="G18" s="134">
        <f>(F18-C18)/F18</f>
        <v>-0.21360711002145269</v>
      </c>
      <c r="H18" s="133">
        <f>D18*C18*G18</f>
        <v>-12.68826233527429</v>
      </c>
      <c r="I18" s="238">
        <f>F18*(1-E18)</f>
        <v>2.6474795454545457</v>
      </c>
      <c r="J18" s="234">
        <f>K15</f>
        <v>194.93899999999999</v>
      </c>
      <c r="K18" s="234">
        <v>196.31399999999999</v>
      </c>
      <c r="L18" s="235">
        <f>J18*0.25</f>
        <v>48.734749999999998</v>
      </c>
      <c r="M18" s="130">
        <f>J18*O18</f>
        <v>73.102125000000001</v>
      </c>
      <c r="N18" s="129">
        <f>C18*D18</f>
        <v>59.4</v>
      </c>
      <c r="O18" s="236">
        <v>0.375</v>
      </c>
      <c r="P18" s="128">
        <f>N18/J18</f>
        <v>0.30471070437418885</v>
      </c>
      <c r="Q18" s="127">
        <f>M18/C18</f>
        <v>18.460132575757576</v>
      </c>
      <c r="R18" s="126">
        <f>D18</f>
        <v>15</v>
      </c>
      <c r="S18" s="126">
        <f>Q18-R18</f>
        <v>3.4601325757575765</v>
      </c>
      <c r="T18" s="237">
        <v>3.6760000000000002</v>
      </c>
      <c r="U18" s="226">
        <f>(T18-C18)/C18</f>
        <v>-7.1717171717171666E-2</v>
      </c>
    </row>
    <row r="19" spans="1:21" x14ac:dyDescent="0.3">
      <c r="A19" s="230"/>
      <c r="B19" s="71" t="s">
        <v>68</v>
      </c>
      <c r="C19" s="74">
        <v>3.2130000000000001</v>
      </c>
      <c r="D19" s="74">
        <v>14</v>
      </c>
      <c r="E19" s="231"/>
      <c r="F19" s="232"/>
      <c r="G19" s="132">
        <f>(C19-F18)/C19</f>
        <v>-1.5561780267662565E-2</v>
      </c>
      <c r="H19" s="131">
        <f>D19*C19*G19</f>
        <v>-0.69999999999999751</v>
      </c>
      <c r="I19" s="238"/>
      <c r="J19" s="234"/>
      <c r="K19" s="234"/>
      <c r="L19" s="235"/>
      <c r="M19" s="130">
        <f>J18*O18</f>
        <v>73.102125000000001</v>
      </c>
      <c r="N19" s="129">
        <f>C19*D19</f>
        <v>44.981999999999999</v>
      </c>
      <c r="O19" s="236"/>
      <c r="P19" s="128">
        <f>N19/J18</f>
        <v>0.23074910613063573</v>
      </c>
      <c r="Q19" s="127">
        <f>M19/C19</f>
        <v>22.751984126984127</v>
      </c>
      <c r="R19" s="126">
        <f>D19</f>
        <v>14</v>
      </c>
      <c r="S19" s="126">
        <f>Q19-R19</f>
        <v>8.7519841269841265</v>
      </c>
      <c r="T19" s="237"/>
      <c r="U19" s="226"/>
    </row>
    <row r="20" spans="1:21" x14ac:dyDescent="0.3">
      <c r="A20" s="230"/>
      <c r="B20" s="227"/>
      <c r="C20" s="228"/>
      <c r="D20" s="228"/>
      <c r="E20" s="228"/>
      <c r="F20" s="228"/>
      <c r="G20" s="228"/>
      <c r="H20" s="228"/>
      <c r="I20" s="229"/>
      <c r="J20" s="227"/>
      <c r="K20" s="228"/>
      <c r="L20" s="228"/>
      <c r="M20" s="228"/>
      <c r="N20" s="229"/>
      <c r="O20" s="227"/>
      <c r="P20" s="228"/>
      <c r="Q20" s="228"/>
      <c r="R20" s="228"/>
      <c r="S20" s="229"/>
      <c r="T20" s="227"/>
      <c r="U20" s="229"/>
    </row>
    <row r="21" spans="1:21" x14ac:dyDescent="0.3">
      <c r="A21" s="230">
        <v>45474</v>
      </c>
      <c r="B21" s="136" t="s">
        <v>69</v>
      </c>
      <c r="C21" s="135">
        <v>3.2269999999999999</v>
      </c>
      <c r="D21" s="135">
        <v>20</v>
      </c>
      <c r="E21" s="231">
        <f>(C21-C22)/C21</f>
        <v>-9.9163309575457173E-2</v>
      </c>
      <c r="F21" s="232">
        <v>3.1259999999999999</v>
      </c>
      <c r="G21" s="134">
        <f>(F21-C21)/F21</f>
        <v>-3.2309660908509272E-2</v>
      </c>
      <c r="H21" s="133">
        <f>D21*C21*G21</f>
        <v>-2.085265515035188</v>
      </c>
      <c r="I21" s="238">
        <f>F21*(1-E21)</f>
        <v>3.4359845057328791</v>
      </c>
      <c r="J21" s="234">
        <f>K18</f>
        <v>196.31399999999999</v>
      </c>
      <c r="K21" s="234">
        <v>197.99</v>
      </c>
      <c r="L21" s="235">
        <f>J21*0.25</f>
        <v>49.078499999999998</v>
      </c>
      <c r="M21" s="130">
        <f>J21*O21</f>
        <v>73.617750000000001</v>
      </c>
      <c r="N21" s="129">
        <f>C21*D21</f>
        <v>64.539999999999992</v>
      </c>
      <c r="O21" s="236">
        <v>0.375</v>
      </c>
      <c r="P21" s="128">
        <f>N21/J21</f>
        <v>0.32875902890267628</v>
      </c>
      <c r="Q21" s="127">
        <f>M21/C21</f>
        <v>22.813061667183142</v>
      </c>
      <c r="R21" s="126">
        <f>D21</f>
        <v>20</v>
      </c>
      <c r="S21" s="126">
        <f>Q21-R21</f>
        <v>2.8130616671831419</v>
      </c>
      <c r="T21" s="237">
        <v>3.6760000000000002</v>
      </c>
      <c r="U21" s="226">
        <f>(T21-C21)/C21</f>
        <v>0.13913851874806332</v>
      </c>
    </row>
    <row r="22" spans="1:21" x14ac:dyDescent="0.3">
      <c r="A22" s="230"/>
      <c r="B22" s="71" t="s">
        <v>68</v>
      </c>
      <c r="C22" s="74">
        <v>3.5470000000000002</v>
      </c>
      <c r="D22" s="74">
        <v>8</v>
      </c>
      <c r="E22" s="231"/>
      <c r="F22" s="232"/>
      <c r="G22" s="132">
        <f>(C22-F21)/C22</f>
        <v>0.11869185226952361</v>
      </c>
      <c r="H22" s="131">
        <f>D22*C22*G22</f>
        <v>3.3680000000000021</v>
      </c>
      <c r="I22" s="238"/>
      <c r="J22" s="234"/>
      <c r="K22" s="234"/>
      <c r="L22" s="235"/>
      <c r="M22" s="130">
        <f>J21*O21</f>
        <v>73.617750000000001</v>
      </c>
      <c r="N22" s="129">
        <f>C22*D22</f>
        <v>28.376000000000001</v>
      </c>
      <c r="O22" s="236"/>
      <c r="P22" s="128">
        <f>N22/J21</f>
        <v>0.14454394490459163</v>
      </c>
      <c r="Q22" s="127">
        <f>M22/C22</f>
        <v>20.754933746828303</v>
      </c>
      <c r="R22" s="126">
        <f>D22</f>
        <v>8</v>
      </c>
      <c r="S22" s="126">
        <f>Q22-R22</f>
        <v>12.754933746828303</v>
      </c>
      <c r="T22" s="237"/>
      <c r="U22" s="226"/>
    </row>
    <row r="23" spans="1:21" x14ac:dyDescent="0.3">
      <c r="A23" s="230"/>
      <c r="B23" s="227"/>
      <c r="C23" s="228"/>
      <c r="D23" s="228"/>
      <c r="E23" s="228"/>
      <c r="F23" s="228"/>
      <c r="G23" s="228"/>
      <c r="H23" s="228"/>
      <c r="I23" s="229"/>
      <c r="J23" s="227"/>
      <c r="K23" s="228"/>
      <c r="L23" s="228"/>
      <c r="M23" s="228"/>
      <c r="N23" s="229"/>
      <c r="O23" s="227"/>
      <c r="P23" s="228"/>
      <c r="Q23" s="228"/>
      <c r="R23" s="228"/>
      <c r="S23" s="229"/>
      <c r="T23" s="227"/>
      <c r="U23" s="229"/>
    </row>
    <row r="24" spans="1:21" x14ac:dyDescent="0.3">
      <c r="A24" s="230">
        <v>45474</v>
      </c>
      <c r="B24" s="136" t="s">
        <v>69</v>
      </c>
      <c r="C24" s="135">
        <v>0.66090000000000004</v>
      </c>
      <c r="D24" s="135">
        <v>23</v>
      </c>
      <c r="E24" s="231">
        <f>(C24-C25)/C24</f>
        <v>-3.9340293539112357E-3</v>
      </c>
      <c r="F24" s="232">
        <v>0</v>
      </c>
      <c r="G24" s="134" t="e">
        <f>(F24-C24)/F24</f>
        <v>#DIV/0!</v>
      </c>
      <c r="H24" s="133" t="e">
        <f>D24*C24*G24</f>
        <v>#DIV/0!</v>
      </c>
      <c r="I24" s="233">
        <v>0.65800000000000003</v>
      </c>
      <c r="J24" s="234">
        <f>K21</f>
        <v>197.99</v>
      </c>
      <c r="K24" s="234">
        <v>198.06</v>
      </c>
      <c r="L24" s="235">
        <f>J24*0.25</f>
        <v>49.497500000000002</v>
      </c>
      <c r="M24" s="130">
        <f>J24*O24</f>
        <v>74.246250000000003</v>
      </c>
      <c r="N24" s="129">
        <f>C24*D24</f>
        <v>15.200700000000001</v>
      </c>
      <c r="O24" s="236">
        <v>0.375</v>
      </c>
      <c r="P24" s="128">
        <f>N24/J24</f>
        <v>7.6775089650992473E-2</v>
      </c>
      <c r="Q24" s="127">
        <f>M24/C24</f>
        <v>112.34112573763051</v>
      </c>
      <c r="R24" s="126">
        <f>D24</f>
        <v>23</v>
      </c>
      <c r="S24" s="126">
        <f>Q24-R24</f>
        <v>89.341125737630506</v>
      </c>
      <c r="T24" s="237">
        <v>0.69879999999999998</v>
      </c>
      <c r="U24" s="226">
        <f>(T24-C24)/T24</f>
        <v>5.4235832856325036E-2</v>
      </c>
    </row>
    <row r="25" spans="1:21" x14ac:dyDescent="0.3">
      <c r="A25" s="230"/>
      <c r="B25" s="71" t="s">
        <v>68</v>
      </c>
      <c r="C25" s="74">
        <v>0.66349999999999998</v>
      </c>
      <c r="D25" s="74">
        <v>16</v>
      </c>
      <c r="E25" s="231"/>
      <c r="F25" s="232"/>
      <c r="G25" s="132">
        <f>(C25-F24)/C25</f>
        <v>1</v>
      </c>
      <c r="H25" s="131">
        <f>D25*C25*G25</f>
        <v>10.616</v>
      </c>
      <c r="I25" s="233"/>
      <c r="J25" s="234"/>
      <c r="K25" s="234"/>
      <c r="L25" s="235"/>
      <c r="M25" s="130">
        <f>J24*O24</f>
        <v>74.246250000000003</v>
      </c>
      <c r="N25" s="129">
        <f>C25*D25</f>
        <v>10.616</v>
      </c>
      <c r="O25" s="236"/>
      <c r="P25" s="128">
        <f>N25/J24</f>
        <v>5.3618869639880801E-2</v>
      </c>
      <c r="Q25" s="127">
        <f>M25/C25</f>
        <v>111.90090429540318</v>
      </c>
      <c r="R25" s="126">
        <f>D25</f>
        <v>16</v>
      </c>
      <c r="S25" s="126">
        <f>Q25-R25</f>
        <v>95.90090429540318</v>
      </c>
      <c r="T25" s="237"/>
      <c r="U25" s="226"/>
    </row>
    <row r="26" spans="1:21" x14ac:dyDescent="0.3">
      <c r="A26" s="230"/>
      <c r="B26" s="227"/>
      <c r="C26" s="228"/>
      <c r="D26" s="228"/>
      <c r="E26" s="228"/>
      <c r="F26" s="228"/>
      <c r="G26" s="228"/>
      <c r="H26" s="228"/>
      <c r="I26" s="229"/>
      <c r="J26" s="227"/>
      <c r="K26" s="228"/>
      <c r="L26" s="228"/>
      <c r="M26" s="228"/>
      <c r="N26" s="229"/>
      <c r="O26" s="227"/>
      <c r="P26" s="228"/>
      <c r="Q26" s="228"/>
      <c r="R26" s="228"/>
      <c r="S26" s="229"/>
      <c r="T26" s="227"/>
      <c r="U26" s="229"/>
    </row>
    <row r="27" spans="1:21" x14ac:dyDescent="0.3">
      <c r="A27" s="230">
        <v>45476</v>
      </c>
      <c r="B27" s="136" t="s">
        <v>69</v>
      </c>
      <c r="C27" s="135">
        <v>0</v>
      </c>
      <c r="D27" s="135">
        <v>0</v>
      </c>
      <c r="E27" s="231" t="e">
        <f>(C27-C28)/C27</f>
        <v>#DIV/0!</v>
      </c>
      <c r="F27" s="232">
        <v>0</v>
      </c>
      <c r="G27" s="134" t="e">
        <f>(F27-C27)/F27</f>
        <v>#DIV/0!</v>
      </c>
      <c r="H27" s="133" t="e">
        <f>D27*C27*G27</f>
        <v>#DIV/0!</v>
      </c>
      <c r="I27" s="233">
        <v>0.65800000000000003</v>
      </c>
      <c r="J27" s="234">
        <f>K24</f>
        <v>198.06</v>
      </c>
      <c r="K27" s="234">
        <v>0</v>
      </c>
      <c r="L27" s="235">
        <f>J27*0.25</f>
        <v>49.515000000000001</v>
      </c>
      <c r="M27" s="130">
        <f>J27*O27</f>
        <v>74.272500000000008</v>
      </c>
      <c r="N27" s="129">
        <f>C27*D27</f>
        <v>0</v>
      </c>
      <c r="O27" s="236">
        <v>0.375</v>
      </c>
      <c r="P27" s="128">
        <f>N27/J27</f>
        <v>0</v>
      </c>
      <c r="Q27" s="127" t="e">
        <f>M27/C27</f>
        <v>#DIV/0!</v>
      </c>
      <c r="R27" s="126">
        <f>D27</f>
        <v>0</v>
      </c>
      <c r="S27" s="126" t="e">
        <f>Q27-R27</f>
        <v>#DIV/0!</v>
      </c>
      <c r="T27" s="237">
        <v>0.69879999999999998</v>
      </c>
      <c r="U27" s="226">
        <f>(T27-C27)/T27</f>
        <v>1</v>
      </c>
    </row>
    <row r="28" spans="1:21" x14ac:dyDescent="0.3">
      <c r="A28" s="230"/>
      <c r="B28" s="71" t="s">
        <v>68</v>
      </c>
      <c r="C28" s="74">
        <v>4.0199999999999996</v>
      </c>
      <c r="D28" s="74">
        <v>4</v>
      </c>
      <c r="E28" s="231"/>
      <c r="F28" s="232"/>
      <c r="G28" s="132">
        <f>(C28-F27)/C28</f>
        <v>1</v>
      </c>
      <c r="H28" s="131">
        <f>D28*C28*G28</f>
        <v>16.079999999999998</v>
      </c>
      <c r="I28" s="233"/>
      <c r="J28" s="234"/>
      <c r="K28" s="234"/>
      <c r="L28" s="235"/>
      <c r="M28" s="130">
        <f>J27*O27</f>
        <v>74.272500000000008</v>
      </c>
      <c r="N28" s="129">
        <f>C28*D28</f>
        <v>16.079999999999998</v>
      </c>
      <c r="O28" s="236"/>
      <c r="P28" s="128">
        <f>N28/J27</f>
        <v>8.1187518933656458E-2</v>
      </c>
      <c r="Q28" s="127">
        <f>M28/C28</f>
        <v>18.475746268656721</v>
      </c>
      <c r="R28" s="126">
        <f>D28</f>
        <v>4</v>
      </c>
      <c r="S28" s="126">
        <f>Q28-R28</f>
        <v>14.475746268656721</v>
      </c>
      <c r="T28" s="237"/>
      <c r="U28" s="226"/>
    </row>
    <row r="29" spans="1:21" x14ac:dyDescent="0.3">
      <c r="A29" s="230"/>
      <c r="B29" s="227"/>
      <c r="C29" s="228"/>
      <c r="D29" s="228"/>
      <c r="E29" s="228"/>
      <c r="F29" s="228"/>
      <c r="G29" s="228"/>
      <c r="H29" s="228"/>
      <c r="I29" s="229"/>
      <c r="J29" s="227"/>
      <c r="K29" s="228"/>
      <c r="L29" s="228"/>
      <c r="M29" s="228"/>
      <c r="N29" s="229"/>
      <c r="O29" s="227"/>
      <c r="P29" s="228"/>
      <c r="Q29" s="228"/>
      <c r="R29" s="228"/>
      <c r="S29" s="229"/>
      <c r="T29" s="227"/>
      <c r="U29" s="229"/>
    </row>
  </sheetData>
  <mergeCells count="130">
    <mergeCell ref="A24:A26"/>
    <mergeCell ref="E24:E25"/>
    <mergeCell ref="F24:F25"/>
    <mergeCell ref="I24:I25"/>
    <mergeCell ref="J24:J25"/>
    <mergeCell ref="K24:K25"/>
    <mergeCell ref="L24:L25"/>
    <mergeCell ref="B26:I26"/>
    <mergeCell ref="J26:N26"/>
    <mergeCell ref="O26:S26"/>
    <mergeCell ref="T26:U26"/>
    <mergeCell ref="O23:S23"/>
    <mergeCell ref="T23:U23"/>
    <mergeCell ref="K21:K22"/>
    <mergeCell ref="L21:L22"/>
    <mergeCell ref="T17:U17"/>
    <mergeCell ref="J23:N23"/>
    <mergeCell ref="U18:U19"/>
    <mergeCell ref="O24:O25"/>
    <mergeCell ref="T24:T25"/>
    <mergeCell ref="O21:O22"/>
    <mergeCell ref="T21:T22"/>
    <mergeCell ref="U21:U22"/>
    <mergeCell ref="J12:J13"/>
    <mergeCell ref="B14:I14"/>
    <mergeCell ref="J14:N14"/>
    <mergeCell ref="J17:N17"/>
    <mergeCell ref="O17:S17"/>
    <mergeCell ref="E6:E7"/>
    <mergeCell ref="U24:U25"/>
    <mergeCell ref="T15:T16"/>
    <mergeCell ref="U15:U16"/>
    <mergeCell ref="T14:U14"/>
    <mergeCell ref="T18:T19"/>
    <mergeCell ref="A3:A5"/>
    <mergeCell ref="A15:A17"/>
    <mergeCell ref="E15:E16"/>
    <mergeCell ref="F15:F16"/>
    <mergeCell ref="I15:I16"/>
    <mergeCell ref="J15:J16"/>
    <mergeCell ref="B17:I17"/>
    <mergeCell ref="B5:I5"/>
    <mergeCell ref="F3:F4"/>
    <mergeCell ref="E3:E4"/>
    <mergeCell ref="I3:I4"/>
    <mergeCell ref="J5:N5"/>
    <mergeCell ref="K3:K4"/>
    <mergeCell ref="L3:L4"/>
    <mergeCell ref="B11:I11"/>
    <mergeCell ref="J3:J4"/>
    <mergeCell ref="K15:K16"/>
    <mergeCell ref="L15:L16"/>
    <mergeCell ref="K6:K7"/>
    <mergeCell ref="L6:L7"/>
    <mergeCell ref="J6:J7"/>
    <mergeCell ref="F6:F7"/>
    <mergeCell ref="I6:I7"/>
    <mergeCell ref="A12:A14"/>
    <mergeCell ref="B1:I1"/>
    <mergeCell ref="T1:U1"/>
    <mergeCell ref="O1:S1"/>
    <mergeCell ref="J1:N1"/>
    <mergeCell ref="O3:O4"/>
    <mergeCell ref="T6:T7"/>
    <mergeCell ref="U6:U7"/>
    <mergeCell ref="U9:U10"/>
    <mergeCell ref="O9:O10"/>
    <mergeCell ref="T8:U8"/>
    <mergeCell ref="O8:S8"/>
    <mergeCell ref="T9:T10"/>
    <mergeCell ref="J9:J10"/>
    <mergeCell ref="K9:K10"/>
    <mergeCell ref="L9:L10"/>
    <mergeCell ref="E9:E10"/>
    <mergeCell ref="F9:F10"/>
    <mergeCell ref="I9:I10"/>
    <mergeCell ref="U3:U4"/>
    <mergeCell ref="T3:T4"/>
    <mergeCell ref="T5:U5"/>
    <mergeCell ref="O6:O7"/>
    <mergeCell ref="O5:S5"/>
    <mergeCell ref="B8:I8"/>
    <mergeCell ref="A6:A8"/>
    <mergeCell ref="A9:A11"/>
    <mergeCell ref="J11:N11"/>
    <mergeCell ref="J8:N8"/>
    <mergeCell ref="B20:I20"/>
    <mergeCell ref="J20:N20"/>
    <mergeCell ref="O20:S20"/>
    <mergeCell ref="T20:U20"/>
    <mergeCell ref="J18:J19"/>
    <mergeCell ref="K18:K19"/>
    <mergeCell ref="L18:L19"/>
    <mergeCell ref="O18:O19"/>
    <mergeCell ref="K12:K13"/>
    <mergeCell ref="L12:L13"/>
    <mergeCell ref="O12:O13"/>
    <mergeCell ref="T12:T13"/>
    <mergeCell ref="U12:U13"/>
    <mergeCell ref="O11:S11"/>
    <mergeCell ref="T11:U11"/>
    <mergeCell ref="O15:O16"/>
    <mergeCell ref="O14:S14"/>
    <mergeCell ref="E12:E13"/>
    <mergeCell ref="F12:F13"/>
    <mergeCell ref="I12:I13"/>
    <mergeCell ref="A21:A23"/>
    <mergeCell ref="E21:E22"/>
    <mergeCell ref="F21:F22"/>
    <mergeCell ref="I21:I22"/>
    <mergeCell ref="J21:J22"/>
    <mergeCell ref="B23:I23"/>
    <mergeCell ref="A18:A20"/>
    <mergeCell ref="E18:E19"/>
    <mergeCell ref="F18:F19"/>
    <mergeCell ref="I18:I19"/>
    <mergeCell ref="U27:U28"/>
    <mergeCell ref="B29:I29"/>
    <mergeCell ref="J29:N29"/>
    <mergeCell ref="O29:S29"/>
    <mergeCell ref="T29:U29"/>
    <mergeCell ref="A27:A29"/>
    <mergeCell ref="E27:E28"/>
    <mergeCell ref="F27:F28"/>
    <mergeCell ref="I27:I28"/>
    <mergeCell ref="J27:J28"/>
    <mergeCell ref="K27:K28"/>
    <mergeCell ref="L27:L28"/>
    <mergeCell ref="O27:O28"/>
    <mergeCell ref="T27:T28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F99E-8ECF-4311-B763-50D46182CFA1}">
  <dimension ref="C2:N36"/>
  <sheetViews>
    <sheetView topLeftCell="C1" zoomScale="130" zoomScaleNormal="130" workbookViewId="0">
      <pane ySplit="3" topLeftCell="A10" activePane="bottomLeft" state="frozen"/>
      <selection activeCell="E24" sqref="E24"/>
      <selection pane="bottomLeft" activeCell="E24" sqref="E24"/>
    </sheetView>
  </sheetViews>
  <sheetFormatPr defaultRowHeight="14" x14ac:dyDescent="0.3"/>
  <cols>
    <col min="1" max="16384" width="8.6640625" style="1"/>
  </cols>
  <sheetData>
    <row r="2" spans="3:14" x14ac:dyDescent="0.3">
      <c r="C2" s="164" t="s">
        <v>244</v>
      </c>
      <c r="D2" s="164"/>
      <c r="E2" s="164"/>
      <c r="F2" s="164"/>
      <c r="G2" s="164"/>
      <c r="J2" s="164" t="s">
        <v>244</v>
      </c>
      <c r="K2" s="164"/>
      <c r="L2" s="164"/>
      <c r="M2" s="164"/>
      <c r="N2" s="164"/>
    </row>
    <row r="3" spans="3:14" x14ac:dyDescent="0.3">
      <c r="C3" s="199" t="s">
        <v>243</v>
      </c>
      <c r="D3" s="199"/>
      <c r="F3" s="199" t="s">
        <v>242</v>
      </c>
      <c r="G3" s="199"/>
      <c r="J3" s="199" t="s">
        <v>241</v>
      </c>
      <c r="K3" s="199"/>
      <c r="M3" s="199" t="s">
        <v>240</v>
      </c>
      <c r="N3" s="199"/>
    </row>
    <row r="4" spans="3:14" x14ac:dyDescent="0.3">
      <c r="C4" s="24">
        <v>8</v>
      </c>
      <c r="D4" s="8">
        <f>D20*1.08</f>
        <v>2.5045200000000003</v>
      </c>
      <c r="F4" s="24">
        <v>8</v>
      </c>
      <c r="G4" s="8">
        <f>G20*1.08</f>
        <v>2.5671599999999999</v>
      </c>
      <c r="J4" s="24">
        <v>8</v>
      </c>
      <c r="K4" s="8">
        <f>K20*1.08</f>
        <v>2.48292</v>
      </c>
      <c r="M4" s="24">
        <v>8</v>
      </c>
      <c r="N4" s="8">
        <f>N20*1.08</f>
        <v>2.5045200000000003</v>
      </c>
    </row>
    <row r="5" spans="3:14" x14ac:dyDescent="0.3">
      <c r="C5" s="24">
        <v>7.5</v>
      </c>
      <c r="D5" s="8">
        <f>D20*1.075</f>
        <v>2.4929250000000001</v>
      </c>
      <c r="F5" s="24">
        <v>7.5</v>
      </c>
      <c r="G5" s="8">
        <f>G20*1.075</f>
        <v>2.5552749999999995</v>
      </c>
      <c r="J5" s="24">
        <v>7.5</v>
      </c>
      <c r="K5" s="8">
        <f>K20*1.075</f>
        <v>2.471425</v>
      </c>
      <c r="M5" s="24">
        <v>7.5</v>
      </c>
      <c r="N5" s="8">
        <f>N20*1.075</f>
        <v>2.4929250000000001</v>
      </c>
    </row>
    <row r="6" spans="3:14" x14ac:dyDescent="0.3">
      <c r="C6" s="24">
        <v>7</v>
      </c>
      <c r="D6" s="8">
        <f>D20*1.07</f>
        <v>2.4813300000000003</v>
      </c>
      <c r="F6" s="24">
        <v>7</v>
      </c>
      <c r="G6" s="8">
        <f>G20*1.07</f>
        <v>2.54339</v>
      </c>
      <c r="J6" s="24">
        <v>7</v>
      </c>
      <c r="K6" s="8">
        <f>K20*1.07</f>
        <v>2.4599299999999999</v>
      </c>
      <c r="M6" s="24">
        <v>7</v>
      </c>
      <c r="N6" s="8">
        <f>N20*1.07</f>
        <v>2.4813300000000003</v>
      </c>
    </row>
    <row r="7" spans="3:14" x14ac:dyDescent="0.3">
      <c r="C7" s="24">
        <v>6.5</v>
      </c>
      <c r="D7" s="8">
        <f>D20*1.065</f>
        <v>2.469735</v>
      </c>
      <c r="F7" s="24">
        <v>6.5</v>
      </c>
      <c r="G7" s="8">
        <f>G20*1.065</f>
        <v>2.5315049999999997</v>
      </c>
      <c r="J7" s="24">
        <v>6.5</v>
      </c>
      <c r="K7" s="8">
        <f>K20*1.065</f>
        <v>2.4484349999999999</v>
      </c>
      <c r="M7" s="24">
        <v>6.5</v>
      </c>
      <c r="N7" s="8">
        <f>N20*1.065</f>
        <v>2.469735</v>
      </c>
    </row>
    <row r="8" spans="3:14" x14ac:dyDescent="0.3">
      <c r="C8" s="24">
        <v>6</v>
      </c>
      <c r="D8" s="8">
        <f>D20*1.06</f>
        <v>2.4581400000000002</v>
      </c>
      <c r="F8" s="24">
        <v>6</v>
      </c>
      <c r="G8" s="8">
        <f>G20*1.06</f>
        <v>2.5196199999999997</v>
      </c>
      <c r="J8" s="24">
        <v>6</v>
      </c>
      <c r="K8" s="8">
        <f>K20*1.06</f>
        <v>2.4369399999999999</v>
      </c>
      <c r="M8" s="24">
        <v>6</v>
      </c>
      <c r="N8" s="8">
        <f>N20*1.06</f>
        <v>2.4581400000000002</v>
      </c>
    </row>
    <row r="9" spans="3:14" x14ac:dyDescent="0.3">
      <c r="C9" s="24">
        <v>5.5</v>
      </c>
      <c r="D9" s="8">
        <f>D20*1.055</f>
        <v>2.446545</v>
      </c>
      <c r="F9" s="24">
        <v>5.5</v>
      </c>
      <c r="G9" s="8">
        <f>G20*1.055</f>
        <v>2.5077349999999998</v>
      </c>
      <c r="J9" s="24">
        <v>5.5</v>
      </c>
      <c r="K9" s="8">
        <f>K20*1.055</f>
        <v>2.4254449999999999</v>
      </c>
      <c r="M9" s="24">
        <v>5.5</v>
      </c>
      <c r="N9" s="8">
        <f>N20*1.055</f>
        <v>2.446545</v>
      </c>
    </row>
    <row r="10" spans="3:14" x14ac:dyDescent="0.3">
      <c r="C10" s="24">
        <v>5</v>
      </c>
      <c r="D10" s="8">
        <f>D20*1.05</f>
        <v>2.4349500000000002</v>
      </c>
      <c r="F10" s="24">
        <v>5</v>
      </c>
      <c r="G10" s="8">
        <f>G20*1.05</f>
        <v>2.4958499999999999</v>
      </c>
      <c r="J10" s="24">
        <v>5</v>
      </c>
      <c r="K10" s="8">
        <f>K20*1.05</f>
        <v>2.4139499999999998</v>
      </c>
      <c r="M10" s="24">
        <v>5</v>
      </c>
      <c r="N10" s="8">
        <f>N20*1.05</f>
        <v>2.4349500000000002</v>
      </c>
    </row>
    <row r="11" spans="3:14" x14ac:dyDescent="0.3">
      <c r="C11" s="24">
        <v>4.5</v>
      </c>
      <c r="D11" s="139">
        <f>D20*1.045</f>
        <v>2.4233549999999999</v>
      </c>
      <c r="F11" s="24">
        <v>4.5</v>
      </c>
      <c r="G11" s="8">
        <f>G20*1.045</f>
        <v>2.4839649999999995</v>
      </c>
      <c r="J11" s="24">
        <v>4.5</v>
      </c>
      <c r="K11" s="8">
        <f>K20*1.045</f>
        <v>2.4024549999999998</v>
      </c>
      <c r="M11" s="24">
        <v>4.5</v>
      </c>
      <c r="N11" s="8">
        <f>N20*1.045</f>
        <v>2.4233549999999999</v>
      </c>
    </row>
    <row r="12" spans="3:14" x14ac:dyDescent="0.3">
      <c r="C12" s="24">
        <v>4</v>
      </c>
      <c r="D12" s="8">
        <f>D20*1.04</f>
        <v>2.4117600000000001</v>
      </c>
      <c r="F12" s="24">
        <v>4</v>
      </c>
      <c r="G12" s="8">
        <f>G20*1.04</f>
        <v>2.4720800000000001</v>
      </c>
      <c r="J12" s="24">
        <v>4</v>
      </c>
      <c r="K12" s="8">
        <f>K20*1.04</f>
        <v>2.3909600000000002</v>
      </c>
      <c r="M12" s="24">
        <v>4</v>
      </c>
      <c r="N12" s="8">
        <f>N20*1.04</f>
        <v>2.4117600000000001</v>
      </c>
    </row>
    <row r="13" spans="3:14" x14ac:dyDescent="0.3">
      <c r="C13" s="24">
        <v>3.5</v>
      </c>
      <c r="D13" s="8">
        <f>D20*1.035</f>
        <v>2.4001649999999999</v>
      </c>
      <c r="F13" s="24">
        <v>3.5</v>
      </c>
      <c r="G13" s="8">
        <f>G20*1.035</f>
        <v>2.4601949999999997</v>
      </c>
      <c r="J13" s="24">
        <v>3.5</v>
      </c>
      <c r="K13" s="8">
        <f>K20*1.035</f>
        <v>2.3794649999999997</v>
      </c>
      <c r="M13" s="24">
        <v>3.5</v>
      </c>
      <c r="N13" s="8">
        <f>N20*1.035</f>
        <v>2.4001649999999999</v>
      </c>
    </row>
    <row r="14" spans="3:14" x14ac:dyDescent="0.3">
      <c r="C14" s="24">
        <v>3</v>
      </c>
      <c r="D14" s="139">
        <f>D20*1.03</f>
        <v>2.3885700000000001</v>
      </c>
      <c r="F14" s="24">
        <v>3</v>
      </c>
      <c r="G14" s="8">
        <f>G20*1.03</f>
        <v>2.4483099999999998</v>
      </c>
      <c r="J14" s="24">
        <v>3</v>
      </c>
      <c r="K14" s="8">
        <f>K20*1.03</f>
        <v>2.3679700000000001</v>
      </c>
      <c r="M14" s="24">
        <v>3</v>
      </c>
      <c r="N14" s="8">
        <f>N20*1.03</f>
        <v>2.3885700000000001</v>
      </c>
    </row>
    <row r="15" spans="3:14" x14ac:dyDescent="0.3">
      <c r="C15" s="24">
        <v>2.5</v>
      </c>
      <c r="D15" s="8">
        <f>D20*1.025</f>
        <v>2.3769749999999998</v>
      </c>
      <c r="F15" s="24">
        <v>2.5</v>
      </c>
      <c r="G15" s="8">
        <f>G20*1.025</f>
        <v>2.4364249999999994</v>
      </c>
      <c r="J15" s="24">
        <v>2.5</v>
      </c>
      <c r="K15" s="8">
        <f>K20*1.025</f>
        <v>2.3564749999999997</v>
      </c>
      <c r="M15" s="24">
        <v>2.5</v>
      </c>
      <c r="N15" s="8">
        <f>N20*1.025</f>
        <v>2.3769749999999998</v>
      </c>
    </row>
    <row r="16" spans="3:14" x14ac:dyDescent="0.3">
      <c r="C16" s="24">
        <v>2</v>
      </c>
      <c r="D16" s="8">
        <f>D20*1.02</f>
        <v>2.36538</v>
      </c>
      <c r="F16" s="24">
        <v>2</v>
      </c>
      <c r="G16" s="69">
        <f>G20*1.02</f>
        <v>2.4245399999999999</v>
      </c>
      <c r="J16" s="24">
        <v>2</v>
      </c>
      <c r="K16" s="8">
        <f>K20*1.02</f>
        <v>2.3449800000000001</v>
      </c>
      <c r="M16" s="24">
        <v>2</v>
      </c>
      <c r="N16" s="70">
        <f>N20*1.02</f>
        <v>2.36538</v>
      </c>
    </row>
    <row r="17" spans="3:14" x14ac:dyDescent="0.3">
      <c r="C17" s="24">
        <v>1.5</v>
      </c>
      <c r="D17" s="139">
        <f>D20*1.015</f>
        <v>2.3537849999999998</v>
      </c>
      <c r="F17" s="24">
        <v>1.5</v>
      </c>
      <c r="G17" s="69">
        <f>G20*1.015</f>
        <v>2.4126549999999995</v>
      </c>
      <c r="J17" s="24">
        <v>1.5</v>
      </c>
      <c r="K17" s="8">
        <f>K20*1.015</f>
        <v>2.3334849999999996</v>
      </c>
      <c r="M17" s="24">
        <v>1.5</v>
      </c>
      <c r="N17" s="90">
        <f>N20*1.015</f>
        <v>2.3537849999999998</v>
      </c>
    </row>
    <row r="18" spans="3:14" x14ac:dyDescent="0.3">
      <c r="C18" s="24">
        <v>1</v>
      </c>
      <c r="D18" s="8">
        <f>D20*1.01</f>
        <v>2.34219</v>
      </c>
      <c r="F18" s="24">
        <v>1</v>
      </c>
      <c r="G18" s="8">
        <f>G20*1.01</f>
        <v>2.4007699999999996</v>
      </c>
      <c r="J18" s="24">
        <v>1</v>
      </c>
      <c r="K18" s="8">
        <f>K20*1.01</f>
        <v>2.32199</v>
      </c>
      <c r="M18" s="24">
        <v>1</v>
      </c>
      <c r="N18" s="8">
        <f>N20*1.01</f>
        <v>2.34219</v>
      </c>
    </row>
    <row r="19" spans="3:14" x14ac:dyDescent="0.3">
      <c r="C19" s="24">
        <v>0.5</v>
      </c>
      <c r="D19" s="8">
        <f>D20*1.005</f>
        <v>2.3305949999999998</v>
      </c>
      <c r="F19" s="24">
        <v>0.5</v>
      </c>
      <c r="G19" s="8">
        <f>G20*1.005</f>
        <v>2.3888849999999997</v>
      </c>
      <c r="J19" s="24">
        <v>0.5</v>
      </c>
      <c r="K19" s="8">
        <f>K20*1.005</f>
        <v>2.3104949999999995</v>
      </c>
      <c r="M19" s="24">
        <v>0.5</v>
      </c>
      <c r="N19" s="8">
        <f>N20*1.005</f>
        <v>2.3305949999999998</v>
      </c>
    </row>
    <row r="20" spans="3:14" x14ac:dyDescent="0.3">
      <c r="C20" s="32">
        <v>0</v>
      </c>
      <c r="D20" s="32">
        <v>2.319</v>
      </c>
      <c r="F20" s="32">
        <v>0</v>
      </c>
      <c r="G20" s="32">
        <v>2.3769999999999998</v>
      </c>
      <c r="J20" s="32">
        <v>0</v>
      </c>
      <c r="K20" s="32">
        <v>2.2989999999999999</v>
      </c>
      <c r="M20" s="32">
        <v>0</v>
      </c>
      <c r="N20" s="32">
        <v>2.319</v>
      </c>
    </row>
    <row r="21" spans="3:14" x14ac:dyDescent="0.3">
      <c r="C21" s="24">
        <v>-0.5</v>
      </c>
      <c r="D21" s="8">
        <f>D20*0.995</f>
        <v>2.3074050000000002</v>
      </c>
      <c r="F21" s="24">
        <v>-0.5</v>
      </c>
      <c r="G21" s="8">
        <f>G20*0.995</f>
        <v>2.3651149999999999</v>
      </c>
      <c r="J21" s="24">
        <v>-0.5</v>
      </c>
      <c r="K21" s="8">
        <f>K20*0.995</f>
        <v>2.2875049999999999</v>
      </c>
      <c r="M21" s="24">
        <v>-0.5</v>
      </c>
      <c r="N21" s="8">
        <f>N20*0.995</f>
        <v>2.3074050000000002</v>
      </c>
    </row>
    <row r="22" spans="3:14" x14ac:dyDescent="0.3">
      <c r="C22" s="24">
        <v>-1</v>
      </c>
      <c r="D22" s="8">
        <f>D20*0.99</f>
        <v>2.2958099999999999</v>
      </c>
      <c r="F22" s="24">
        <v>-1</v>
      </c>
      <c r="G22" s="8">
        <f>G20*0.99</f>
        <v>2.3532299999999999</v>
      </c>
      <c r="J22" s="24">
        <v>-1</v>
      </c>
      <c r="K22" s="8">
        <f>K20*0.99</f>
        <v>2.2760099999999999</v>
      </c>
      <c r="M22" s="24">
        <v>-1</v>
      </c>
      <c r="N22" s="8">
        <f>N20*0.99</f>
        <v>2.2958099999999999</v>
      </c>
    </row>
    <row r="23" spans="3:14" x14ac:dyDescent="0.3">
      <c r="C23" s="24">
        <v>-1.5</v>
      </c>
      <c r="D23" s="139">
        <f>D20*0.985</f>
        <v>2.2842150000000001</v>
      </c>
      <c r="F23" s="24">
        <v>-1.5</v>
      </c>
      <c r="G23" s="8">
        <f>G20*0.985</f>
        <v>2.3413449999999996</v>
      </c>
      <c r="J23" s="24">
        <v>-1.5</v>
      </c>
      <c r="K23" s="68">
        <f>K20*0.985</f>
        <v>2.2645149999999998</v>
      </c>
      <c r="M23" s="24">
        <v>-1.5</v>
      </c>
      <c r="N23" s="8">
        <f>N20*0.985</f>
        <v>2.2842150000000001</v>
      </c>
    </row>
    <row r="24" spans="3:14" x14ac:dyDescent="0.3">
      <c r="C24" s="24">
        <v>-2</v>
      </c>
      <c r="D24" s="69">
        <f>D20*0.98</f>
        <v>2.2726199999999999</v>
      </c>
      <c r="F24" s="24">
        <v>-2</v>
      </c>
      <c r="G24" s="8">
        <f>G20*0.98</f>
        <v>2.3294599999999996</v>
      </c>
      <c r="J24" s="24">
        <v>-2</v>
      </c>
      <c r="K24" s="88">
        <f>K20*0.98</f>
        <v>2.2530199999999998</v>
      </c>
      <c r="M24" s="24">
        <v>-2</v>
      </c>
      <c r="N24" s="8">
        <f>N20*0.98</f>
        <v>2.2726199999999999</v>
      </c>
    </row>
    <row r="25" spans="3:14" x14ac:dyDescent="0.3">
      <c r="C25" s="24">
        <v>-2.5</v>
      </c>
      <c r="D25" s="8">
        <f>D20*0.975</f>
        <v>2.2610250000000001</v>
      </c>
      <c r="F25" s="24">
        <v>-2.5</v>
      </c>
      <c r="G25" s="8">
        <f>G20*0.975</f>
        <v>2.3175749999999997</v>
      </c>
      <c r="J25" s="24">
        <v>-2.5</v>
      </c>
      <c r="K25" s="8">
        <f>K20*0.975</f>
        <v>2.2415249999999998</v>
      </c>
      <c r="M25" s="24">
        <v>-2.5</v>
      </c>
      <c r="N25" s="8">
        <f>N20*0.975</f>
        <v>2.2610250000000001</v>
      </c>
    </row>
    <row r="26" spans="3:14" x14ac:dyDescent="0.3">
      <c r="C26" s="24">
        <v>-3</v>
      </c>
      <c r="D26" s="139">
        <f>D20*0.97</f>
        <v>2.2494299999999998</v>
      </c>
      <c r="F26" s="24">
        <v>-3</v>
      </c>
      <c r="G26" s="8">
        <f>G20*0.97</f>
        <v>2.3056899999999998</v>
      </c>
      <c r="J26" s="24">
        <v>-3</v>
      </c>
      <c r="K26" s="8">
        <f>K20*0.97</f>
        <v>2.2300299999999997</v>
      </c>
      <c r="M26" s="24">
        <v>-3</v>
      </c>
      <c r="N26" s="8">
        <f>N20*0.97</f>
        <v>2.2494299999999998</v>
      </c>
    </row>
    <row r="27" spans="3:14" x14ac:dyDescent="0.3">
      <c r="C27" s="24">
        <v>-3.5</v>
      </c>
      <c r="D27" s="8">
        <f>D20*0.965</f>
        <v>2.237835</v>
      </c>
      <c r="F27" s="24">
        <v>-3.5</v>
      </c>
      <c r="G27" s="8">
        <f>G20*0.965</f>
        <v>2.2938049999999999</v>
      </c>
      <c r="J27" s="24">
        <v>-3.5</v>
      </c>
      <c r="K27" s="8">
        <f>K20*0.965</f>
        <v>2.2185349999999997</v>
      </c>
      <c r="M27" s="24">
        <v>-3.5</v>
      </c>
      <c r="N27" s="8">
        <f>N20*0.965</f>
        <v>2.237835</v>
      </c>
    </row>
    <row r="28" spans="3:14" x14ac:dyDescent="0.3">
      <c r="C28" s="24">
        <v>-4</v>
      </c>
      <c r="D28" s="8">
        <f>D20*0.96</f>
        <v>2.2262399999999998</v>
      </c>
      <c r="F28" s="24">
        <v>-4</v>
      </c>
      <c r="G28" s="8">
        <f>G20*0.96</f>
        <v>2.2819199999999995</v>
      </c>
      <c r="J28" s="24">
        <v>-4</v>
      </c>
      <c r="K28" s="8">
        <f>K20*0.96</f>
        <v>2.2070399999999997</v>
      </c>
      <c r="M28" s="24">
        <v>-4</v>
      </c>
      <c r="N28" s="8">
        <f>N20*0.96</f>
        <v>2.2262399999999998</v>
      </c>
    </row>
    <row r="29" spans="3:14" x14ac:dyDescent="0.3">
      <c r="C29" s="24">
        <v>-4.5</v>
      </c>
      <c r="D29" s="139">
        <f>D20*0.955</f>
        <v>2.214645</v>
      </c>
      <c r="F29" s="24">
        <v>-4.5</v>
      </c>
      <c r="G29" s="8">
        <f>G20*0.955</f>
        <v>2.2700349999999996</v>
      </c>
      <c r="J29" s="24">
        <v>-4.5</v>
      </c>
      <c r="K29" s="8">
        <f>K20*0.955</f>
        <v>2.1955449999999996</v>
      </c>
      <c r="M29" s="24">
        <v>-4.5</v>
      </c>
      <c r="N29" s="8">
        <f>N20*0.955</f>
        <v>2.214645</v>
      </c>
    </row>
    <row r="30" spans="3:14" x14ac:dyDescent="0.3">
      <c r="C30" s="24">
        <v>-5</v>
      </c>
      <c r="D30" s="8">
        <f>D20*0.95</f>
        <v>2.2030499999999997</v>
      </c>
      <c r="F30" s="24">
        <v>-5</v>
      </c>
      <c r="G30" s="8">
        <f>G20*0.95</f>
        <v>2.2581499999999997</v>
      </c>
      <c r="J30" s="24">
        <v>-5</v>
      </c>
      <c r="K30" s="8">
        <f>K20*0.95</f>
        <v>2.18405</v>
      </c>
      <c r="M30" s="24">
        <v>-5</v>
      </c>
      <c r="N30" s="8">
        <f>N20*0.95</f>
        <v>2.2030499999999997</v>
      </c>
    </row>
    <row r="31" spans="3:14" x14ac:dyDescent="0.3">
      <c r="C31" s="24">
        <v>-5.5</v>
      </c>
      <c r="D31" s="8">
        <f>D20*0.945</f>
        <v>2.1914549999999999</v>
      </c>
      <c r="F31" s="24">
        <v>-5.5</v>
      </c>
      <c r="G31" s="8">
        <f>G20*0.945</f>
        <v>2.2462649999999997</v>
      </c>
      <c r="J31" s="24">
        <v>-5.5</v>
      </c>
      <c r="K31" s="8">
        <f>K20*0.945</f>
        <v>2.172555</v>
      </c>
      <c r="M31" s="24">
        <v>-5.5</v>
      </c>
      <c r="N31" s="8">
        <f>N20*0.945</f>
        <v>2.1914549999999999</v>
      </c>
    </row>
    <row r="32" spans="3:14" x14ac:dyDescent="0.3">
      <c r="C32" s="24">
        <v>-6</v>
      </c>
      <c r="D32" s="8">
        <f>D20*0.94</f>
        <v>2.1798599999999997</v>
      </c>
      <c r="F32" s="24">
        <v>-6</v>
      </c>
      <c r="G32" s="8">
        <f>G20*0.94</f>
        <v>2.2343799999999998</v>
      </c>
      <c r="J32" s="24">
        <v>-6</v>
      </c>
      <c r="K32" s="8">
        <f>K20*0.94</f>
        <v>2.16106</v>
      </c>
      <c r="M32" s="24">
        <v>-6</v>
      </c>
      <c r="N32" s="8">
        <f>N20*0.94</f>
        <v>2.1798599999999997</v>
      </c>
    </row>
    <row r="33" spans="3:14" x14ac:dyDescent="0.3">
      <c r="C33" s="24">
        <v>-6.5</v>
      </c>
      <c r="D33" s="8">
        <f>D20*0.935</f>
        <v>2.1682649999999999</v>
      </c>
      <c r="F33" s="24">
        <v>-6.5</v>
      </c>
      <c r="G33" s="8">
        <f>G20*0.935</f>
        <v>2.2224949999999999</v>
      </c>
      <c r="J33" s="24">
        <v>-6.5</v>
      </c>
      <c r="K33" s="8">
        <f>K20*0.935</f>
        <v>2.1495649999999999</v>
      </c>
      <c r="M33" s="24">
        <v>-6.5</v>
      </c>
      <c r="N33" s="8">
        <f>N20*0.935</f>
        <v>2.1682649999999999</v>
      </c>
    </row>
    <row r="34" spans="3:14" x14ac:dyDescent="0.3">
      <c r="C34" s="24">
        <v>-7</v>
      </c>
      <c r="D34" s="8">
        <f>D20*0.93</f>
        <v>2.1566700000000001</v>
      </c>
      <c r="F34" s="24">
        <v>-7</v>
      </c>
      <c r="G34" s="8">
        <f>G20*0.93</f>
        <v>2.21061</v>
      </c>
      <c r="J34" s="24">
        <v>-7</v>
      </c>
      <c r="K34" s="8">
        <f>K20*0.93</f>
        <v>2.1380699999999999</v>
      </c>
      <c r="M34" s="24">
        <v>-7</v>
      </c>
      <c r="N34" s="8">
        <f>N20*0.93</f>
        <v>2.1566700000000001</v>
      </c>
    </row>
    <row r="35" spans="3:14" x14ac:dyDescent="0.3">
      <c r="C35" s="24">
        <v>-7.5</v>
      </c>
      <c r="D35" s="8">
        <f>D20*0.925</f>
        <v>2.1450749999999998</v>
      </c>
      <c r="F35" s="24">
        <v>-7.5</v>
      </c>
      <c r="G35" s="8">
        <f>G20*0.925</f>
        <v>2.198725</v>
      </c>
      <c r="J35" s="24">
        <v>-7.5</v>
      </c>
      <c r="K35" s="8">
        <f>K20*0.925</f>
        <v>2.1265749999999999</v>
      </c>
      <c r="M35" s="24">
        <v>-7.5</v>
      </c>
      <c r="N35" s="8">
        <f>N20*0.925</f>
        <v>2.1450749999999998</v>
      </c>
    </row>
    <row r="36" spans="3:14" x14ac:dyDescent="0.3">
      <c r="C36" s="24">
        <v>-8</v>
      </c>
      <c r="D36" s="8">
        <f>D20*0.92</f>
        <v>2.13348</v>
      </c>
      <c r="F36" s="24">
        <v>-8</v>
      </c>
      <c r="G36" s="8">
        <f>G20*0.92</f>
        <v>2.1868399999999997</v>
      </c>
      <c r="J36" s="24">
        <v>-8</v>
      </c>
      <c r="K36" s="8">
        <f>K20*0.92</f>
        <v>2.1150799999999998</v>
      </c>
      <c r="M36" s="24">
        <v>-8</v>
      </c>
      <c r="N36" s="8">
        <f>N20*0.92</f>
        <v>2.13348</v>
      </c>
    </row>
  </sheetData>
  <mergeCells count="6">
    <mergeCell ref="C3:D3"/>
    <mergeCell ref="F3:G3"/>
    <mergeCell ref="C2:G2"/>
    <mergeCell ref="J2:N2"/>
    <mergeCell ref="J3:K3"/>
    <mergeCell ref="M3:N3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1B25-062B-4FB7-B953-ACB0238E0B0C}">
  <dimension ref="A1:F25"/>
  <sheetViews>
    <sheetView zoomScale="145" zoomScaleNormal="145" workbookViewId="0">
      <selection activeCell="E24" sqref="E24"/>
    </sheetView>
  </sheetViews>
  <sheetFormatPr defaultRowHeight="14" x14ac:dyDescent="0.3"/>
  <cols>
    <col min="1" max="16384" width="8.6640625" style="1"/>
  </cols>
  <sheetData>
    <row r="1" spans="1:6" x14ac:dyDescent="0.3">
      <c r="A1" s="187" t="s">
        <v>47</v>
      </c>
      <c r="B1" s="24" t="s">
        <v>49</v>
      </c>
      <c r="C1" s="24" t="s">
        <v>48</v>
      </c>
      <c r="D1" s="24" t="s">
        <v>47</v>
      </c>
      <c r="E1" s="24" t="s">
        <v>46</v>
      </c>
    </row>
    <row r="2" spans="1:6" x14ac:dyDescent="0.3">
      <c r="A2" s="187"/>
      <c r="B2" s="24">
        <v>3.1360000000000001</v>
      </c>
      <c r="C2" s="24">
        <v>3.2629999999999999</v>
      </c>
      <c r="D2" s="24">
        <f>C2-B2</f>
        <v>0.12699999999999978</v>
      </c>
      <c r="E2" s="28">
        <f>D2/C2</f>
        <v>3.8921238124425307E-2</v>
      </c>
    </row>
    <row r="3" spans="1:6" x14ac:dyDescent="0.3">
      <c r="A3" s="187"/>
      <c r="B3" s="24">
        <v>3.1360000000000001</v>
      </c>
      <c r="C3" s="24">
        <v>3.54</v>
      </c>
      <c r="D3" s="24">
        <f>C3-B3</f>
        <v>0.40399999999999991</v>
      </c>
      <c r="E3" s="28">
        <f>D3/C3</f>
        <v>0.11412429378531071</v>
      </c>
    </row>
    <row r="4" spans="1:6" x14ac:dyDescent="0.3">
      <c r="A4" s="187"/>
      <c r="B4" s="24">
        <v>3.1909999999999998</v>
      </c>
      <c r="C4" s="24">
        <v>3.31</v>
      </c>
      <c r="D4" s="24">
        <f>C4-B4</f>
        <v>0.11900000000000022</v>
      </c>
      <c r="E4" s="28">
        <f>D4/C4</f>
        <v>3.5951661631420002E-2</v>
      </c>
    </row>
    <row r="5" spans="1:6" x14ac:dyDescent="0.3">
      <c r="A5" s="187"/>
      <c r="B5" s="24">
        <v>2.923</v>
      </c>
      <c r="C5" s="24">
        <v>2.9580000000000002</v>
      </c>
      <c r="D5" s="24">
        <f>C5-B5</f>
        <v>3.5000000000000142E-2</v>
      </c>
      <c r="E5" s="28">
        <f>D5/C5</f>
        <v>1.1832319134550419E-2</v>
      </c>
    </row>
    <row r="6" spans="1:6" x14ac:dyDescent="0.3">
      <c r="A6" s="187"/>
      <c r="B6" s="24">
        <v>2.1019999999999999</v>
      </c>
      <c r="C6" s="24">
        <v>2.165</v>
      </c>
      <c r="D6" s="24">
        <f>C6-B6</f>
        <v>6.3000000000000167E-2</v>
      </c>
      <c r="E6" s="28">
        <f>D6/C6</f>
        <v>2.9099307159353424E-2</v>
      </c>
    </row>
    <row r="11" spans="1:6" x14ac:dyDescent="0.3">
      <c r="A11" s="187" t="s">
        <v>251</v>
      </c>
      <c r="B11" s="187"/>
      <c r="C11" s="187"/>
      <c r="D11" s="187"/>
      <c r="E11" s="187"/>
      <c r="F11" s="187"/>
    </row>
    <row r="12" spans="1:6" ht="42" x14ac:dyDescent="0.3">
      <c r="A12" s="24"/>
      <c r="B12" s="24" t="s">
        <v>250</v>
      </c>
      <c r="C12" s="24" t="s">
        <v>249</v>
      </c>
      <c r="D12" s="24" t="s">
        <v>248</v>
      </c>
      <c r="E12" s="31" t="s">
        <v>247</v>
      </c>
      <c r="F12" s="24" t="s">
        <v>246</v>
      </c>
    </row>
    <row r="13" spans="1:6" x14ac:dyDescent="0.3">
      <c r="A13" s="24" t="s">
        <v>245</v>
      </c>
      <c r="B13" s="198">
        <v>4</v>
      </c>
      <c r="C13" s="137">
        <v>4.0000000000000001E-3</v>
      </c>
      <c r="D13" s="23">
        <v>0.75</v>
      </c>
      <c r="E13" s="28">
        <f>C13*D13</f>
        <v>3.0000000000000001E-3</v>
      </c>
      <c r="F13" s="165">
        <f>(E13+E14)*B13</f>
        <v>6.0000000000000001E-3</v>
      </c>
    </row>
    <row r="14" spans="1:6" x14ac:dyDescent="0.3">
      <c r="A14" s="24" t="s">
        <v>20</v>
      </c>
      <c r="B14" s="199"/>
      <c r="C14" s="137">
        <v>-6.0000000000000001E-3</v>
      </c>
      <c r="D14" s="23">
        <v>0.25</v>
      </c>
      <c r="E14" s="28">
        <f>C14*D14</f>
        <v>-1.5E-3</v>
      </c>
      <c r="F14" s="165"/>
    </row>
    <row r="16" spans="1:6" x14ac:dyDescent="0.3">
      <c r="A16" s="187" t="s">
        <v>251</v>
      </c>
      <c r="B16" s="187"/>
      <c r="C16" s="187"/>
      <c r="D16" s="187"/>
      <c r="E16" s="187"/>
      <c r="F16" s="187"/>
    </row>
    <row r="17" spans="1:6" ht="42" x14ac:dyDescent="0.3">
      <c r="A17" s="24"/>
      <c r="B17" s="24" t="s">
        <v>250</v>
      </c>
      <c r="C17" s="24" t="s">
        <v>249</v>
      </c>
      <c r="D17" s="24" t="s">
        <v>248</v>
      </c>
      <c r="E17" s="31" t="s">
        <v>247</v>
      </c>
      <c r="F17" s="24" t="s">
        <v>246</v>
      </c>
    </row>
    <row r="18" spans="1:6" x14ac:dyDescent="0.3">
      <c r="A18" s="24" t="s">
        <v>245</v>
      </c>
      <c r="B18" s="198">
        <v>4</v>
      </c>
      <c r="C18" s="137">
        <v>3.0000000000000001E-3</v>
      </c>
      <c r="D18" s="23">
        <v>0.75</v>
      </c>
      <c r="E18" s="28">
        <f>C18*D18</f>
        <v>2.2500000000000003E-3</v>
      </c>
      <c r="F18" s="165">
        <f>(E18+E19)*B18</f>
        <v>3.0000000000000009E-3</v>
      </c>
    </row>
    <row r="19" spans="1:6" x14ac:dyDescent="0.3">
      <c r="A19" s="24" t="s">
        <v>20</v>
      </c>
      <c r="B19" s="199"/>
      <c r="C19" s="137">
        <v>-6.0000000000000001E-3</v>
      </c>
      <c r="D19" s="23">
        <v>0.25</v>
      </c>
      <c r="E19" s="28">
        <f>C19*D19</f>
        <v>-1.5E-3</v>
      </c>
      <c r="F19" s="165"/>
    </row>
    <row r="22" spans="1:6" x14ac:dyDescent="0.3">
      <c r="A22" s="187" t="s">
        <v>251</v>
      </c>
      <c r="B22" s="187"/>
      <c r="C22" s="187"/>
      <c r="D22" s="187"/>
      <c r="E22" s="187"/>
      <c r="F22" s="187"/>
    </row>
    <row r="23" spans="1:6" ht="42" x14ac:dyDescent="0.3">
      <c r="A23" s="24"/>
      <c r="B23" s="24" t="s">
        <v>250</v>
      </c>
      <c r="C23" s="24" t="s">
        <v>249</v>
      </c>
      <c r="D23" s="24" t="s">
        <v>248</v>
      </c>
      <c r="E23" s="31" t="s">
        <v>247</v>
      </c>
      <c r="F23" s="24" t="s">
        <v>246</v>
      </c>
    </row>
    <row r="24" spans="1:6" x14ac:dyDescent="0.3">
      <c r="A24" s="24" t="s">
        <v>245</v>
      </c>
      <c r="B24" s="198">
        <v>3</v>
      </c>
      <c r="C24" s="137">
        <v>3.0000000000000001E-3</v>
      </c>
      <c r="D24" s="23">
        <v>0.67</v>
      </c>
      <c r="E24" s="28">
        <f>C24*D24</f>
        <v>2.0100000000000001E-3</v>
      </c>
      <c r="F24" s="165">
        <f>(E24+E25)*B24</f>
        <v>9.0000000000000236E-5</v>
      </c>
    </row>
    <row r="25" spans="1:6" x14ac:dyDescent="0.3">
      <c r="A25" s="24" t="s">
        <v>20</v>
      </c>
      <c r="B25" s="199"/>
      <c r="C25" s="137">
        <v>-6.0000000000000001E-3</v>
      </c>
      <c r="D25" s="23">
        <v>0.33</v>
      </c>
      <c r="E25" s="28">
        <f>C25*D25</f>
        <v>-1.98E-3</v>
      </c>
      <c r="F25" s="165"/>
    </row>
  </sheetData>
  <mergeCells count="10">
    <mergeCell ref="B24:B25"/>
    <mergeCell ref="F24:F25"/>
    <mergeCell ref="A16:F16"/>
    <mergeCell ref="B18:B19"/>
    <mergeCell ref="F18:F19"/>
    <mergeCell ref="A1:A6"/>
    <mergeCell ref="A11:F11"/>
    <mergeCell ref="B13:B14"/>
    <mergeCell ref="F13:F14"/>
    <mergeCell ref="A22:F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C97D-D639-4B45-8A81-BD9EF3A7BCA9}">
  <dimension ref="A2:N6"/>
  <sheetViews>
    <sheetView zoomScaleNormal="100" workbookViewId="0">
      <selection activeCell="C12" sqref="C12"/>
    </sheetView>
  </sheetViews>
  <sheetFormatPr defaultRowHeight="14" x14ac:dyDescent="0.3"/>
  <cols>
    <col min="1" max="2" width="10.5" style="1" bestFit="1" customWidth="1"/>
    <col min="3" max="5" width="8.58203125" style="1" bestFit="1" customWidth="1"/>
    <col min="6" max="6" width="13" style="1" bestFit="1" customWidth="1"/>
    <col min="7" max="7" width="16.1640625" style="1" bestFit="1" customWidth="1"/>
    <col min="8" max="9" width="8.58203125" style="1" bestFit="1" customWidth="1"/>
    <col min="10" max="10" width="8.75" style="1" bestFit="1" customWidth="1"/>
    <col min="11" max="11" width="8.58203125" style="1" bestFit="1" customWidth="1"/>
    <col min="12" max="12" width="8.75" style="1" bestFit="1" customWidth="1"/>
    <col min="13" max="16384" width="8.6640625" style="1"/>
  </cols>
  <sheetData>
    <row r="2" spans="1:14" x14ac:dyDescent="0.3">
      <c r="A2" s="164" t="s">
        <v>284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</row>
    <row r="3" spans="1:14" ht="28" x14ac:dyDescent="0.3">
      <c r="A3" s="31" t="s">
        <v>271</v>
      </c>
      <c r="B3" s="31" t="s">
        <v>272</v>
      </c>
      <c r="C3" s="24" t="s">
        <v>229</v>
      </c>
      <c r="D3" s="24" t="s">
        <v>273</v>
      </c>
      <c r="E3" s="24" t="s">
        <v>274</v>
      </c>
      <c r="F3" s="24" t="s">
        <v>275</v>
      </c>
      <c r="G3" s="24" t="s">
        <v>276</v>
      </c>
      <c r="H3" s="24" t="s">
        <v>277</v>
      </c>
      <c r="I3" s="24" t="s">
        <v>278</v>
      </c>
      <c r="J3" s="24" t="s">
        <v>279</v>
      </c>
      <c r="K3" s="24" t="s">
        <v>280</v>
      </c>
      <c r="L3" s="24" t="s">
        <v>281</v>
      </c>
      <c r="M3" s="24" t="s">
        <v>282</v>
      </c>
      <c r="N3" s="24" t="s">
        <v>283</v>
      </c>
    </row>
    <row r="4" spans="1:14" x14ac:dyDescent="0.3">
      <c r="A4" s="165">
        <f>(H4 - N4)/N4</f>
        <v>0.4</v>
      </c>
      <c r="B4" s="165">
        <f>(H4 - N4)/H4</f>
        <v>0.2857142857142857</v>
      </c>
      <c r="C4" s="24">
        <v>25</v>
      </c>
      <c r="D4" s="23">
        <v>0.05</v>
      </c>
      <c r="E4" s="23">
        <v>0.4</v>
      </c>
      <c r="F4" s="149">
        <f>D4/E4</f>
        <v>0.125</v>
      </c>
      <c r="G4" s="23">
        <f>F4</f>
        <v>0.125</v>
      </c>
      <c r="H4" s="24">
        <v>70000</v>
      </c>
      <c r="I4" s="150">
        <f>N4 / (1 - G4)</f>
        <v>57142.857142857145</v>
      </c>
      <c r="J4" s="151">
        <f>(I4 - M4)*0.7 + M4</f>
        <v>58666.666666666664</v>
      </c>
      <c r="K4" s="151"/>
      <c r="L4" s="151">
        <f>(I4 - M4)*0.3 + M4</f>
        <v>60698.4126984127</v>
      </c>
      <c r="M4" s="150">
        <f>H4 / (1 + G4)</f>
        <v>62222.222222222219</v>
      </c>
      <c r="N4" s="24">
        <v>50000</v>
      </c>
    </row>
    <row r="5" spans="1:14" x14ac:dyDescent="0.3">
      <c r="A5" s="165"/>
      <c r="B5" s="165"/>
      <c r="C5" s="24">
        <v>20</v>
      </c>
      <c r="D5" s="23">
        <v>0.05</v>
      </c>
      <c r="E5" s="23">
        <v>0.35</v>
      </c>
      <c r="F5" s="149">
        <f>D5/E5</f>
        <v>0.14285714285714288</v>
      </c>
      <c r="G5" s="23">
        <f t="shared" ref="G5:G6" si="0">F5</f>
        <v>0.14285714285714288</v>
      </c>
      <c r="H5" s="24">
        <f>H$4</f>
        <v>70000</v>
      </c>
      <c r="I5" s="150">
        <f>N5 / (1 - G5)</f>
        <v>58333.333333333336</v>
      </c>
      <c r="J5" s="151">
        <f t="shared" ref="J5:J6" si="1">(I5 - M5)*0.7 + M5</f>
        <v>59208.333333333336</v>
      </c>
      <c r="K5" s="151"/>
      <c r="L5" s="151">
        <f t="shared" ref="L5:L6" si="2">(I5 - M5)*0.3 + M5</f>
        <v>60375</v>
      </c>
      <c r="M5" s="150">
        <f>H5 / (1 + G5)</f>
        <v>61250</v>
      </c>
      <c r="N5" s="24">
        <f>N$4</f>
        <v>50000</v>
      </c>
    </row>
    <row r="6" spans="1:14" x14ac:dyDescent="0.3">
      <c r="A6" s="165"/>
      <c r="B6" s="165"/>
      <c r="C6" s="24">
        <v>15</v>
      </c>
      <c r="D6" s="23">
        <v>0.05</v>
      </c>
      <c r="E6" s="23">
        <v>0.2</v>
      </c>
      <c r="F6" s="149">
        <f>D6/E6</f>
        <v>0.25</v>
      </c>
      <c r="G6" s="23">
        <f t="shared" si="0"/>
        <v>0.25</v>
      </c>
      <c r="H6" s="24">
        <f>H$4</f>
        <v>70000</v>
      </c>
      <c r="I6" s="150">
        <f>N6 / (1 - G6)</f>
        <v>66666.666666666672</v>
      </c>
      <c r="J6" s="152">
        <f t="shared" si="1"/>
        <v>63466.666666666672</v>
      </c>
      <c r="K6" s="153"/>
      <c r="L6" s="152">
        <f t="shared" si="2"/>
        <v>59200</v>
      </c>
      <c r="M6" s="150">
        <f>H6 / (1 + G6)</f>
        <v>56000</v>
      </c>
      <c r="N6" s="24">
        <f>N$4</f>
        <v>50000</v>
      </c>
    </row>
  </sheetData>
  <mergeCells count="3">
    <mergeCell ref="A2:N2"/>
    <mergeCell ref="A4:A6"/>
    <mergeCell ref="B4:B6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5AD9-EA9A-4EC6-BD00-B537BF1F58A2}">
  <dimension ref="A1:J101"/>
  <sheetViews>
    <sheetView topLeftCell="C76" zoomScale="145" zoomScaleNormal="145" workbookViewId="0">
      <selection activeCell="E24" sqref="E24"/>
    </sheetView>
  </sheetViews>
  <sheetFormatPr defaultRowHeight="14" x14ac:dyDescent="0.3"/>
  <cols>
    <col min="1" max="2" width="8.6640625" style="1"/>
    <col min="3" max="4" width="12.33203125" style="1" bestFit="1" customWidth="1"/>
    <col min="5" max="6" width="8.6640625" style="1"/>
    <col min="7" max="10" width="12.33203125" style="1" bestFit="1" customWidth="1"/>
    <col min="11" max="16384" width="8.6640625" style="1"/>
  </cols>
  <sheetData>
    <row r="1" spans="1:10" x14ac:dyDescent="0.3">
      <c r="A1" s="254" t="s">
        <v>265</v>
      </c>
      <c r="B1" s="255"/>
      <c r="C1" s="255"/>
      <c r="D1" s="255"/>
      <c r="E1" s="255"/>
      <c r="F1" s="255"/>
      <c r="G1" s="255"/>
      <c r="H1" s="255"/>
      <c r="I1" s="255"/>
      <c r="J1" s="255"/>
    </row>
    <row r="2" spans="1:10" x14ac:dyDescent="0.3">
      <c r="A2" s="24"/>
      <c r="B2" s="24" t="s">
        <v>264</v>
      </c>
      <c r="C2" s="24" t="s">
        <v>263</v>
      </c>
      <c r="D2" s="102" t="s">
        <v>262</v>
      </c>
      <c r="E2" s="103" t="s">
        <v>261</v>
      </c>
      <c r="F2" s="97" t="s">
        <v>260</v>
      </c>
      <c r="G2" s="39" t="s">
        <v>259</v>
      </c>
      <c r="H2" s="102" t="s">
        <v>258</v>
      </c>
      <c r="I2" s="24" t="s">
        <v>257</v>
      </c>
      <c r="J2" s="24" t="s">
        <v>256</v>
      </c>
    </row>
    <row r="3" spans="1:10" x14ac:dyDescent="0.3">
      <c r="A3" s="24" t="s">
        <v>57</v>
      </c>
      <c r="B3" s="24">
        <v>6.5250000000000004</v>
      </c>
      <c r="C3" s="24">
        <v>1.946</v>
      </c>
      <c r="D3" s="102">
        <v>2.6960000000000002</v>
      </c>
      <c r="E3" s="103">
        <v>3.0630000000000002</v>
      </c>
      <c r="F3" s="146">
        <v>2.8149999999999999</v>
      </c>
      <c r="G3" s="68">
        <v>2.6859999999999999</v>
      </c>
      <c r="H3" s="69">
        <v>2.6859999999999999</v>
      </c>
      <c r="I3" s="8">
        <f>B3*0.95</f>
        <v>6.1987500000000004</v>
      </c>
      <c r="J3" s="8">
        <f>C3*1.05</f>
        <v>2.0432999999999999</v>
      </c>
    </row>
    <row r="4" spans="1:10" x14ac:dyDescent="0.3">
      <c r="A4" s="24" t="s">
        <v>254</v>
      </c>
      <c r="B4" s="23">
        <v>1.8</v>
      </c>
      <c r="C4" s="23">
        <v>-0.15</v>
      </c>
      <c r="D4" s="143">
        <v>0.16</v>
      </c>
      <c r="E4" s="140">
        <v>-0.03</v>
      </c>
      <c r="F4" s="146">
        <v>0</v>
      </c>
      <c r="G4" s="141">
        <f>D4-2%</f>
        <v>0.14000000000000001</v>
      </c>
      <c r="H4" s="143">
        <f>E4+2%</f>
        <v>-9.9999999999999985E-3</v>
      </c>
      <c r="I4" s="23">
        <f>B4-5%</f>
        <v>1.75</v>
      </c>
      <c r="J4" s="23">
        <f>C4+5%</f>
        <v>-9.9999999999999992E-2</v>
      </c>
    </row>
    <row r="5" spans="1:10" x14ac:dyDescent="0.3">
      <c r="F5" s="1">
        <v>2.8149999999999999</v>
      </c>
    </row>
    <row r="8" spans="1:10" x14ac:dyDescent="0.3">
      <c r="A8" s="1" t="s">
        <v>95</v>
      </c>
      <c r="G8" s="1" t="s">
        <v>255</v>
      </c>
      <c r="H8" s="1">
        <v>4.5810000000000004</v>
      </c>
    </row>
    <row r="10" spans="1:10" x14ac:dyDescent="0.3">
      <c r="A10" s="24" t="s">
        <v>254</v>
      </c>
      <c r="B10" s="24" t="s">
        <v>57</v>
      </c>
      <c r="C10" s="39" t="s">
        <v>253</v>
      </c>
      <c r="D10" s="103" t="s">
        <v>252</v>
      </c>
      <c r="G10" s="24" t="s">
        <v>254</v>
      </c>
      <c r="H10" s="24" t="s">
        <v>57</v>
      </c>
      <c r="I10" s="39" t="s">
        <v>253</v>
      </c>
      <c r="J10" s="103" t="s">
        <v>252</v>
      </c>
    </row>
    <row r="11" spans="1:10" x14ac:dyDescent="0.3">
      <c r="A11" s="142">
        <f t="shared" ref="A11:A45" si="0">A$46+(ROW(A$46)-ROW(A11))*0.01</f>
        <v>0.35000000000000003</v>
      </c>
      <c r="B11" s="139">
        <f t="shared" ref="B11:B45" si="1">B$46*(1+(ROW(B$46)-ROW(B11))*0.01)</f>
        <v>3.8002500000000001</v>
      </c>
      <c r="C11" s="141">
        <f t="shared" ref="C11:C42" si="2">($E$3-B11)/B11</f>
        <v>-0.19400039471087427</v>
      </c>
      <c r="D11" s="140">
        <f t="shared" ref="D11:D42" si="3">(B11-$G$3)/$G$3</f>
        <v>0.41483618763961289</v>
      </c>
      <c r="G11" s="142">
        <f t="shared" ref="G11:G45" si="4">G$46+(ROW(G$46)-ROW(G11))*0.01</f>
        <v>0.35000000000000003</v>
      </c>
      <c r="H11" s="139">
        <f t="shared" ref="H11:H45" si="5">H$46*(1+(ROW(H$46)-ROW(H11))*0.01)</f>
        <v>6.1843500000000011</v>
      </c>
      <c r="I11" s="141">
        <f t="shared" ref="I11:I42" si="6">($E$3-H11)/H11</f>
        <v>-0.50471755317858791</v>
      </c>
      <c r="J11" s="140">
        <f t="shared" ref="J11:J42" si="7">(H11-$G$3)/$G$3</f>
        <v>1.3024385703648553</v>
      </c>
    </row>
    <row r="12" spans="1:10" x14ac:dyDescent="0.3">
      <c r="A12" s="23">
        <f t="shared" si="0"/>
        <v>0.34</v>
      </c>
      <c r="B12" s="8">
        <f t="shared" si="1"/>
        <v>3.7721</v>
      </c>
      <c r="C12" s="143">
        <f t="shared" si="2"/>
        <v>-0.18798547228334345</v>
      </c>
      <c r="D12" s="143">
        <f t="shared" si="3"/>
        <v>0.40435591958302314</v>
      </c>
      <c r="G12" s="23">
        <f t="shared" si="4"/>
        <v>0.34</v>
      </c>
      <c r="H12" s="8">
        <f t="shared" si="5"/>
        <v>6.1385400000000008</v>
      </c>
      <c r="I12" s="143">
        <f t="shared" si="6"/>
        <v>-0.50102141551574153</v>
      </c>
      <c r="J12" s="143">
        <f t="shared" si="7"/>
        <v>1.2853834698436339</v>
      </c>
    </row>
    <row r="13" spans="1:10" x14ac:dyDescent="0.3">
      <c r="A13" s="23">
        <f t="shared" si="0"/>
        <v>0.33</v>
      </c>
      <c r="B13" s="8">
        <f t="shared" si="1"/>
        <v>3.7439500000000003</v>
      </c>
      <c r="C13" s="143">
        <f t="shared" si="2"/>
        <v>-0.18188009989449649</v>
      </c>
      <c r="D13" s="143">
        <f t="shared" si="3"/>
        <v>0.3938756515264335</v>
      </c>
      <c r="G13" s="23">
        <f t="shared" si="4"/>
        <v>0.33</v>
      </c>
      <c r="H13" s="8">
        <f t="shared" si="5"/>
        <v>6.0927300000000004</v>
      </c>
      <c r="I13" s="143">
        <f t="shared" si="6"/>
        <v>-0.49726969683540878</v>
      </c>
      <c r="J13" s="143">
        <f t="shared" si="7"/>
        <v>1.2683283693224128</v>
      </c>
    </row>
    <row r="14" spans="1:10" x14ac:dyDescent="0.3">
      <c r="A14" s="143">
        <f t="shared" si="0"/>
        <v>0.32</v>
      </c>
      <c r="B14" s="69">
        <f t="shared" si="1"/>
        <v>3.7158000000000002</v>
      </c>
      <c r="C14" s="143">
        <f t="shared" si="2"/>
        <v>-0.17568222186339416</v>
      </c>
      <c r="D14" s="143">
        <f t="shared" si="3"/>
        <v>0.38339538346984375</v>
      </c>
      <c r="G14" s="143">
        <f t="shared" si="4"/>
        <v>0.32</v>
      </c>
      <c r="H14" s="69">
        <f t="shared" si="5"/>
        <v>6.046920000000001</v>
      </c>
      <c r="I14" s="143">
        <f t="shared" si="6"/>
        <v>-0.49346113393264673</v>
      </c>
      <c r="J14" s="143">
        <f t="shared" si="7"/>
        <v>1.2512732688011918</v>
      </c>
    </row>
    <row r="15" spans="1:10" x14ac:dyDescent="0.3">
      <c r="A15" s="23">
        <f t="shared" si="0"/>
        <v>0.31</v>
      </c>
      <c r="B15" s="8">
        <f t="shared" si="1"/>
        <v>3.6876500000000001</v>
      </c>
      <c r="C15" s="143">
        <f t="shared" si="2"/>
        <v>-0.16938971974021394</v>
      </c>
      <c r="D15" s="143">
        <f t="shared" si="3"/>
        <v>0.37291511541325395</v>
      </c>
      <c r="G15" s="23">
        <f t="shared" si="4"/>
        <v>0.31</v>
      </c>
      <c r="H15" s="8">
        <f t="shared" si="5"/>
        <v>6.0011100000000006</v>
      </c>
      <c r="I15" s="143">
        <f t="shared" si="6"/>
        <v>-0.48959442503136924</v>
      </c>
      <c r="J15" s="143">
        <f t="shared" si="7"/>
        <v>1.2342181682799704</v>
      </c>
    </row>
    <row r="16" spans="1:10" x14ac:dyDescent="0.3">
      <c r="A16" s="142">
        <f t="shared" si="0"/>
        <v>0.3</v>
      </c>
      <c r="B16" s="139">
        <f t="shared" si="1"/>
        <v>3.6595</v>
      </c>
      <c r="C16" s="141">
        <f t="shared" si="2"/>
        <v>-0.16300040989206172</v>
      </c>
      <c r="D16" s="140">
        <f t="shared" si="3"/>
        <v>0.3624348473566642</v>
      </c>
      <c r="G16" s="142">
        <f t="shared" si="4"/>
        <v>0.3</v>
      </c>
      <c r="H16" s="139">
        <f t="shared" si="5"/>
        <v>5.9553000000000011</v>
      </c>
      <c r="I16" s="141">
        <f t="shared" si="6"/>
        <v>-0.48566822830084133</v>
      </c>
      <c r="J16" s="140">
        <f t="shared" si="7"/>
        <v>1.2171630677587495</v>
      </c>
    </row>
    <row r="17" spans="1:10" x14ac:dyDescent="0.3">
      <c r="A17" s="23">
        <f t="shared" si="0"/>
        <v>0.28999999999999998</v>
      </c>
      <c r="B17" s="8">
        <f t="shared" si="1"/>
        <v>3.6313499999999999</v>
      </c>
      <c r="C17" s="143">
        <f t="shared" si="2"/>
        <v>-0.15651204097649626</v>
      </c>
      <c r="D17" s="143">
        <f t="shared" si="3"/>
        <v>0.35195457930007445</v>
      </c>
      <c r="G17" s="23">
        <f t="shared" si="4"/>
        <v>0.28999999999999998</v>
      </c>
      <c r="H17" s="8">
        <f t="shared" si="5"/>
        <v>5.9094900000000008</v>
      </c>
      <c r="I17" s="143">
        <f t="shared" si="6"/>
        <v>-0.48168116030317343</v>
      </c>
      <c r="J17" s="143">
        <f t="shared" si="7"/>
        <v>1.2001079672375283</v>
      </c>
    </row>
    <row r="18" spans="1:10" x14ac:dyDescent="0.3">
      <c r="A18" s="23">
        <f t="shared" si="0"/>
        <v>0.28000000000000003</v>
      </c>
      <c r="B18" s="8">
        <f t="shared" si="1"/>
        <v>3.6032000000000002</v>
      </c>
      <c r="C18" s="143">
        <f t="shared" si="2"/>
        <v>-0.14992229129662521</v>
      </c>
      <c r="D18" s="143">
        <f t="shared" si="3"/>
        <v>0.34147431124348482</v>
      </c>
      <c r="G18" s="23">
        <f t="shared" si="4"/>
        <v>0.28000000000000003</v>
      </c>
      <c r="H18" s="8">
        <f t="shared" si="5"/>
        <v>5.8636800000000004</v>
      </c>
      <c r="I18" s="143">
        <f t="shared" si="6"/>
        <v>-0.47763179436804193</v>
      </c>
      <c r="J18" s="143">
        <f t="shared" si="7"/>
        <v>1.1830528667163069</v>
      </c>
    </row>
    <row r="19" spans="1:10" x14ac:dyDescent="0.3">
      <c r="A19" s="143">
        <f t="shared" si="0"/>
        <v>0.27</v>
      </c>
      <c r="B19" s="69">
        <f t="shared" si="1"/>
        <v>3.5750500000000001</v>
      </c>
      <c r="C19" s="143">
        <f t="shared" si="2"/>
        <v>-0.14322876603124429</v>
      </c>
      <c r="D19" s="143">
        <f t="shared" si="3"/>
        <v>0.33099404318689507</v>
      </c>
      <c r="G19" s="143">
        <f t="shared" si="4"/>
        <v>0.27</v>
      </c>
      <c r="H19" s="69">
        <f t="shared" si="5"/>
        <v>5.817870000000001</v>
      </c>
      <c r="I19" s="143">
        <f t="shared" si="6"/>
        <v>-0.473518658890625</v>
      </c>
      <c r="J19" s="143">
        <f t="shared" si="7"/>
        <v>1.165997766195086</v>
      </c>
    </row>
    <row r="20" spans="1:10" x14ac:dyDescent="0.3">
      <c r="A20" s="23">
        <f t="shared" si="0"/>
        <v>0.26</v>
      </c>
      <c r="B20" s="8">
        <f t="shared" si="1"/>
        <v>3.5468999999999999</v>
      </c>
      <c r="C20" s="143">
        <f t="shared" si="2"/>
        <v>-0.13642899433307953</v>
      </c>
      <c r="D20" s="143">
        <f t="shared" si="3"/>
        <v>0.32051377513030527</v>
      </c>
      <c r="G20" s="23">
        <f t="shared" si="4"/>
        <v>0.26</v>
      </c>
      <c r="H20" s="8">
        <f t="shared" si="5"/>
        <v>5.7720600000000006</v>
      </c>
      <c r="I20" s="143">
        <f t="shared" si="6"/>
        <v>-0.46934023554848703</v>
      </c>
      <c r="J20" s="143">
        <f t="shared" si="7"/>
        <v>1.1489426656738648</v>
      </c>
    </row>
    <row r="21" spans="1:10" x14ac:dyDescent="0.3">
      <c r="A21" s="142">
        <f t="shared" si="0"/>
        <v>0.25</v>
      </c>
      <c r="B21" s="139">
        <f t="shared" si="1"/>
        <v>3.5187499999999998</v>
      </c>
      <c r="C21" s="141">
        <f t="shared" si="2"/>
        <v>-0.12952042628774413</v>
      </c>
      <c r="D21" s="140">
        <f t="shared" si="3"/>
        <v>0.31003350707371552</v>
      </c>
      <c r="G21" s="142">
        <f t="shared" si="4"/>
        <v>0.25</v>
      </c>
      <c r="H21" s="139">
        <f t="shared" si="5"/>
        <v>5.7262500000000003</v>
      </c>
      <c r="I21" s="141">
        <f t="shared" si="6"/>
        <v>-0.46509495743287493</v>
      </c>
      <c r="J21" s="140">
        <f t="shared" si="7"/>
        <v>1.1318875651526434</v>
      </c>
    </row>
    <row r="22" spans="1:10" x14ac:dyDescent="0.3">
      <c r="A22" s="23">
        <f t="shared" si="0"/>
        <v>0.24</v>
      </c>
      <c r="B22" s="8">
        <f t="shared" si="1"/>
        <v>3.4905999999999997</v>
      </c>
      <c r="C22" s="143">
        <f t="shared" si="2"/>
        <v>-0.12250042972554849</v>
      </c>
      <c r="D22" s="143">
        <f t="shared" si="3"/>
        <v>0.29955323901712577</v>
      </c>
      <c r="G22" s="23">
        <f t="shared" si="4"/>
        <v>0.24</v>
      </c>
      <c r="H22" s="8">
        <f t="shared" si="5"/>
        <v>5.6804400000000008</v>
      </c>
      <c r="I22" s="143">
        <f t="shared" si="6"/>
        <v>-0.46078120708959169</v>
      </c>
      <c r="J22" s="143">
        <f t="shared" si="7"/>
        <v>1.1148324646314225</v>
      </c>
    </row>
    <row r="23" spans="1:10" x14ac:dyDescent="0.3">
      <c r="A23" s="23">
        <f t="shared" si="0"/>
        <v>0.23</v>
      </c>
      <c r="B23" s="8">
        <f t="shared" si="1"/>
        <v>3.46245</v>
      </c>
      <c r="C23" s="143">
        <f t="shared" si="2"/>
        <v>-0.11536628687778881</v>
      </c>
      <c r="D23" s="143">
        <f t="shared" si="3"/>
        <v>0.28907297096053614</v>
      </c>
      <c r="G23" s="23">
        <f t="shared" si="4"/>
        <v>0.23</v>
      </c>
      <c r="H23" s="8">
        <f t="shared" si="5"/>
        <v>5.6346300000000005</v>
      </c>
      <c r="I23" s="143">
        <f t="shared" si="6"/>
        <v>-0.45639731446430382</v>
      </c>
      <c r="J23" s="143">
        <f t="shared" si="7"/>
        <v>1.0977773641102013</v>
      </c>
    </row>
    <row r="24" spans="1:10" x14ac:dyDescent="0.3">
      <c r="A24" s="143">
        <f t="shared" si="0"/>
        <v>0.22</v>
      </c>
      <c r="B24" s="69">
        <f t="shared" si="1"/>
        <v>3.4342999999999999</v>
      </c>
      <c r="C24" s="143">
        <f t="shared" si="2"/>
        <v>-0.10811519086859032</v>
      </c>
      <c r="D24" s="143">
        <f t="shared" si="3"/>
        <v>0.27859270290394639</v>
      </c>
      <c r="G24" s="143">
        <f t="shared" si="4"/>
        <v>0.22</v>
      </c>
      <c r="H24" s="69">
        <f t="shared" si="5"/>
        <v>5.5888200000000001</v>
      </c>
      <c r="I24" s="143">
        <f t="shared" si="6"/>
        <v>-0.45194155474679804</v>
      </c>
      <c r="J24" s="143">
        <f t="shared" si="7"/>
        <v>1.0807222635889799</v>
      </c>
    </row>
    <row r="25" spans="1:10" x14ac:dyDescent="0.3">
      <c r="A25" s="23">
        <f t="shared" si="0"/>
        <v>0.21</v>
      </c>
      <c r="B25" s="8">
        <f t="shared" si="1"/>
        <v>3.4061499999999998</v>
      </c>
      <c r="C25" s="143">
        <f t="shared" si="2"/>
        <v>-0.10074424203279352</v>
      </c>
      <c r="D25" s="143">
        <f t="shared" si="3"/>
        <v>0.26811243484735664</v>
      </c>
      <c r="G25" s="23">
        <f t="shared" si="4"/>
        <v>0.21</v>
      </c>
      <c r="H25" s="8">
        <f t="shared" si="5"/>
        <v>5.5430100000000007</v>
      </c>
      <c r="I25" s="143">
        <f t="shared" si="6"/>
        <v>-0.4474121461083419</v>
      </c>
      <c r="J25" s="143">
        <f t="shared" si="7"/>
        <v>1.063667163067759</v>
      </c>
    </row>
    <row r="26" spans="1:10" x14ac:dyDescent="0.3">
      <c r="A26" s="142">
        <f t="shared" si="0"/>
        <v>0.2</v>
      </c>
      <c r="B26" s="139">
        <f t="shared" si="1"/>
        <v>3.3779999999999997</v>
      </c>
      <c r="C26" s="141">
        <f t="shared" si="2"/>
        <v>-9.3250444049733427E-2</v>
      </c>
      <c r="D26" s="140">
        <f t="shared" si="3"/>
        <v>0.25763216679076684</v>
      </c>
      <c r="G26" s="142">
        <f t="shared" si="4"/>
        <v>0.2</v>
      </c>
      <c r="H26" s="139">
        <f t="shared" si="5"/>
        <v>5.4972000000000003</v>
      </c>
      <c r="I26" s="141">
        <f t="shared" si="6"/>
        <v>-0.44280724732591137</v>
      </c>
      <c r="J26" s="140">
        <f t="shared" si="7"/>
        <v>1.0466120625465378</v>
      </c>
    </row>
    <row r="27" spans="1:10" x14ac:dyDescent="0.3">
      <c r="A27" s="23">
        <f t="shared" si="0"/>
        <v>0.19</v>
      </c>
      <c r="B27" s="8">
        <f t="shared" si="1"/>
        <v>3.34985</v>
      </c>
      <c r="C27" s="143">
        <f t="shared" si="2"/>
        <v>-8.5630699882084216E-2</v>
      </c>
      <c r="D27" s="143">
        <f t="shared" si="3"/>
        <v>0.24715189873417723</v>
      </c>
      <c r="G27" s="23">
        <f t="shared" si="4"/>
        <v>0.19</v>
      </c>
      <c r="H27" s="8">
        <f t="shared" si="5"/>
        <v>5.45139</v>
      </c>
      <c r="I27" s="143">
        <f t="shared" si="6"/>
        <v>-0.43812495528663326</v>
      </c>
      <c r="J27" s="143">
        <f t="shared" si="7"/>
        <v>1.0295569620253164</v>
      </c>
    </row>
    <row r="28" spans="1:10" x14ac:dyDescent="0.3">
      <c r="A28" s="23">
        <f t="shared" si="0"/>
        <v>0.18</v>
      </c>
      <c r="B28" s="8">
        <f t="shared" si="1"/>
        <v>3.3216999999999999</v>
      </c>
      <c r="C28" s="143">
        <f t="shared" si="2"/>
        <v>-7.7881807508203546E-2</v>
      </c>
      <c r="D28" s="143">
        <f t="shared" si="3"/>
        <v>0.23667163067758748</v>
      </c>
      <c r="G28" s="23">
        <f t="shared" si="4"/>
        <v>0.18</v>
      </c>
      <c r="H28" s="8">
        <f t="shared" si="5"/>
        <v>5.4055800000000005</v>
      </c>
      <c r="I28" s="143">
        <f t="shared" si="6"/>
        <v>-0.4333633023653336</v>
      </c>
      <c r="J28" s="143">
        <f t="shared" si="7"/>
        <v>1.0125018615040955</v>
      </c>
    </row>
    <row r="29" spans="1:10" x14ac:dyDescent="0.3">
      <c r="A29" s="143">
        <f t="shared" si="0"/>
        <v>0.17</v>
      </c>
      <c r="B29" s="69">
        <f t="shared" si="1"/>
        <v>3.2935499999999998</v>
      </c>
      <c r="C29" s="143">
        <f t="shared" si="2"/>
        <v>-7.0000455435624054E-2</v>
      </c>
      <c r="D29" s="143">
        <f t="shared" si="3"/>
        <v>0.2261913626209977</v>
      </c>
      <c r="G29" s="143">
        <f t="shared" si="4"/>
        <v>0.17</v>
      </c>
      <c r="H29" s="69">
        <f t="shared" si="5"/>
        <v>5.3597700000000001</v>
      </c>
      <c r="I29" s="143">
        <f t="shared" si="6"/>
        <v>-0.42852025366760138</v>
      </c>
      <c r="J29" s="143">
        <f t="shared" si="7"/>
        <v>0.99544676098287421</v>
      </c>
    </row>
    <row r="30" spans="1:10" x14ac:dyDescent="0.3">
      <c r="A30" s="23">
        <f t="shared" si="0"/>
        <v>0.16</v>
      </c>
      <c r="B30" s="8">
        <f t="shared" si="1"/>
        <v>3.2653999999999996</v>
      </c>
      <c r="C30" s="143">
        <f t="shared" si="2"/>
        <v>-6.1983217982482845E-2</v>
      </c>
      <c r="D30" s="143">
        <f t="shared" si="3"/>
        <v>0.21571109456440793</v>
      </c>
      <c r="G30" s="23">
        <f t="shared" si="4"/>
        <v>0.16</v>
      </c>
      <c r="H30" s="8">
        <f t="shared" si="5"/>
        <v>5.3139599999999998</v>
      </c>
      <c r="I30" s="143">
        <f t="shared" si="6"/>
        <v>-0.4235937041302531</v>
      </c>
      <c r="J30" s="143">
        <f t="shared" si="7"/>
        <v>0.97839166046165293</v>
      </c>
    </row>
    <row r="31" spans="1:10" x14ac:dyDescent="0.3">
      <c r="A31" s="142">
        <f t="shared" si="0"/>
        <v>0.15</v>
      </c>
      <c r="B31" s="139">
        <f t="shared" si="1"/>
        <v>3.2372499999999995</v>
      </c>
      <c r="C31" s="141">
        <f t="shared" si="2"/>
        <v>-5.3826550312765273E-2</v>
      </c>
      <c r="D31" s="140">
        <f t="shared" si="3"/>
        <v>0.20523082650781815</v>
      </c>
      <c r="G31" s="142">
        <f t="shared" si="4"/>
        <v>0.15</v>
      </c>
      <c r="H31" s="139">
        <f t="shared" si="5"/>
        <v>5.2681500000000003</v>
      </c>
      <c r="I31" s="141">
        <f t="shared" si="6"/>
        <v>-0.41858147547051622</v>
      </c>
      <c r="J31" s="140">
        <f t="shared" si="7"/>
        <v>0.96133655994043199</v>
      </c>
    </row>
    <row r="32" spans="1:10" x14ac:dyDescent="0.3">
      <c r="A32" s="23">
        <f t="shared" si="0"/>
        <v>0.14000000000000001</v>
      </c>
      <c r="B32" s="8">
        <f t="shared" si="1"/>
        <v>3.2091000000000003</v>
      </c>
      <c r="C32" s="143">
        <f t="shared" si="2"/>
        <v>-4.5526783210245898E-2</v>
      </c>
      <c r="D32" s="143">
        <f t="shared" si="3"/>
        <v>0.19475055845122871</v>
      </c>
      <c r="G32" s="23">
        <f t="shared" si="4"/>
        <v>0.14000000000000001</v>
      </c>
      <c r="H32" s="8">
        <f t="shared" si="5"/>
        <v>5.2223400000000009</v>
      </c>
      <c r="I32" s="143">
        <f t="shared" si="6"/>
        <v>-0.41348131297464363</v>
      </c>
      <c r="J32" s="143">
        <f t="shared" si="7"/>
        <v>0.94428145941921104</v>
      </c>
    </row>
    <row r="33" spans="1:10" x14ac:dyDescent="0.3">
      <c r="A33" s="23">
        <f t="shared" si="0"/>
        <v>0.13</v>
      </c>
      <c r="B33" s="8">
        <f t="shared" si="1"/>
        <v>3.1809499999999997</v>
      </c>
      <c r="C33" s="143">
        <f t="shared" si="2"/>
        <v>-3.7080117574938169E-2</v>
      </c>
      <c r="D33" s="143">
        <f t="shared" si="3"/>
        <v>0.1842702903946388</v>
      </c>
      <c r="G33" s="23">
        <f t="shared" si="4"/>
        <v>0.13</v>
      </c>
      <c r="H33" s="8">
        <f t="shared" si="5"/>
        <v>5.1765299999999996</v>
      </c>
      <c r="I33" s="143">
        <f t="shared" si="6"/>
        <v>-0.408290882116012</v>
      </c>
      <c r="J33" s="143">
        <f t="shared" si="7"/>
        <v>0.92722635889798943</v>
      </c>
    </row>
    <row r="34" spans="1:10" x14ac:dyDescent="0.3">
      <c r="A34" s="143">
        <f t="shared" si="0"/>
        <v>0.12</v>
      </c>
      <c r="B34" s="69">
        <f t="shared" si="1"/>
        <v>3.1528</v>
      </c>
      <c r="C34" s="143">
        <f t="shared" si="2"/>
        <v>-2.84826186247145E-2</v>
      </c>
      <c r="D34" s="143">
        <f t="shared" si="3"/>
        <v>0.17379002233804919</v>
      </c>
      <c r="G34" s="143">
        <f t="shared" si="4"/>
        <v>0.12</v>
      </c>
      <c r="H34" s="69">
        <f t="shared" si="5"/>
        <v>5.1307200000000011</v>
      </c>
      <c r="I34" s="143">
        <f t="shared" si="6"/>
        <v>-0.40300776499204799</v>
      </c>
      <c r="J34" s="143">
        <f t="shared" si="7"/>
        <v>0.91017125837676882</v>
      </c>
    </row>
    <row r="35" spans="1:10" x14ac:dyDescent="0.3">
      <c r="A35" s="23">
        <f t="shared" si="0"/>
        <v>0.11</v>
      </c>
      <c r="B35" s="8">
        <f t="shared" si="1"/>
        <v>3.1246500000000004</v>
      </c>
      <c r="C35" s="143">
        <f t="shared" si="2"/>
        <v>-1.9730209783495815E-2</v>
      </c>
      <c r="D35" s="143">
        <f t="shared" si="3"/>
        <v>0.16330975428145958</v>
      </c>
      <c r="G35" s="23">
        <f t="shared" si="4"/>
        <v>0.11</v>
      </c>
      <c r="H35" s="8">
        <f t="shared" si="5"/>
        <v>5.0849100000000007</v>
      </c>
      <c r="I35" s="143">
        <f t="shared" si="6"/>
        <v>-0.39762945656855286</v>
      </c>
      <c r="J35" s="143">
        <f t="shared" si="7"/>
        <v>0.89311615785554754</v>
      </c>
    </row>
    <row r="36" spans="1:10" x14ac:dyDescent="0.3">
      <c r="A36" s="142">
        <f t="shared" si="0"/>
        <v>0.1</v>
      </c>
      <c r="B36" s="139">
        <f t="shared" si="1"/>
        <v>3.0965000000000003</v>
      </c>
      <c r="C36" s="141">
        <f t="shared" si="2"/>
        <v>-1.0818666236073013E-2</v>
      </c>
      <c r="D36" s="140">
        <f t="shared" si="3"/>
        <v>0.1528294862248698</v>
      </c>
      <c r="G36" s="142">
        <f t="shared" si="4"/>
        <v>0.1</v>
      </c>
      <c r="H36" s="139">
        <f t="shared" si="5"/>
        <v>5.0391000000000012</v>
      </c>
      <c r="I36" s="141">
        <f t="shared" si="6"/>
        <v>-0.39215336071917617</v>
      </c>
      <c r="J36" s="140">
        <f t="shared" si="7"/>
        <v>0.8760610573343266</v>
      </c>
    </row>
    <row r="37" spans="1:10" x14ac:dyDescent="0.3">
      <c r="A37" s="23">
        <f t="shared" si="0"/>
        <v>0.09</v>
      </c>
      <c r="B37" s="8">
        <f t="shared" si="1"/>
        <v>3.0683500000000001</v>
      </c>
      <c r="C37" s="143">
        <f t="shared" si="2"/>
        <v>-1.7436081281470386E-3</v>
      </c>
      <c r="D37" s="143">
        <f t="shared" si="3"/>
        <v>0.14234921816828006</v>
      </c>
      <c r="G37" s="23">
        <f t="shared" si="4"/>
        <v>0.09</v>
      </c>
      <c r="H37" s="8">
        <f t="shared" si="5"/>
        <v>4.9932900000000009</v>
      </c>
      <c r="I37" s="143">
        <f t="shared" si="6"/>
        <v>-0.38657678604687501</v>
      </c>
      <c r="J37" s="143">
        <f t="shared" si="7"/>
        <v>0.85900595681310532</v>
      </c>
    </row>
    <row r="38" spans="1:10" x14ac:dyDescent="0.3">
      <c r="A38" s="23">
        <f t="shared" si="0"/>
        <v>0.08</v>
      </c>
      <c r="B38" s="8">
        <f t="shared" si="1"/>
        <v>3.0402</v>
      </c>
      <c r="C38" s="143">
        <f t="shared" si="2"/>
        <v>7.4995066114071944E-3</v>
      </c>
      <c r="D38" s="143">
        <f t="shared" si="3"/>
        <v>0.13186895011169028</v>
      </c>
      <c r="G38" s="23">
        <f t="shared" si="4"/>
        <v>0.08</v>
      </c>
      <c r="H38" s="8">
        <f t="shared" si="5"/>
        <v>4.9474800000000005</v>
      </c>
      <c r="I38" s="143">
        <f t="shared" si="6"/>
        <v>-0.38089694147323488</v>
      </c>
      <c r="J38" s="143">
        <f t="shared" si="7"/>
        <v>0.84195085629188404</v>
      </c>
    </row>
    <row r="39" spans="1:10" x14ac:dyDescent="0.3">
      <c r="A39" s="143">
        <f t="shared" si="0"/>
        <v>7.0000000000000007E-2</v>
      </c>
      <c r="B39" s="69">
        <f t="shared" si="1"/>
        <v>3.0120500000000003</v>
      </c>
      <c r="C39" s="143">
        <f t="shared" si="2"/>
        <v>1.691538985076603E-2</v>
      </c>
      <c r="D39" s="143">
        <f t="shared" si="3"/>
        <v>0.12138868205510067</v>
      </c>
      <c r="G39" s="143">
        <f t="shared" si="4"/>
        <v>7.0000000000000007E-2</v>
      </c>
      <c r="H39" s="69">
        <f t="shared" si="5"/>
        <v>4.9016700000000011</v>
      </c>
      <c r="I39" s="143">
        <f t="shared" si="6"/>
        <v>-0.37511093158046144</v>
      </c>
      <c r="J39" s="143">
        <f t="shared" si="7"/>
        <v>0.8248957557706631</v>
      </c>
    </row>
    <row r="40" spans="1:10" x14ac:dyDescent="0.3">
      <c r="A40" s="23">
        <f t="shared" si="0"/>
        <v>0.06</v>
      </c>
      <c r="B40" s="8">
        <f t="shared" si="1"/>
        <v>2.9839000000000002</v>
      </c>
      <c r="C40" s="143">
        <f t="shared" si="2"/>
        <v>2.6508931264452543E-2</v>
      </c>
      <c r="D40" s="143">
        <f t="shared" si="3"/>
        <v>0.1109084139985109</v>
      </c>
      <c r="G40" s="23">
        <f t="shared" si="4"/>
        <v>0.06</v>
      </c>
      <c r="H40" s="8">
        <f t="shared" si="5"/>
        <v>4.8558600000000007</v>
      </c>
      <c r="I40" s="143">
        <f t="shared" si="6"/>
        <v>-0.36921575168971105</v>
      </c>
      <c r="J40" s="143">
        <f t="shared" si="7"/>
        <v>0.80784065524944182</v>
      </c>
    </row>
    <row r="41" spans="1:10" x14ac:dyDescent="0.3">
      <c r="A41" s="142">
        <f t="shared" si="0"/>
        <v>0.05</v>
      </c>
      <c r="B41" s="139">
        <f t="shared" si="1"/>
        <v>2.9557500000000001</v>
      </c>
      <c r="C41" s="141">
        <f t="shared" si="2"/>
        <v>3.6285206800304511E-2</v>
      </c>
      <c r="D41" s="140">
        <f t="shared" si="3"/>
        <v>0.10042814594192113</v>
      </c>
      <c r="G41" s="142">
        <f t="shared" si="4"/>
        <v>0.05</v>
      </c>
      <c r="H41" s="139">
        <f t="shared" si="5"/>
        <v>4.8100500000000004</v>
      </c>
      <c r="I41" s="141">
        <f t="shared" si="6"/>
        <v>-0.36320828265818444</v>
      </c>
      <c r="J41" s="140">
        <f t="shared" si="7"/>
        <v>0.79078555472822054</v>
      </c>
    </row>
    <row r="42" spans="1:10" x14ac:dyDescent="0.3">
      <c r="A42" s="23">
        <f t="shared" si="0"/>
        <v>0.04</v>
      </c>
      <c r="B42" s="8">
        <f t="shared" si="1"/>
        <v>2.9276</v>
      </c>
      <c r="C42" s="143">
        <f t="shared" si="2"/>
        <v>4.624948763492287E-2</v>
      </c>
      <c r="D42" s="143">
        <f t="shared" si="3"/>
        <v>8.9947877885331359E-2</v>
      </c>
      <c r="G42" s="23">
        <f t="shared" si="4"/>
        <v>0.04</v>
      </c>
      <c r="H42" s="8">
        <f t="shared" si="5"/>
        <v>4.7642400000000009</v>
      </c>
      <c r="I42" s="143">
        <f t="shared" si="6"/>
        <v>-0.35708528537605166</v>
      </c>
      <c r="J42" s="143">
        <f t="shared" si="7"/>
        <v>0.7737304542069996</v>
      </c>
    </row>
    <row r="43" spans="1:10" x14ac:dyDescent="0.3">
      <c r="A43" s="23">
        <f t="shared" si="0"/>
        <v>0.03</v>
      </c>
      <c r="B43" s="8">
        <f t="shared" si="1"/>
        <v>2.8994499999999999</v>
      </c>
      <c r="C43" s="143">
        <f t="shared" ref="C43:C74" si="8">($E$3-B43)/B43</f>
        <v>5.6407249650795951E-2</v>
      </c>
      <c r="D43" s="143">
        <f t="shared" ref="D43:D74" si="9">(B43-$G$3)/$G$3</f>
        <v>7.9467609828741598E-2</v>
      </c>
      <c r="G43" s="23">
        <f t="shared" si="4"/>
        <v>0.03</v>
      </c>
      <c r="H43" s="8">
        <f t="shared" si="5"/>
        <v>4.7184300000000006</v>
      </c>
      <c r="I43" s="143">
        <f t="shared" ref="I43:I74" si="10">($E$3-H43)/H43</f>
        <v>-0.35084339494280942</v>
      </c>
      <c r="J43" s="143">
        <f t="shared" ref="J43:J74" si="11">(H43-$G$3)/$G$3</f>
        <v>0.75667535368577832</v>
      </c>
    </row>
    <row r="44" spans="1:10" x14ac:dyDescent="0.3">
      <c r="A44" s="143">
        <f t="shared" si="0"/>
        <v>0.02</v>
      </c>
      <c r="B44" s="69">
        <f t="shared" si="1"/>
        <v>2.8713000000000002</v>
      </c>
      <c r="C44" s="143">
        <f t="shared" si="8"/>
        <v>6.676418347090167E-2</v>
      </c>
      <c r="D44" s="143">
        <f t="shared" si="9"/>
        <v>6.8987341772151989E-2</v>
      </c>
      <c r="G44" s="143">
        <f t="shared" si="4"/>
        <v>0.02</v>
      </c>
      <c r="H44" s="69">
        <f t="shared" si="5"/>
        <v>4.6726200000000002</v>
      </c>
      <c r="I44" s="143">
        <f t="shared" si="10"/>
        <v>-0.34447911450107221</v>
      </c>
      <c r="J44" s="143">
        <f t="shared" si="11"/>
        <v>0.73962025316455704</v>
      </c>
    </row>
    <row r="45" spans="1:10" x14ac:dyDescent="0.3">
      <c r="A45" s="23">
        <f t="shared" si="0"/>
        <v>0.01</v>
      </c>
      <c r="B45" s="8">
        <f t="shared" si="1"/>
        <v>2.8431500000000001</v>
      </c>
      <c r="C45" s="143">
        <f t="shared" si="8"/>
        <v>7.732620508942549E-2</v>
      </c>
      <c r="D45" s="143">
        <f t="shared" si="9"/>
        <v>5.850707371556222E-2</v>
      </c>
      <c r="G45" s="23">
        <f t="shared" si="4"/>
        <v>0.01</v>
      </c>
      <c r="H45" s="8">
        <f t="shared" si="5"/>
        <v>4.6268100000000008</v>
      </c>
      <c r="I45" s="143">
        <f t="shared" si="10"/>
        <v>-0.33798880870405318</v>
      </c>
      <c r="J45" s="143">
        <f t="shared" si="11"/>
        <v>0.72256515264333609</v>
      </c>
    </row>
    <row r="46" spans="1:10" x14ac:dyDescent="0.3">
      <c r="A46" s="144">
        <v>0</v>
      </c>
      <c r="B46" s="145">
        <v>2.8149999999999999</v>
      </c>
      <c r="C46" s="144">
        <f t="shared" si="8"/>
        <v>8.8099467140319798E-2</v>
      </c>
      <c r="D46" s="144">
        <f t="shared" si="9"/>
        <v>4.8026805658972452E-2</v>
      </c>
      <c r="G46" s="144">
        <v>0</v>
      </c>
      <c r="H46" s="145">
        <v>4.5810000000000004</v>
      </c>
      <c r="I46" s="144">
        <f t="shared" si="10"/>
        <v>-0.33136869679109365</v>
      </c>
      <c r="J46" s="144">
        <f t="shared" si="11"/>
        <v>0.70551005212211482</v>
      </c>
    </row>
    <row r="47" spans="1:10" x14ac:dyDescent="0.3">
      <c r="A47" s="23">
        <f t="shared" ref="A47:A81" si="12">A$46+(ROW(A$46)-ROW(A47))*0.01</f>
        <v>-0.01</v>
      </c>
      <c r="B47" s="8">
        <f t="shared" ref="B47:B81" si="13">B$46*(1+(ROW(B$46)-ROW(B47))*0.01)</f>
        <v>2.7868499999999998</v>
      </c>
      <c r="C47" s="143">
        <f t="shared" si="8"/>
        <v>9.9090370848807924E-2</v>
      </c>
      <c r="D47" s="143">
        <f t="shared" si="9"/>
        <v>3.7546537602382683E-2</v>
      </c>
      <c r="G47" s="23">
        <f t="shared" ref="G47:G78" si="14">G$46+(ROW(G$46)-ROW(G47))*0.01</f>
        <v>-0.01</v>
      </c>
      <c r="H47" s="8">
        <f t="shared" ref="H47:H78" si="15">H$46*(1+(ROW(H$46)-ROW(H47))*0.01)</f>
        <v>4.5351900000000001</v>
      </c>
      <c r="I47" s="143">
        <f t="shared" si="10"/>
        <v>-0.3246148452435289</v>
      </c>
      <c r="J47" s="143">
        <f t="shared" si="11"/>
        <v>0.68845495160089354</v>
      </c>
    </row>
    <row r="48" spans="1:10" x14ac:dyDescent="0.3">
      <c r="A48" s="23">
        <f t="shared" si="12"/>
        <v>-0.02</v>
      </c>
      <c r="B48" s="8">
        <f t="shared" si="13"/>
        <v>2.7586999999999997</v>
      </c>
      <c r="C48" s="143">
        <f t="shared" si="8"/>
        <v>0.11030557871461213</v>
      </c>
      <c r="D48" s="143">
        <f t="shared" si="9"/>
        <v>2.7066269545792915E-2</v>
      </c>
      <c r="G48" s="23">
        <f t="shared" si="14"/>
        <v>-0.02</v>
      </c>
      <c r="H48" s="8">
        <f t="shared" si="15"/>
        <v>4.4893800000000006</v>
      </c>
      <c r="I48" s="143">
        <f t="shared" si="10"/>
        <v>-0.31772315999091194</v>
      </c>
      <c r="J48" s="143">
        <f t="shared" si="11"/>
        <v>0.67139985107967259</v>
      </c>
    </row>
    <row r="49" spans="1:10" x14ac:dyDescent="0.3">
      <c r="A49" s="143">
        <f t="shared" si="12"/>
        <v>-0.03</v>
      </c>
      <c r="B49" s="69">
        <f t="shared" si="13"/>
        <v>2.73055</v>
      </c>
      <c r="C49" s="143">
        <f t="shared" si="8"/>
        <v>0.12175202797971109</v>
      </c>
      <c r="D49" s="143">
        <f t="shared" si="9"/>
        <v>1.6586001489203309E-2</v>
      </c>
      <c r="G49" s="143">
        <f t="shared" si="14"/>
        <v>-0.03</v>
      </c>
      <c r="H49" s="69">
        <f t="shared" si="15"/>
        <v>4.4435700000000002</v>
      </c>
      <c r="I49" s="143">
        <f t="shared" si="10"/>
        <v>-0.31068937813514808</v>
      </c>
      <c r="J49" s="143">
        <f t="shared" si="11"/>
        <v>0.65434475055845132</v>
      </c>
    </row>
    <row r="50" spans="1:10" x14ac:dyDescent="0.3">
      <c r="A50" s="23">
        <f t="shared" si="12"/>
        <v>-0.04</v>
      </c>
      <c r="B50" s="8">
        <f t="shared" si="13"/>
        <v>2.7023999999999999</v>
      </c>
      <c r="C50" s="143">
        <f t="shared" si="8"/>
        <v>0.13343694493783315</v>
      </c>
      <c r="D50" s="143">
        <f t="shared" si="9"/>
        <v>6.1057334326135408E-3</v>
      </c>
      <c r="G50" s="23">
        <f t="shared" si="14"/>
        <v>-0.04</v>
      </c>
      <c r="H50" s="8">
        <f t="shared" si="15"/>
        <v>4.3977599999999999</v>
      </c>
      <c r="I50" s="143">
        <f t="shared" si="10"/>
        <v>-0.30350905915738918</v>
      </c>
      <c r="J50" s="143">
        <f t="shared" si="11"/>
        <v>0.63728965003723004</v>
      </c>
    </row>
    <row r="51" spans="1:10" x14ac:dyDescent="0.3">
      <c r="A51" s="142">
        <f t="shared" si="12"/>
        <v>-0.05</v>
      </c>
      <c r="B51" s="139">
        <f t="shared" si="13"/>
        <v>2.6742499999999998</v>
      </c>
      <c r="C51" s="141">
        <f t="shared" si="8"/>
        <v>0.14536786014770511</v>
      </c>
      <c r="D51" s="140">
        <f t="shared" si="9"/>
        <v>-4.3745346239762286E-3</v>
      </c>
      <c r="G51" s="142">
        <f t="shared" si="14"/>
        <v>-0.05</v>
      </c>
      <c r="H51" s="139">
        <f t="shared" si="15"/>
        <v>4.3519500000000004</v>
      </c>
      <c r="I51" s="141">
        <f t="shared" si="10"/>
        <v>-0.2961775755695723</v>
      </c>
      <c r="J51" s="140">
        <f t="shared" si="11"/>
        <v>0.62023454951600909</v>
      </c>
    </row>
    <row r="52" spans="1:10" x14ac:dyDescent="0.3">
      <c r="A52" s="23">
        <f t="shared" si="12"/>
        <v>-0.06</v>
      </c>
      <c r="B52" s="8">
        <f t="shared" si="13"/>
        <v>2.6460999999999997</v>
      </c>
      <c r="C52" s="143">
        <f t="shared" si="8"/>
        <v>0.15755262461736161</v>
      </c>
      <c r="D52" s="143">
        <f t="shared" si="9"/>
        <v>-1.4854802680565998E-2</v>
      </c>
      <c r="G52" s="23">
        <f t="shared" si="14"/>
        <v>-0.06</v>
      </c>
      <c r="H52" s="8">
        <f t="shared" si="15"/>
        <v>4.3061400000000001</v>
      </c>
      <c r="I52" s="143">
        <f t="shared" si="10"/>
        <v>-0.28869010296924852</v>
      </c>
      <c r="J52" s="143">
        <f t="shared" si="11"/>
        <v>0.60317944899478781</v>
      </c>
    </row>
    <row r="53" spans="1:10" x14ac:dyDescent="0.3">
      <c r="A53" s="23">
        <f t="shared" si="12"/>
        <v>-7.0000000000000007E-2</v>
      </c>
      <c r="B53" s="8">
        <f t="shared" si="13"/>
        <v>2.6179499999999996</v>
      </c>
      <c r="C53" s="143">
        <f t="shared" si="8"/>
        <v>0.1699994270326021</v>
      </c>
      <c r="D53" s="143">
        <f t="shared" si="9"/>
        <v>-2.5335070737155768E-2</v>
      </c>
      <c r="G53" s="23">
        <f t="shared" si="14"/>
        <v>-7.0000000000000007E-2</v>
      </c>
      <c r="H53" s="8">
        <f t="shared" si="15"/>
        <v>4.2603299999999997</v>
      </c>
      <c r="I53" s="143">
        <f t="shared" si="10"/>
        <v>-0.28104160945278878</v>
      </c>
      <c r="J53" s="143">
        <f t="shared" si="11"/>
        <v>0.58612434847356654</v>
      </c>
    </row>
    <row r="54" spans="1:10" x14ac:dyDescent="0.3">
      <c r="A54" s="143">
        <f t="shared" si="12"/>
        <v>-0.08</v>
      </c>
      <c r="B54" s="69">
        <f t="shared" si="13"/>
        <v>2.5897999999999999</v>
      </c>
      <c r="C54" s="143">
        <f t="shared" si="8"/>
        <v>0.18271681210904328</v>
      </c>
      <c r="D54" s="143">
        <f t="shared" si="9"/>
        <v>-3.581533879374537E-2</v>
      </c>
      <c r="G54" s="143">
        <f t="shared" si="14"/>
        <v>-0.08</v>
      </c>
      <c r="H54" s="69">
        <f t="shared" si="15"/>
        <v>4.2145200000000003</v>
      </c>
      <c r="I54" s="143">
        <f t="shared" si="10"/>
        <v>-0.27322684433814526</v>
      </c>
      <c r="J54" s="143">
        <f t="shared" si="11"/>
        <v>0.56906924795234559</v>
      </c>
    </row>
    <row r="55" spans="1:10" x14ac:dyDescent="0.3">
      <c r="A55" s="23">
        <f t="shared" si="12"/>
        <v>-0.09</v>
      </c>
      <c r="B55" s="8">
        <f t="shared" si="13"/>
        <v>2.5616500000000002</v>
      </c>
      <c r="C55" s="143">
        <f t="shared" si="8"/>
        <v>0.19571370015419745</v>
      </c>
      <c r="D55" s="143">
        <f t="shared" si="9"/>
        <v>-4.6295606850334972E-2</v>
      </c>
      <c r="G55" s="23">
        <f t="shared" si="14"/>
        <v>-0.09</v>
      </c>
      <c r="H55" s="8">
        <f t="shared" si="15"/>
        <v>4.1687100000000008</v>
      </c>
      <c r="I55" s="143">
        <f t="shared" si="10"/>
        <v>-0.26524032614405907</v>
      </c>
      <c r="J55" s="143">
        <f t="shared" si="11"/>
        <v>0.55201414743112465</v>
      </c>
    </row>
    <row r="56" spans="1:10" x14ac:dyDescent="0.3">
      <c r="A56" s="142">
        <f t="shared" si="12"/>
        <v>-0.1</v>
      </c>
      <c r="B56" s="139">
        <f t="shared" si="13"/>
        <v>2.5335000000000001</v>
      </c>
      <c r="C56" s="141">
        <f t="shared" si="8"/>
        <v>0.2089994079336886</v>
      </c>
      <c r="D56" s="140">
        <f t="shared" si="9"/>
        <v>-5.6775874906924741E-2</v>
      </c>
      <c r="G56" s="142">
        <f t="shared" si="14"/>
        <v>-0.1</v>
      </c>
      <c r="H56" s="139">
        <f t="shared" si="15"/>
        <v>4.1229000000000005</v>
      </c>
      <c r="I56" s="141">
        <f t="shared" si="10"/>
        <v>-0.25707632976788186</v>
      </c>
      <c r="J56" s="140">
        <f t="shared" si="11"/>
        <v>0.53495904690990337</v>
      </c>
    </row>
    <row r="57" spans="1:10" x14ac:dyDescent="0.3">
      <c r="A57" s="23">
        <f t="shared" si="12"/>
        <v>-0.11</v>
      </c>
      <c r="B57" s="8">
        <f t="shared" si="13"/>
        <v>2.50535</v>
      </c>
      <c r="C57" s="143">
        <f t="shared" si="8"/>
        <v>0.22258367094417955</v>
      </c>
      <c r="D57" s="143">
        <f t="shared" si="9"/>
        <v>-6.7256142963514509E-2</v>
      </c>
      <c r="G57" s="23">
        <f t="shared" si="14"/>
        <v>-0.11</v>
      </c>
      <c r="H57" s="8">
        <f t="shared" si="15"/>
        <v>4.0770900000000001</v>
      </c>
      <c r="I57" s="143">
        <f t="shared" si="10"/>
        <v>-0.24872887279898159</v>
      </c>
      <c r="J57" s="143">
        <f t="shared" si="11"/>
        <v>0.51790394638868209</v>
      </c>
    </row>
    <row r="58" spans="1:10" x14ac:dyDescent="0.3">
      <c r="A58" s="23">
        <f t="shared" si="12"/>
        <v>-0.12</v>
      </c>
      <c r="B58" s="8">
        <f t="shared" si="13"/>
        <v>2.4771999999999998</v>
      </c>
      <c r="C58" s="143">
        <f t="shared" si="8"/>
        <v>0.23647666720490892</v>
      </c>
      <c r="D58" s="143">
        <f t="shared" si="9"/>
        <v>-7.7736411020104285E-2</v>
      </c>
      <c r="G58" s="23">
        <f t="shared" si="14"/>
        <v>-0.12</v>
      </c>
      <c r="H58" s="8">
        <f t="shared" si="15"/>
        <v>4.0312800000000006</v>
      </c>
      <c r="I58" s="143">
        <f t="shared" si="10"/>
        <v>-0.24019170089897013</v>
      </c>
      <c r="J58" s="143">
        <f t="shared" si="11"/>
        <v>0.50084884586746115</v>
      </c>
    </row>
    <row r="59" spans="1:10" x14ac:dyDescent="0.3">
      <c r="A59" s="143">
        <f t="shared" si="12"/>
        <v>-0.13</v>
      </c>
      <c r="B59" s="69">
        <f t="shared" si="13"/>
        <v>2.4490499999999997</v>
      </c>
      <c r="C59" s="143">
        <f t="shared" si="8"/>
        <v>0.25068904269002285</v>
      </c>
      <c r="D59" s="143">
        <f t="shared" si="9"/>
        <v>-8.8216679076694046E-2</v>
      </c>
      <c r="G59" s="143">
        <f t="shared" si="14"/>
        <v>-0.13</v>
      </c>
      <c r="H59" s="69">
        <f t="shared" si="15"/>
        <v>3.9854700000000003</v>
      </c>
      <c r="I59" s="143">
        <f t="shared" si="10"/>
        <v>-0.23145827217367088</v>
      </c>
      <c r="J59" s="143">
        <f t="shared" si="11"/>
        <v>0.48379374534623992</v>
      </c>
    </row>
    <row r="60" spans="1:10" x14ac:dyDescent="0.3">
      <c r="A60" s="23">
        <f t="shared" si="12"/>
        <v>-0.14000000000000001</v>
      </c>
      <c r="B60" s="8">
        <f t="shared" si="13"/>
        <v>2.4209000000000001</v>
      </c>
      <c r="C60" s="143">
        <f t="shared" si="8"/>
        <v>0.26523193853525551</v>
      </c>
      <c r="D60" s="143">
        <f t="shared" si="9"/>
        <v>-9.8696947133283655E-2</v>
      </c>
      <c r="G60" s="23">
        <f t="shared" si="14"/>
        <v>-0.14000000000000001</v>
      </c>
      <c r="H60" s="8">
        <f t="shared" si="15"/>
        <v>3.9396600000000004</v>
      </c>
      <c r="I60" s="143">
        <f t="shared" si="10"/>
        <v>-0.22252174045476009</v>
      </c>
      <c r="J60" s="143">
        <f t="shared" si="11"/>
        <v>0.46673864482501881</v>
      </c>
    </row>
    <row r="61" spans="1:10" x14ac:dyDescent="0.3">
      <c r="A61" s="142">
        <f t="shared" si="12"/>
        <v>-0.15</v>
      </c>
      <c r="B61" s="139">
        <f t="shared" si="13"/>
        <v>2.3927499999999999</v>
      </c>
      <c r="C61" s="141">
        <f t="shared" si="8"/>
        <v>0.28011702016508211</v>
      </c>
      <c r="D61" s="140">
        <f t="shared" si="9"/>
        <v>-0.10917721518987343</v>
      </c>
      <c r="G61" s="142">
        <f t="shared" si="14"/>
        <v>-0.15</v>
      </c>
      <c r="H61" s="139">
        <f t="shared" si="15"/>
        <v>3.89385</v>
      </c>
      <c r="I61" s="141">
        <f t="shared" si="10"/>
        <v>-0.2133749374012866</v>
      </c>
      <c r="J61" s="140">
        <f t="shared" si="11"/>
        <v>0.44968354430379753</v>
      </c>
    </row>
    <row r="62" spans="1:10" x14ac:dyDescent="0.3">
      <c r="A62" s="23">
        <f t="shared" si="12"/>
        <v>-0.16</v>
      </c>
      <c r="B62" s="8">
        <f t="shared" si="13"/>
        <v>2.3645999999999998</v>
      </c>
      <c r="C62" s="143">
        <f t="shared" si="8"/>
        <v>0.29535650850038081</v>
      </c>
      <c r="D62" s="143">
        <f t="shared" si="9"/>
        <v>-0.11965748324646319</v>
      </c>
      <c r="G62" s="23">
        <f t="shared" si="14"/>
        <v>-0.16</v>
      </c>
      <c r="H62" s="8">
        <f t="shared" si="15"/>
        <v>3.8480400000000001</v>
      </c>
      <c r="I62" s="143">
        <f t="shared" si="10"/>
        <v>-0.20401035332273051</v>
      </c>
      <c r="J62" s="143">
        <f t="shared" si="11"/>
        <v>0.43262844378257642</v>
      </c>
    </row>
    <row r="63" spans="1:10" x14ac:dyDescent="0.3">
      <c r="A63" s="23">
        <f t="shared" si="12"/>
        <v>-0.17</v>
      </c>
      <c r="B63" s="8">
        <f t="shared" si="13"/>
        <v>2.3364499999999997</v>
      </c>
      <c r="C63" s="143">
        <f t="shared" si="8"/>
        <v>0.31096321342207217</v>
      </c>
      <c r="D63" s="143">
        <f t="shared" si="9"/>
        <v>-0.13013775130305297</v>
      </c>
      <c r="G63" s="23">
        <f t="shared" si="14"/>
        <v>-0.17</v>
      </c>
      <c r="H63" s="8">
        <f t="shared" si="15"/>
        <v>3.8022300000000002</v>
      </c>
      <c r="I63" s="143">
        <f t="shared" si="10"/>
        <v>-0.19442011661577549</v>
      </c>
      <c r="J63" s="143">
        <f t="shared" si="11"/>
        <v>0.41557334326135531</v>
      </c>
    </row>
    <row r="64" spans="1:10" x14ac:dyDescent="0.3">
      <c r="A64" s="143">
        <f t="shared" si="12"/>
        <v>-0.18</v>
      </c>
      <c r="B64" s="69">
        <f t="shared" si="13"/>
        <v>2.3083</v>
      </c>
      <c r="C64" s="143">
        <f t="shared" si="8"/>
        <v>0.32695056968331676</v>
      </c>
      <c r="D64" s="143">
        <f t="shared" si="9"/>
        <v>-0.14061801935964258</v>
      </c>
      <c r="G64" s="143">
        <f t="shared" si="14"/>
        <v>-0.18</v>
      </c>
      <c r="H64" s="69">
        <f t="shared" si="15"/>
        <v>3.7564200000000008</v>
      </c>
      <c r="I64" s="143">
        <f t="shared" si="10"/>
        <v>-0.18459597169645578</v>
      </c>
      <c r="J64" s="143">
        <f t="shared" si="11"/>
        <v>0.39851824274013437</v>
      </c>
    </row>
    <row r="65" spans="1:10" x14ac:dyDescent="0.3">
      <c r="A65" s="23">
        <f t="shared" si="12"/>
        <v>-0.19</v>
      </c>
      <c r="B65" s="8">
        <f t="shared" si="13"/>
        <v>2.2801499999999999</v>
      </c>
      <c r="C65" s="143">
        <f t="shared" si="8"/>
        <v>0.34333267548187635</v>
      </c>
      <c r="D65" s="143">
        <f t="shared" si="9"/>
        <v>-0.15109828741623232</v>
      </c>
      <c r="G65" s="23">
        <f t="shared" si="14"/>
        <v>-0.19</v>
      </c>
      <c r="H65" s="8">
        <f t="shared" si="15"/>
        <v>3.7106100000000004</v>
      </c>
      <c r="I65" s="143">
        <f t="shared" si="10"/>
        <v>-0.17452925529764651</v>
      </c>
      <c r="J65" s="143">
        <f t="shared" si="11"/>
        <v>0.38146314221891309</v>
      </c>
    </row>
    <row r="66" spans="1:10" x14ac:dyDescent="0.3">
      <c r="A66" s="142">
        <f t="shared" si="12"/>
        <v>-0.2</v>
      </c>
      <c r="B66" s="139">
        <f t="shared" si="13"/>
        <v>2.2520000000000002</v>
      </c>
      <c r="C66" s="141">
        <f t="shared" si="8"/>
        <v>0.36012433392539961</v>
      </c>
      <c r="D66" s="140">
        <f t="shared" si="9"/>
        <v>-0.16157855547282193</v>
      </c>
      <c r="G66" s="142">
        <f t="shared" si="14"/>
        <v>-0.2</v>
      </c>
      <c r="H66" s="139">
        <f t="shared" si="15"/>
        <v>3.6648000000000005</v>
      </c>
      <c r="I66" s="141">
        <f t="shared" si="10"/>
        <v>-0.16421087098886714</v>
      </c>
      <c r="J66" s="140">
        <f t="shared" si="11"/>
        <v>0.36440804169769198</v>
      </c>
    </row>
    <row r="67" spans="1:10" x14ac:dyDescent="0.3">
      <c r="A67" s="23">
        <f t="shared" si="12"/>
        <v>-0.21</v>
      </c>
      <c r="B67" s="8">
        <f t="shared" si="13"/>
        <v>2.2238500000000001</v>
      </c>
      <c r="C67" s="143">
        <f t="shared" si="8"/>
        <v>0.37734109764597434</v>
      </c>
      <c r="D67" s="143">
        <f t="shared" si="9"/>
        <v>-0.17205882352941171</v>
      </c>
      <c r="G67" s="23">
        <f t="shared" si="14"/>
        <v>-0.21</v>
      </c>
      <c r="H67" s="8">
        <f t="shared" si="15"/>
        <v>3.6189900000000006</v>
      </c>
      <c r="I67" s="143">
        <f t="shared" si="10"/>
        <v>-0.15363126176087813</v>
      </c>
      <c r="J67" s="143">
        <f t="shared" si="11"/>
        <v>0.34735294117647086</v>
      </c>
    </row>
    <row r="68" spans="1:10" x14ac:dyDescent="0.3">
      <c r="A68" s="23">
        <f t="shared" si="12"/>
        <v>-0.22</v>
      </c>
      <c r="B68" s="8">
        <f t="shared" si="13"/>
        <v>2.1957</v>
      </c>
      <c r="C68" s="143">
        <f t="shared" si="8"/>
        <v>0.39499931684656381</v>
      </c>
      <c r="D68" s="143">
        <f t="shared" si="9"/>
        <v>-0.18253909158600148</v>
      </c>
      <c r="G68" s="23">
        <f t="shared" si="14"/>
        <v>-0.22</v>
      </c>
      <c r="H68" s="8">
        <f t="shared" si="15"/>
        <v>3.5731800000000002</v>
      </c>
      <c r="I68" s="143">
        <f t="shared" si="10"/>
        <v>-0.14278038050140213</v>
      </c>
      <c r="J68" s="143">
        <f t="shared" si="11"/>
        <v>0.33029784065524959</v>
      </c>
    </row>
    <row r="69" spans="1:10" x14ac:dyDescent="0.3">
      <c r="A69" s="143">
        <f t="shared" si="12"/>
        <v>-0.23</v>
      </c>
      <c r="B69" s="69">
        <f t="shared" si="13"/>
        <v>2.1675499999999999</v>
      </c>
      <c r="C69" s="143">
        <f t="shared" si="8"/>
        <v>0.41311619109132447</v>
      </c>
      <c r="D69" s="143">
        <f t="shared" si="9"/>
        <v>-0.19301935964259126</v>
      </c>
      <c r="G69" s="143">
        <f t="shared" si="14"/>
        <v>-0.23</v>
      </c>
      <c r="H69" s="69">
        <f t="shared" si="15"/>
        <v>3.5273700000000003</v>
      </c>
      <c r="I69" s="143">
        <f t="shared" si="10"/>
        <v>-0.13164765817025154</v>
      </c>
      <c r="J69" s="143">
        <f t="shared" si="11"/>
        <v>0.31324274013402847</v>
      </c>
    </row>
    <row r="70" spans="1:10" x14ac:dyDescent="0.3">
      <c r="A70" s="23">
        <f t="shared" si="12"/>
        <v>-0.24</v>
      </c>
      <c r="B70" s="8">
        <f t="shared" si="13"/>
        <v>2.1394000000000002</v>
      </c>
      <c r="C70" s="143">
        <f t="shared" si="8"/>
        <v>0.43170982518463114</v>
      </c>
      <c r="D70" s="143">
        <f t="shared" si="9"/>
        <v>-0.20349962769918084</v>
      </c>
      <c r="G70" s="23">
        <f t="shared" si="14"/>
        <v>-0.24</v>
      </c>
      <c r="H70" s="8">
        <f t="shared" si="15"/>
        <v>3.4815600000000004</v>
      </c>
      <c r="I70" s="143">
        <f t="shared" si="10"/>
        <v>-0.12022196946196538</v>
      </c>
      <c r="J70" s="143">
        <f t="shared" si="11"/>
        <v>0.29618763961280736</v>
      </c>
    </row>
    <row r="71" spans="1:10" x14ac:dyDescent="0.3">
      <c r="A71" s="142">
        <f t="shared" si="12"/>
        <v>-0.25</v>
      </c>
      <c r="B71" s="139">
        <f t="shared" si="13"/>
        <v>2.1112500000000001</v>
      </c>
      <c r="C71" s="141">
        <f t="shared" si="8"/>
        <v>0.45079928952042631</v>
      </c>
      <c r="D71" s="140">
        <f t="shared" si="9"/>
        <v>-0.21397989575577062</v>
      </c>
      <c r="G71" s="142">
        <f t="shared" si="14"/>
        <v>-0.25</v>
      </c>
      <c r="H71" s="139">
        <f t="shared" si="15"/>
        <v>3.4357500000000005</v>
      </c>
      <c r="I71" s="141">
        <f t="shared" si="10"/>
        <v>-0.10849159572145828</v>
      </c>
      <c r="J71" s="140">
        <f t="shared" si="11"/>
        <v>0.27913253909158625</v>
      </c>
    </row>
    <row r="72" spans="1:10" x14ac:dyDescent="0.3">
      <c r="A72" s="23">
        <f t="shared" si="12"/>
        <v>-0.26</v>
      </c>
      <c r="B72" s="8">
        <f t="shared" si="13"/>
        <v>2.0831</v>
      </c>
      <c r="C72" s="143">
        <f t="shared" si="8"/>
        <v>0.47040468532475649</v>
      </c>
      <c r="D72" s="143">
        <f t="shared" si="9"/>
        <v>-0.22446016381236039</v>
      </c>
      <c r="G72" s="23">
        <f t="shared" si="14"/>
        <v>-0.26</v>
      </c>
      <c r="H72" s="8">
        <f t="shared" si="15"/>
        <v>3.3899400000000002</v>
      </c>
      <c r="I72" s="143">
        <f t="shared" si="10"/>
        <v>-9.6444184852829254E-2</v>
      </c>
      <c r="J72" s="143">
        <f t="shared" si="11"/>
        <v>0.26207743857036497</v>
      </c>
    </row>
    <row r="73" spans="1:10" x14ac:dyDescent="0.3">
      <c r="A73" s="23">
        <f t="shared" si="12"/>
        <v>-0.27</v>
      </c>
      <c r="B73" s="8">
        <f t="shared" si="13"/>
        <v>2.0549499999999998</v>
      </c>
      <c r="C73" s="143">
        <f t="shared" si="8"/>
        <v>0.49054721526071215</v>
      </c>
      <c r="D73" s="143">
        <f t="shared" si="9"/>
        <v>-0.23494043186895017</v>
      </c>
      <c r="G73" s="23">
        <f t="shared" si="14"/>
        <v>-0.27</v>
      </c>
      <c r="H73" s="8">
        <f t="shared" si="15"/>
        <v>3.3441300000000003</v>
      </c>
      <c r="I73" s="143">
        <f t="shared" si="10"/>
        <v>-8.4066707933005025E-2</v>
      </c>
      <c r="J73" s="143">
        <f t="shared" si="11"/>
        <v>0.24502233804914383</v>
      </c>
    </row>
    <row r="74" spans="1:10" x14ac:dyDescent="0.3">
      <c r="A74" s="143">
        <f t="shared" si="12"/>
        <v>-0.28000000000000003</v>
      </c>
      <c r="B74" s="69">
        <f t="shared" si="13"/>
        <v>2.0267999999999997</v>
      </c>
      <c r="C74" s="143">
        <f t="shared" si="8"/>
        <v>0.51124925991711101</v>
      </c>
      <c r="D74" s="143">
        <f t="shared" si="9"/>
        <v>-0.24542069992553991</v>
      </c>
      <c r="G74" s="143">
        <f t="shared" si="14"/>
        <v>-0.28000000000000003</v>
      </c>
      <c r="H74" s="69">
        <f t="shared" si="15"/>
        <v>3.2983200000000004</v>
      </c>
      <c r="I74" s="143">
        <f t="shared" si="10"/>
        <v>-7.1345412209852341E-2</v>
      </c>
      <c r="J74" s="143">
        <f t="shared" si="11"/>
        <v>0.22796723752792272</v>
      </c>
    </row>
    <row r="75" spans="1:10" x14ac:dyDescent="0.3">
      <c r="A75" s="23">
        <f t="shared" si="12"/>
        <v>-0.28999999999999998</v>
      </c>
      <c r="B75" s="8">
        <f t="shared" si="13"/>
        <v>1.9986499999999998</v>
      </c>
      <c r="C75" s="143">
        <f t="shared" ref="C75:C81" si="16">($E$3-B75)/B75</f>
        <v>0.53253446076101396</v>
      </c>
      <c r="D75" s="143">
        <f t="shared" ref="D75:D81" si="17">(B75-$G$3)/$G$3</f>
        <v>-0.25590096798212963</v>
      </c>
      <c r="G75" s="23">
        <f t="shared" si="14"/>
        <v>-0.28999999999999998</v>
      </c>
      <c r="H75" s="8">
        <f t="shared" si="15"/>
        <v>3.25251</v>
      </c>
      <c r="I75" s="143">
        <f t="shared" ref="I75:I101" si="18">($E$3-H75)/H75</f>
        <v>-5.8265770128300864E-2</v>
      </c>
      <c r="J75" s="143">
        <f t="shared" ref="J75:J101" si="19">(H75-$G$3)/$G$3</f>
        <v>0.21091213700670144</v>
      </c>
    </row>
    <row r="76" spans="1:10" x14ac:dyDescent="0.3">
      <c r="A76" s="142">
        <f t="shared" si="12"/>
        <v>-0.3</v>
      </c>
      <c r="B76" s="139">
        <f t="shared" si="13"/>
        <v>1.9704999999999999</v>
      </c>
      <c r="C76" s="141">
        <f t="shared" si="16"/>
        <v>0.55442781020045684</v>
      </c>
      <c r="D76" s="140">
        <f t="shared" si="17"/>
        <v>-0.26638123603871933</v>
      </c>
      <c r="G76" s="142">
        <f t="shared" si="14"/>
        <v>-0.3</v>
      </c>
      <c r="H76" s="139">
        <f t="shared" si="15"/>
        <v>3.2067000000000001</v>
      </c>
      <c r="I76" s="141">
        <f t="shared" si="18"/>
        <v>-4.4812423987276619E-2</v>
      </c>
      <c r="J76" s="140">
        <f t="shared" si="19"/>
        <v>0.19385703648548033</v>
      </c>
    </row>
    <row r="77" spans="1:10" x14ac:dyDescent="0.3">
      <c r="A77" s="23">
        <f t="shared" si="12"/>
        <v>-0.31</v>
      </c>
      <c r="B77" s="8">
        <f t="shared" si="13"/>
        <v>1.9423499999999998</v>
      </c>
      <c r="C77" s="143">
        <f t="shared" si="16"/>
        <v>0.57695574947872452</v>
      </c>
      <c r="D77" s="143">
        <f t="shared" si="17"/>
        <v>-0.27686150409530907</v>
      </c>
      <c r="G77" s="23">
        <f t="shared" si="14"/>
        <v>-0.31</v>
      </c>
      <c r="H77" s="8">
        <f t="shared" si="15"/>
        <v>3.1608900000000002</v>
      </c>
      <c r="I77" s="143">
        <f t="shared" si="18"/>
        <v>-3.09691257841937E-2</v>
      </c>
      <c r="J77" s="143">
        <f t="shared" si="19"/>
        <v>0.17680193596425922</v>
      </c>
    </row>
    <row r="78" spans="1:10" x14ac:dyDescent="0.3">
      <c r="A78" s="23">
        <f t="shared" si="12"/>
        <v>-0.32</v>
      </c>
      <c r="B78" s="8">
        <f t="shared" si="13"/>
        <v>1.9141999999999997</v>
      </c>
      <c r="C78" s="143">
        <f t="shared" si="16"/>
        <v>0.60014627520635289</v>
      </c>
      <c r="D78" s="143">
        <f t="shared" si="17"/>
        <v>-0.28734177215189882</v>
      </c>
      <c r="G78" s="23">
        <f t="shared" si="14"/>
        <v>-0.32</v>
      </c>
      <c r="H78" s="8">
        <f t="shared" si="15"/>
        <v>3.1150799999999998</v>
      </c>
      <c r="I78" s="143">
        <f t="shared" si="18"/>
        <v>-1.6718671751608204E-2</v>
      </c>
      <c r="J78" s="143">
        <f t="shared" si="19"/>
        <v>0.15974683544303794</v>
      </c>
    </row>
    <row r="79" spans="1:10" x14ac:dyDescent="0.3">
      <c r="A79" s="143">
        <f t="shared" si="12"/>
        <v>-0.33</v>
      </c>
      <c r="B79" s="69">
        <f t="shared" si="13"/>
        <v>1.8860499999999998</v>
      </c>
      <c r="C79" s="143">
        <f t="shared" si="16"/>
        <v>0.62402905543331333</v>
      </c>
      <c r="D79" s="143">
        <f t="shared" si="17"/>
        <v>-0.29782204020848851</v>
      </c>
      <c r="G79" s="143">
        <f t="shared" ref="G79:G101" si="20">G$46+(ROW(G$46)-ROW(G79))*0.01</f>
        <v>-0.33</v>
      </c>
      <c r="H79" s="69">
        <f t="shared" ref="H79:H101" si="21">H$46*(1+(ROW(H$46)-ROW(H79))*0.01)</f>
        <v>3.0692699999999999</v>
      </c>
      <c r="I79" s="143">
        <f t="shared" si="18"/>
        <v>-2.042831031482983E-3</v>
      </c>
      <c r="J79" s="143">
        <f t="shared" si="19"/>
        <v>0.14269173492181683</v>
      </c>
    </row>
    <row r="80" spans="1:10" x14ac:dyDescent="0.3">
      <c r="A80" s="23">
        <f t="shared" si="12"/>
        <v>-0.34</v>
      </c>
      <c r="B80" s="8">
        <f t="shared" si="13"/>
        <v>1.8578999999999997</v>
      </c>
      <c r="C80" s="143">
        <f t="shared" si="16"/>
        <v>0.64863555627321212</v>
      </c>
      <c r="D80" s="143">
        <f t="shared" si="17"/>
        <v>-0.30830230826507832</v>
      </c>
      <c r="G80" s="23">
        <f t="shared" si="20"/>
        <v>-0.34</v>
      </c>
      <c r="H80" s="8">
        <f t="shared" si="21"/>
        <v>3.02346</v>
      </c>
      <c r="I80" s="143">
        <f t="shared" si="18"/>
        <v>1.3077732134706638E-2</v>
      </c>
      <c r="J80" s="143">
        <f t="shared" si="19"/>
        <v>0.12563663440059572</v>
      </c>
    </row>
    <row r="81" spans="1:10" x14ac:dyDescent="0.3">
      <c r="A81" s="142">
        <f t="shared" si="12"/>
        <v>-0.35000000000000003</v>
      </c>
      <c r="B81" s="139">
        <f t="shared" si="13"/>
        <v>1.8297499999999998</v>
      </c>
      <c r="C81" s="141">
        <f t="shared" si="16"/>
        <v>0.67399918021587679</v>
      </c>
      <c r="D81" s="140">
        <f t="shared" si="17"/>
        <v>-0.31878257632166795</v>
      </c>
      <c r="G81" s="142">
        <f t="shared" si="20"/>
        <v>-0.35000000000000003</v>
      </c>
      <c r="H81" s="139">
        <f t="shared" si="21"/>
        <v>2.9776499999999997</v>
      </c>
      <c r="I81" s="141">
        <f t="shared" si="18"/>
        <v>2.8663543398317629E-2</v>
      </c>
      <c r="J81" s="140">
        <f t="shared" si="19"/>
        <v>0.10858153387937444</v>
      </c>
    </row>
    <row r="82" spans="1:10" x14ac:dyDescent="0.3">
      <c r="G82" s="23">
        <f t="shared" si="20"/>
        <v>-0.36</v>
      </c>
      <c r="H82" s="8">
        <f t="shared" si="21"/>
        <v>2.9318400000000002</v>
      </c>
      <c r="I82" s="143">
        <f t="shared" si="18"/>
        <v>4.473641126391615E-2</v>
      </c>
      <c r="J82" s="143">
        <f t="shared" si="19"/>
        <v>9.1526433358153497E-2</v>
      </c>
    </row>
    <row r="83" spans="1:10" x14ac:dyDescent="0.3">
      <c r="G83" s="23">
        <f t="shared" si="20"/>
        <v>-0.37</v>
      </c>
      <c r="H83" s="8">
        <f t="shared" si="21"/>
        <v>2.8860300000000003</v>
      </c>
      <c r="I83" s="143">
        <f t="shared" si="18"/>
        <v>6.1319528903025895E-2</v>
      </c>
      <c r="J83" s="143">
        <f t="shared" si="19"/>
        <v>7.4471332836932386E-2</v>
      </c>
    </row>
    <row r="84" spans="1:10" x14ac:dyDescent="0.3">
      <c r="G84" s="143">
        <f t="shared" si="20"/>
        <v>-0.38</v>
      </c>
      <c r="H84" s="69">
        <f t="shared" si="21"/>
        <v>2.8402200000000004</v>
      </c>
      <c r="I84" s="143">
        <f t="shared" si="18"/>
        <v>7.8437585820816599E-2</v>
      </c>
      <c r="J84" s="143">
        <f t="shared" si="19"/>
        <v>5.7416232315711267E-2</v>
      </c>
    </row>
    <row r="85" spans="1:10" x14ac:dyDescent="0.3">
      <c r="G85" s="23">
        <f t="shared" si="20"/>
        <v>-0.39</v>
      </c>
      <c r="H85" s="8">
        <f t="shared" si="21"/>
        <v>2.7944100000000001</v>
      </c>
      <c r="I85" s="143">
        <f t="shared" si="18"/>
        <v>9.6116890506403888E-2</v>
      </c>
      <c r="J85" s="143">
        <f t="shared" si="19"/>
        <v>4.0361131794489989E-2</v>
      </c>
    </row>
    <row r="86" spans="1:10" x14ac:dyDescent="0.3">
      <c r="G86" s="142">
        <f t="shared" si="20"/>
        <v>-0.4</v>
      </c>
      <c r="H86" s="139">
        <f t="shared" si="21"/>
        <v>2.7486000000000002</v>
      </c>
      <c r="I86" s="141">
        <f t="shared" si="18"/>
        <v>0.11438550534817725</v>
      </c>
      <c r="J86" s="140">
        <f t="shared" si="19"/>
        <v>2.3306031273268881E-2</v>
      </c>
    </row>
    <row r="87" spans="1:10" x14ac:dyDescent="0.3">
      <c r="G87" s="23">
        <f t="shared" si="20"/>
        <v>-0.41000000000000003</v>
      </c>
      <c r="H87" s="8">
        <f t="shared" si="21"/>
        <v>2.7027900000000002</v>
      </c>
      <c r="I87" s="143">
        <f t="shared" si="18"/>
        <v>0.13327339526933277</v>
      </c>
      <c r="J87" s="143">
        <f t="shared" si="19"/>
        <v>6.2509307520477678E-3</v>
      </c>
    </row>
    <row r="88" spans="1:10" x14ac:dyDescent="0.3">
      <c r="G88" s="23">
        <f t="shared" si="20"/>
        <v>-0.42</v>
      </c>
      <c r="H88" s="8">
        <f t="shared" si="21"/>
        <v>2.6569800000000003</v>
      </c>
      <c r="I88" s="143">
        <f t="shared" si="18"/>
        <v>0.15281259173949363</v>
      </c>
      <c r="J88" s="143">
        <f t="shared" si="19"/>
        <v>-1.0804169769173344E-2</v>
      </c>
    </row>
    <row r="89" spans="1:10" x14ac:dyDescent="0.3">
      <c r="G89" s="143">
        <f t="shared" si="20"/>
        <v>-0.43</v>
      </c>
      <c r="H89" s="69">
        <f t="shared" si="21"/>
        <v>2.6111700000000004</v>
      </c>
      <c r="I89" s="143">
        <f t="shared" si="18"/>
        <v>0.17303737405071276</v>
      </c>
      <c r="J89" s="143">
        <f t="shared" si="19"/>
        <v>-2.7859270290394457E-2</v>
      </c>
    </row>
    <row r="90" spans="1:10" x14ac:dyDescent="0.3">
      <c r="G90" s="23">
        <f t="shared" si="20"/>
        <v>-0.44</v>
      </c>
      <c r="H90" s="8">
        <f t="shared" si="21"/>
        <v>2.5653600000000005</v>
      </c>
      <c r="I90" s="143">
        <f t="shared" si="18"/>
        <v>0.19398447001590402</v>
      </c>
      <c r="J90" s="143">
        <f t="shared" si="19"/>
        <v>-4.4914370811615568E-2</v>
      </c>
    </row>
    <row r="91" spans="1:10" x14ac:dyDescent="0.3">
      <c r="G91" s="142">
        <f t="shared" si="20"/>
        <v>-0.45</v>
      </c>
      <c r="H91" s="139">
        <f t="shared" si="21"/>
        <v>2.5195500000000006</v>
      </c>
      <c r="I91" s="141">
        <f t="shared" si="18"/>
        <v>0.21569327856164769</v>
      </c>
      <c r="J91" s="140">
        <f t="shared" si="19"/>
        <v>-6.196947133283668E-2</v>
      </c>
    </row>
    <row r="92" spans="1:10" x14ac:dyDescent="0.3">
      <c r="G92" s="23">
        <f t="shared" si="20"/>
        <v>-0.46</v>
      </c>
      <c r="H92" s="8">
        <f t="shared" si="21"/>
        <v>2.4737400000000003</v>
      </c>
      <c r="I92" s="143">
        <f t="shared" si="18"/>
        <v>0.2382061170535302</v>
      </c>
      <c r="J92" s="143">
        <f t="shared" si="19"/>
        <v>-7.9024571854057965E-2</v>
      </c>
    </row>
    <row r="93" spans="1:10" x14ac:dyDescent="0.3">
      <c r="G93" s="23">
        <f t="shared" si="20"/>
        <v>-0.47000000000000003</v>
      </c>
      <c r="H93" s="8">
        <f t="shared" si="21"/>
        <v>2.4279300000000004</v>
      </c>
      <c r="I93" s="143">
        <f t="shared" si="18"/>
        <v>0.26156849662057791</v>
      </c>
      <c r="J93" s="143">
        <f t="shared" si="19"/>
        <v>-9.6079672375279077E-2</v>
      </c>
    </row>
    <row r="94" spans="1:10" x14ac:dyDescent="0.3">
      <c r="G94" s="143">
        <f t="shared" si="20"/>
        <v>-0.48</v>
      </c>
      <c r="H94" s="69">
        <f t="shared" si="21"/>
        <v>2.3821200000000005</v>
      </c>
      <c r="I94" s="143">
        <f t="shared" si="18"/>
        <v>0.28582942924789667</v>
      </c>
      <c r="J94" s="143">
        <f t="shared" si="19"/>
        <v>-0.11313477289650019</v>
      </c>
    </row>
    <row r="95" spans="1:10" x14ac:dyDescent="0.3">
      <c r="G95" s="23">
        <f t="shared" si="20"/>
        <v>-0.49</v>
      </c>
      <c r="H95" s="8">
        <f t="shared" si="21"/>
        <v>2.3363100000000001</v>
      </c>
      <c r="I95" s="143">
        <f t="shared" si="18"/>
        <v>0.31104177099785563</v>
      </c>
      <c r="J95" s="143">
        <f t="shared" si="19"/>
        <v>-0.13018987341772145</v>
      </c>
    </row>
    <row r="96" spans="1:10" x14ac:dyDescent="0.3">
      <c r="G96" s="142">
        <f t="shared" si="20"/>
        <v>-0.5</v>
      </c>
      <c r="H96" s="139">
        <f t="shared" si="21"/>
        <v>2.2905000000000002</v>
      </c>
      <c r="I96" s="141">
        <f t="shared" si="18"/>
        <v>0.33726260641781264</v>
      </c>
      <c r="J96" s="140">
        <f t="shared" si="19"/>
        <v>-0.14724497393894256</v>
      </c>
    </row>
    <row r="97" spans="7:10" x14ac:dyDescent="0.3">
      <c r="G97" s="23">
        <f t="shared" si="20"/>
        <v>-0.51</v>
      </c>
      <c r="H97" s="8">
        <f t="shared" si="21"/>
        <v>2.2446900000000003</v>
      </c>
      <c r="I97" s="143">
        <f t="shared" si="18"/>
        <v>0.36455368001817612</v>
      </c>
      <c r="J97" s="143">
        <f t="shared" si="19"/>
        <v>-0.16430007446016368</v>
      </c>
    </row>
    <row r="98" spans="7:10" x14ac:dyDescent="0.3">
      <c r="G98" s="23">
        <f t="shared" si="20"/>
        <v>-0.52</v>
      </c>
      <c r="H98" s="8">
        <f t="shared" si="21"/>
        <v>2.1988799999999999</v>
      </c>
      <c r="I98" s="143">
        <f t="shared" si="18"/>
        <v>0.39298188168522169</v>
      </c>
      <c r="J98" s="143">
        <f t="shared" si="19"/>
        <v>-0.18135517498138495</v>
      </c>
    </row>
    <row r="99" spans="7:10" x14ac:dyDescent="0.3">
      <c r="G99" s="143">
        <f t="shared" si="20"/>
        <v>-0.53</v>
      </c>
      <c r="H99" s="69">
        <f t="shared" si="21"/>
        <v>2.15307</v>
      </c>
      <c r="I99" s="143">
        <f t="shared" si="18"/>
        <v>0.42261979406150291</v>
      </c>
      <c r="J99" s="143">
        <f t="shared" si="19"/>
        <v>-0.19841027550260606</v>
      </c>
    </row>
    <row r="100" spans="7:10" x14ac:dyDescent="0.3">
      <c r="G100" s="23">
        <f t="shared" si="20"/>
        <v>-0.54</v>
      </c>
      <c r="H100" s="8">
        <f t="shared" si="21"/>
        <v>2.1072600000000001</v>
      </c>
      <c r="I100" s="143">
        <f t="shared" si="18"/>
        <v>0.45354631132370943</v>
      </c>
      <c r="J100" s="143">
        <f t="shared" si="19"/>
        <v>-0.21546537602382718</v>
      </c>
    </row>
    <row r="101" spans="7:10" x14ac:dyDescent="0.3">
      <c r="G101" s="142">
        <f t="shared" si="20"/>
        <v>-0.55000000000000004</v>
      </c>
      <c r="H101" s="139">
        <f t="shared" si="21"/>
        <v>2.0614499999999998</v>
      </c>
      <c r="I101" s="141">
        <f t="shared" si="18"/>
        <v>0.48584734046423655</v>
      </c>
      <c r="J101" s="140">
        <f t="shared" si="19"/>
        <v>-0.23252047654504845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222-4C80-45DA-9813-6DDAD869AF69}">
  <dimension ref="A2:L34"/>
  <sheetViews>
    <sheetView zoomScale="145" zoomScaleNormal="145" workbookViewId="0">
      <pane ySplit="3" topLeftCell="A4" activePane="bottomLeft" state="frozen"/>
      <selection activeCell="E24" sqref="E24"/>
      <selection pane="bottomLeft" activeCell="E24" sqref="E24"/>
    </sheetView>
  </sheetViews>
  <sheetFormatPr defaultRowHeight="14" x14ac:dyDescent="0.3"/>
  <cols>
    <col min="1" max="5" width="8.6640625" style="1"/>
    <col min="8" max="12" width="8.6640625" style="1"/>
  </cols>
  <sheetData>
    <row r="2" spans="1:12" x14ac:dyDescent="0.3">
      <c r="A2" s="164" t="s">
        <v>244</v>
      </c>
      <c r="B2" s="164"/>
      <c r="C2" s="164"/>
      <c r="D2" s="164"/>
      <c r="E2" s="164"/>
      <c r="H2" s="164" t="s">
        <v>138</v>
      </c>
      <c r="I2" s="164"/>
      <c r="J2" s="164"/>
      <c r="K2" s="164"/>
      <c r="L2" s="164"/>
    </row>
    <row r="3" spans="1:12" x14ac:dyDescent="0.3">
      <c r="A3" s="256" t="s">
        <v>243</v>
      </c>
      <c r="B3" s="256"/>
      <c r="D3" s="206" t="s">
        <v>242</v>
      </c>
      <c r="E3" s="206"/>
      <c r="H3" s="256" t="s">
        <v>243</v>
      </c>
      <c r="I3" s="256"/>
      <c r="K3" s="206" t="s">
        <v>242</v>
      </c>
      <c r="L3" s="206"/>
    </row>
    <row r="4" spans="1:12" x14ac:dyDescent="0.3">
      <c r="A4" s="24">
        <v>30</v>
      </c>
      <c r="B4" s="8">
        <f>B19*1.3</f>
        <v>3.1239000000000003</v>
      </c>
      <c r="D4" s="24">
        <v>30</v>
      </c>
      <c r="E4" s="8">
        <f>E19*1.3</f>
        <v>3.2877000000000001</v>
      </c>
      <c r="H4" s="24">
        <v>30</v>
      </c>
      <c r="I4" s="8">
        <f>I19*1.3</f>
        <v>3.2396000000000003</v>
      </c>
      <c r="K4" s="24">
        <v>30</v>
      </c>
      <c r="L4" s="8">
        <f>L19*1.3</f>
        <v>3.0095000000000001</v>
      </c>
    </row>
    <row r="5" spans="1:12" x14ac:dyDescent="0.3">
      <c r="A5" s="24">
        <v>28</v>
      </c>
      <c r="B5" s="8">
        <f>B19*1.28</f>
        <v>3.0758399999999999</v>
      </c>
      <c r="D5" s="24">
        <v>28</v>
      </c>
      <c r="E5" s="8">
        <f>E19*1.28</f>
        <v>3.23712</v>
      </c>
      <c r="H5" s="24">
        <v>28</v>
      </c>
      <c r="I5" s="8">
        <f>I19*1.28</f>
        <v>3.1897600000000002</v>
      </c>
      <c r="K5" s="24">
        <v>28</v>
      </c>
      <c r="L5" s="8">
        <f>L19*1.28</f>
        <v>2.9632000000000001</v>
      </c>
    </row>
    <row r="6" spans="1:12" x14ac:dyDescent="0.3">
      <c r="A6" s="24">
        <v>26</v>
      </c>
      <c r="B6" s="8">
        <f>B19*1.26</f>
        <v>3.0277799999999999</v>
      </c>
      <c r="D6" s="24">
        <v>26</v>
      </c>
      <c r="E6" s="8">
        <f>E19*1.26</f>
        <v>3.1865399999999999</v>
      </c>
      <c r="H6" s="24">
        <v>26</v>
      </c>
      <c r="I6" s="8">
        <f>I19*1.26</f>
        <v>3.13992</v>
      </c>
      <c r="K6" s="24">
        <v>26</v>
      </c>
      <c r="L6" s="8">
        <f>L19*1.26</f>
        <v>2.9169</v>
      </c>
    </row>
    <row r="7" spans="1:12" x14ac:dyDescent="0.3">
      <c r="A7" s="24">
        <v>24</v>
      </c>
      <c r="B7" s="8">
        <f>B19*1.24</f>
        <v>2.9797199999999999</v>
      </c>
      <c r="D7" s="24">
        <v>24</v>
      </c>
      <c r="E7" s="8">
        <f>E19*1.24</f>
        <v>3.1359599999999999</v>
      </c>
      <c r="H7" s="24">
        <v>24</v>
      </c>
      <c r="I7" s="8">
        <f>I19*1.24</f>
        <v>3.0900799999999999</v>
      </c>
      <c r="K7" s="24">
        <v>24</v>
      </c>
      <c r="L7" s="8">
        <f>L19*1.24</f>
        <v>2.8706</v>
      </c>
    </row>
    <row r="8" spans="1:12" x14ac:dyDescent="0.3">
      <c r="A8" s="24">
        <v>22</v>
      </c>
      <c r="B8" s="8">
        <f>B19*1.22</f>
        <v>2.9316599999999999</v>
      </c>
      <c r="D8" s="24">
        <v>22</v>
      </c>
      <c r="E8" s="8">
        <f>E19*1.22</f>
        <v>3.0853799999999998</v>
      </c>
      <c r="H8" s="24">
        <v>22</v>
      </c>
      <c r="I8" s="8">
        <f>I19*1.22</f>
        <v>3.0402399999999998</v>
      </c>
      <c r="K8" s="24">
        <v>22</v>
      </c>
      <c r="L8" s="8">
        <f>L19*1.22</f>
        <v>2.8243</v>
      </c>
    </row>
    <row r="9" spans="1:12" x14ac:dyDescent="0.3">
      <c r="A9" s="24">
        <v>20</v>
      </c>
      <c r="B9" s="8">
        <f>B19*1.2</f>
        <v>2.8835999999999999</v>
      </c>
      <c r="D9" s="24">
        <v>20</v>
      </c>
      <c r="E9" s="8">
        <f>E19*1.2</f>
        <v>3.0347999999999997</v>
      </c>
      <c r="H9" s="24">
        <v>20</v>
      </c>
      <c r="I9" s="8">
        <f>I19*1.2</f>
        <v>2.9903999999999997</v>
      </c>
      <c r="K9" s="24">
        <v>20</v>
      </c>
      <c r="L9" s="8">
        <f>L19*1.2</f>
        <v>2.778</v>
      </c>
    </row>
    <row r="10" spans="1:12" x14ac:dyDescent="0.3">
      <c r="A10" s="24">
        <v>18</v>
      </c>
      <c r="B10" s="8">
        <f>B19*1.18</f>
        <v>2.8355399999999999</v>
      </c>
      <c r="D10" s="24">
        <v>18</v>
      </c>
      <c r="E10" s="8">
        <f>E19*1.18</f>
        <v>2.9842199999999997</v>
      </c>
      <c r="H10" s="24">
        <v>18</v>
      </c>
      <c r="I10" s="8">
        <f>I19*1.18</f>
        <v>2.9405599999999996</v>
      </c>
      <c r="K10" s="24">
        <v>18</v>
      </c>
      <c r="L10" s="8">
        <f>L19*1.18</f>
        <v>2.7316999999999996</v>
      </c>
    </row>
    <row r="11" spans="1:12" x14ac:dyDescent="0.3">
      <c r="A11" s="24">
        <v>16</v>
      </c>
      <c r="B11" s="8">
        <f>B19*1.16</f>
        <v>2.78748</v>
      </c>
      <c r="D11" s="24">
        <v>16</v>
      </c>
      <c r="E11" s="8">
        <f>E19*1.16</f>
        <v>2.9336399999999996</v>
      </c>
      <c r="H11" s="24">
        <v>16</v>
      </c>
      <c r="I11" s="8">
        <f>I19*1.16</f>
        <v>2.89072</v>
      </c>
      <c r="K11" s="24">
        <v>16</v>
      </c>
      <c r="L11" s="8">
        <f>L19*1.16</f>
        <v>2.6853999999999996</v>
      </c>
    </row>
    <row r="12" spans="1:12" x14ac:dyDescent="0.3">
      <c r="A12" s="24">
        <v>14</v>
      </c>
      <c r="B12" s="8">
        <f>B19*1.14</f>
        <v>2.73942</v>
      </c>
      <c r="D12" s="24">
        <v>14</v>
      </c>
      <c r="E12" s="8">
        <f>E19*1.14</f>
        <v>2.8830599999999995</v>
      </c>
      <c r="H12" s="24">
        <v>14</v>
      </c>
      <c r="I12" s="8">
        <f>I19*1.14</f>
        <v>2.8408799999999998</v>
      </c>
      <c r="K12" s="24">
        <v>14</v>
      </c>
      <c r="L12" s="8">
        <f>L19*1.14</f>
        <v>2.6390999999999996</v>
      </c>
    </row>
    <row r="13" spans="1:12" x14ac:dyDescent="0.3">
      <c r="A13" s="24">
        <v>12</v>
      </c>
      <c r="B13" s="8">
        <f>B19*1.12</f>
        <v>2.6913600000000004</v>
      </c>
      <c r="D13" s="24">
        <v>12</v>
      </c>
      <c r="E13" s="8">
        <f>E19*1.12</f>
        <v>2.8324800000000003</v>
      </c>
      <c r="H13" s="24">
        <v>12</v>
      </c>
      <c r="I13" s="8">
        <f>I19*1.12</f>
        <v>2.7910400000000002</v>
      </c>
      <c r="K13" s="24">
        <v>12</v>
      </c>
      <c r="L13" s="8">
        <f>L19*1.12</f>
        <v>2.5928</v>
      </c>
    </row>
    <row r="14" spans="1:12" x14ac:dyDescent="0.3">
      <c r="A14" s="24">
        <v>10</v>
      </c>
      <c r="B14" s="8">
        <f>B19*1.1</f>
        <v>2.6433000000000004</v>
      </c>
      <c r="D14" s="24">
        <v>10</v>
      </c>
      <c r="E14" s="8">
        <f>E19*1.1</f>
        <v>2.7819000000000003</v>
      </c>
      <c r="H14" s="24">
        <v>10</v>
      </c>
      <c r="I14" s="8">
        <f>I19*1.1</f>
        <v>2.7412000000000001</v>
      </c>
      <c r="K14" s="24">
        <v>10</v>
      </c>
      <c r="L14" s="8">
        <f>L19*1.1</f>
        <v>2.5465</v>
      </c>
    </row>
    <row r="15" spans="1:12" x14ac:dyDescent="0.3">
      <c r="A15" s="24">
        <v>8</v>
      </c>
      <c r="B15" s="8">
        <f>B19*1.08</f>
        <v>2.59524</v>
      </c>
      <c r="D15" s="24">
        <v>8</v>
      </c>
      <c r="E15" s="8">
        <f>E19*1.08</f>
        <v>2.7313200000000002</v>
      </c>
      <c r="H15" s="24">
        <v>8</v>
      </c>
      <c r="I15" s="8">
        <f>I19*1.08</f>
        <v>2.69136</v>
      </c>
      <c r="K15" s="24">
        <v>8</v>
      </c>
      <c r="L15" s="8">
        <f>L19*1.08</f>
        <v>2.5002</v>
      </c>
    </row>
    <row r="16" spans="1:12" x14ac:dyDescent="0.3">
      <c r="A16" s="24">
        <v>6</v>
      </c>
      <c r="B16" s="8">
        <f>B19*1.06</f>
        <v>2.54718</v>
      </c>
      <c r="D16" s="24">
        <v>6</v>
      </c>
      <c r="E16" s="8">
        <f>E19*1.06</f>
        <v>2.6807400000000001</v>
      </c>
      <c r="H16" s="24">
        <v>6</v>
      </c>
      <c r="I16" s="8">
        <f>I19*1.06</f>
        <v>2.6415200000000003</v>
      </c>
      <c r="K16" s="24">
        <v>6</v>
      </c>
      <c r="L16" s="8">
        <f>L19*1.06</f>
        <v>2.4539</v>
      </c>
    </row>
    <row r="17" spans="1:12" x14ac:dyDescent="0.3">
      <c r="A17" s="24">
        <v>4</v>
      </c>
      <c r="B17" s="8">
        <f>B19*1.04</f>
        <v>2.49912</v>
      </c>
      <c r="D17" s="24">
        <v>4</v>
      </c>
      <c r="E17" s="8">
        <f>E19*1.04</f>
        <v>2.6301600000000001</v>
      </c>
      <c r="H17" s="24">
        <v>4</v>
      </c>
      <c r="I17" s="8">
        <f>I19*1.04</f>
        <v>2.5916800000000002</v>
      </c>
      <c r="K17" s="24">
        <v>4</v>
      </c>
      <c r="L17" s="8">
        <f>L19*1.04</f>
        <v>2.4076</v>
      </c>
    </row>
    <row r="18" spans="1:12" x14ac:dyDescent="0.3">
      <c r="A18" s="24">
        <v>2</v>
      </c>
      <c r="B18" s="8">
        <f>B19*1.02</f>
        <v>2.45106</v>
      </c>
      <c r="D18" s="24">
        <v>2</v>
      </c>
      <c r="E18" s="70">
        <f>E19*1.02</f>
        <v>2.57958</v>
      </c>
      <c r="H18" s="24">
        <v>2</v>
      </c>
      <c r="I18" s="8">
        <f>I19*1.02</f>
        <v>2.5418400000000001</v>
      </c>
      <c r="K18" s="24">
        <v>2</v>
      </c>
      <c r="L18" s="70">
        <f>L19*1.02</f>
        <v>2.3613</v>
      </c>
    </row>
    <row r="19" spans="1:12" x14ac:dyDescent="0.3">
      <c r="A19" s="32">
        <v>0</v>
      </c>
      <c r="B19" s="32">
        <v>2.403</v>
      </c>
      <c r="D19" s="32">
        <v>0</v>
      </c>
      <c r="E19" s="32">
        <v>2.5289999999999999</v>
      </c>
      <c r="H19" s="32">
        <v>0</v>
      </c>
      <c r="I19" s="32">
        <v>2.492</v>
      </c>
      <c r="K19" s="32">
        <v>0</v>
      </c>
      <c r="L19" s="32">
        <v>2.3149999999999999</v>
      </c>
    </row>
    <row r="20" spans="1:12" x14ac:dyDescent="0.3">
      <c r="A20" s="24">
        <v>-2</v>
      </c>
      <c r="B20" s="88">
        <f>B19*0.98</f>
        <v>2.35494</v>
      </c>
      <c r="D20" s="24">
        <v>-2</v>
      </c>
      <c r="E20" s="8">
        <f>E19*0.98</f>
        <v>2.4784199999999998</v>
      </c>
      <c r="H20" s="24">
        <v>-2</v>
      </c>
      <c r="I20" s="88">
        <f>I19*0.98</f>
        <v>2.4421599999999999</v>
      </c>
      <c r="K20" s="24">
        <v>-2</v>
      </c>
      <c r="L20" s="8">
        <f>L19*0.98</f>
        <v>2.2686999999999999</v>
      </c>
    </row>
    <row r="21" spans="1:12" x14ac:dyDescent="0.3">
      <c r="A21" s="24">
        <v>-4</v>
      </c>
      <c r="B21" s="8">
        <f>B19*0.96</f>
        <v>2.30688</v>
      </c>
      <c r="D21" s="24">
        <v>-4</v>
      </c>
      <c r="E21" s="8">
        <f>E19*0.96</f>
        <v>2.4278399999999998</v>
      </c>
      <c r="H21" s="24">
        <v>-4</v>
      </c>
      <c r="I21" s="8">
        <f>I19*0.96</f>
        <v>2.3923199999999998</v>
      </c>
      <c r="K21" s="24">
        <v>-4</v>
      </c>
      <c r="L21" s="8">
        <f>L19*0.96</f>
        <v>2.2223999999999999</v>
      </c>
    </row>
    <row r="22" spans="1:12" x14ac:dyDescent="0.3">
      <c r="A22" s="102">
        <v>-6</v>
      </c>
      <c r="B22" s="69">
        <f>B19*0.94</f>
        <v>2.2588200000000001</v>
      </c>
      <c r="D22" s="102">
        <v>-6</v>
      </c>
      <c r="E22" s="69">
        <f>E19*0.94</f>
        <v>2.3772599999999997</v>
      </c>
      <c r="H22" s="102">
        <v>-6</v>
      </c>
      <c r="I22" s="69">
        <f>I19*0.94</f>
        <v>2.3424799999999997</v>
      </c>
      <c r="J22" s="147"/>
      <c r="K22" s="102">
        <v>-6</v>
      </c>
      <c r="L22" s="69">
        <f>L19*0.94</f>
        <v>2.1760999999999999</v>
      </c>
    </row>
    <row r="23" spans="1:12" x14ac:dyDescent="0.3">
      <c r="A23" s="24">
        <v>-8</v>
      </c>
      <c r="B23" s="69">
        <f>B19*0.92</f>
        <v>2.2107600000000001</v>
      </c>
      <c r="D23" s="102">
        <v>-8</v>
      </c>
      <c r="E23" s="69">
        <f>E19*0.92</f>
        <v>2.3266800000000001</v>
      </c>
      <c r="H23" s="102">
        <v>-8</v>
      </c>
      <c r="I23" s="69">
        <f>I19*0.92</f>
        <v>2.29264</v>
      </c>
      <c r="J23" s="147"/>
      <c r="K23" s="102">
        <v>-8</v>
      </c>
      <c r="L23" s="69">
        <f>L19*0.92</f>
        <v>2.1297999999999999</v>
      </c>
    </row>
    <row r="24" spans="1:12" x14ac:dyDescent="0.3">
      <c r="A24" s="24">
        <v>-10</v>
      </c>
      <c r="B24" s="8">
        <f>B19*0.9</f>
        <v>2.1627000000000001</v>
      </c>
      <c r="D24" s="102">
        <v>-10</v>
      </c>
      <c r="E24" s="8">
        <f>E19*0.9</f>
        <v>2.2761</v>
      </c>
      <c r="H24" s="102">
        <v>-10</v>
      </c>
      <c r="I24" s="69">
        <f>I19*0.9</f>
        <v>2.2427999999999999</v>
      </c>
      <c r="J24" s="147"/>
      <c r="K24" s="102">
        <v>-10</v>
      </c>
      <c r="L24" s="8">
        <f>L19*0.9</f>
        <v>2.0834999999999999</v>
      </c>
    </row>
    <row r="25" spans="1:12" x14ac:dyDescent="0.3">
      <c r="A25" s="102">
        <v>-12</v>
      </c>
      <c r="B25" s="8">
        <f>B19*0.88</f>
        <v>2.1146400000000001</v>
      </c>
      <c r="D25" s="102">
        <v>-12</v>
      </c>
      <c r="E25" s="8">
        <f>E19*0.88</f>
        <v>2.2255199999999999</v>
      </c>
      <c r="H25" s="102">
        <v>-12</v>
      </c>
      <c r="I25" s="69">
        <f>I19*0.88</f>
        <v>2.1929599999999998</v>
      </c>
      <c r="J25" s="147"/>
      <c r="K25" s="102">
        <v>-12</v>
      </c>
      <c r="L25" s="8">
        <f>L19*0.88</f>
        <v>2.0371999999999999</v>
      </c>
    </row>
    <row r="26" spans="1:12" x14ac:dyDescent="0.3">
      <c r="A26" s="24">
        <v>-14</v>
      </c>
      <c r="B26" s="8">
        <f>B19*0.86</f>
        <v>2.0665800000000001</v>
      </c>
      <c r="D26" s="102">
        <v>-14</v>
      </c>
      <c r="E26" s="8">
        <f>E19*0.86</f>
        <v>2.1749399999999999</v>
      </c>
      <c r="H26" s="102">
        <v>-14</v>
      </c>
      <c r="I26" s="69">
        <f>I19*0.86</f>
        <v>2.1431200000000001</v>
      </c>
      <c r="J26" s="147"/>
      <c r="K26" s="102">
        <v>-14</v>
      </c>
      <c r="L26" s="8">
        <f>L19*0.86</f>
        <v>1.9908999999999999</v>
      </c>
    </row>
    <row r="27" spans="1:12" x14ac:dyDescent="0.3">
      <c r="A27" s="24">
        <v>-16</v>
      </c>
      <c r="B27" s="8">
        <f>B19*0.84</f>
        <v>2.0185200000000001</v>
      </c>
      <c r="D27" s="102">
        <v>-16</v>
      </c>
      <c r="E27" s="8">
        <f>E19*0.84</f>
        <v>2.1243599999999998</v>
      </c>
      <c r="H27" s="102">
        <v>-16</v>
      </c>
      <c r="I27" s="69">
        <f>I19*0.84</f>
        <v>2.09328</v>
      </c>
      <c r="J27" s="147"/>
      <c r="K27" s="102">
        <v>-16</v>
      </c>
      <c r="L27" s="8">
        <f>L19*0.84</f>
        <v>1.9445999999999999</v>
      </c>
    </row>
    <row r="28" spans="1:12" x14ac:dyDescent="0.3">
      <c r="A28" s="102">
        <v>-18</v>
      </c>
      <c r="B28" s="8">
        <f>B19*0.82</f>
        <v>1.9704599999999999</v>
      </c>
      <c r="D28" s="102">
        <v>-18</v>
      </c>
      <c r="E28" s="8">
        <f>E19*0.82</f>
        <v>2.0737799999999997</v>
      </c>
      <c r="H28" s="102">
        <v>-18</v>
      </c>
      <c r="I28" s="69">
        <f>I19*0.82</f>
        <v>2.0434399999999999</v>
      </c>
      <c r="J28" s="147"/>
      <c r="K28" s="102">
        <v>-18</v>
      </c>
      <c r="L28" s="8">
        <f>L19*0.82</f>
        <v>1.8982999999999999</v>
      </c>
    </row>
    <row r="29" spans="1:12" x14ac:dyDescent="0.3">
      <c r="A29" s="24">
        <v>-20</v>
      </c>
      <c r="B29" s="8">
        <f>B19*0.8</f>
        <v>1.9224000000000001</v>
      </c>
      <c r="D29" s="102">
        <v>-20</v>
      </c>
      <c r="E29" s="8">
        <f>E19*0.8</f>
        <v>2.0232000000000001</v>
      </c>
      <c r="H29" s="102">
        <v>-20</v>
      </c>
      <c r="I29" s="69">
        <f>I19*0.8</f>
        <v>1.9936</v>
      </c>
      <c r="J29" s="147"/>
      <c r="K29" s="102">
        <v>-20</v>
      </c>
      <c r="L29" s="8">
        <f>L19*0.8</f>
        <v>1.8520000000000001</v>
      </c>
    </row>
    <row r="30" spans="1:12" x14ac:dyDescent="0.3">
      <c r="A30" s="24">
        <v>-22</v>
      </c>
      <c r="B30" s="8">
        <f>B19*0.78</f>
        <v>1.8743400000000001</v>
      </c>
      <c r="D30" s="102">
        <v>-22</v>
      </c>
      <c r="E30" s="8">
        <f>E19*0.78</f>
        <v>1.97262</v>
      </c>
      <c r="H30" s="102">
        <v>-22</v>
      </c>
      <c r="I30" s="69">
        <f>I19*0.78</f>
        <v>1.9437600000000002</v>
      </c>
      <c r="J30" s="147"/>
      <c r="K30" s="102">
        <v>-22</v>
      </c>
      <c r="L30" s="8">
        <f>L19*0.78</f>
        <v>1.8057000000000001</v>
      </c>
    </row>
    <row r="31" spans="1:12" x14ac:dyDescent="0.3">
      <c r="A31" s="102">
        <v>-24</v>
      </c>
      <c r="B31" s="8">
        <f>B19*0.76</f>
        <v>1.8262800000000001</v>
      </c>
      <c r="D31" s="102">
        <v>-24</v>
      </c>
      <c r="E31" s="8">
        <f>E19*0.76</f>
        <v>1.92204</v>
      </c>
      <c r="H31" s="102">
        <v>-24</v>
      </c>
      <c r="I31" s="69">
        <f>I19*0.76</f>
        <v>1.89392</v>
      </c>
      <c r="J31" s="147"/>
      <c r="K31" s="102">
        <v>-24</v>
      </c>
      <c r="L31" s="8">
        <f>L19*0.76</f>
        <v>1.7594000000000001</v>
      </c>
    </row>
    <row r="32" spans="1:12" x14ac:dyDescent="0.3">
      <c r="A32" s="24">
        <v>-26</v>
      </c>
      <c r="B32" s="8">
        <f>B19*0.74</f>
        <v>1.7782199999999999</v>
      </c>
      <c r="D32" s="102">
        <v>-26</v>
      </c>
      <c r="E32" s="8">
        <f>E19*0.74</f>
        <v>1.8714599999999999</v>
      </c>
      <c r="H32" s="102">
        <v>-26</v>
      </c>
      <c r="I32" s="69">
        <f>I19*0.74</f>
        <v>1.8440799999999999</v>
      </c>
      <c r="J32" s="147"/>
      <c r="K32" s="102">
        <v>-26</v>
      </c>
      <c r="L32" s="8">
        <f>L19*0.74</f>
        <v>1.7130999999999998</v>
      </c>
    </row>
    <row r="33" spans="1:12" x14ac:dyDescent="0.3">
      <c r="A33" s="24">
        <v>-28</v>
      </c>
      <c r="B33" s="8">
        <f>B19*0.72</f>
        <v>1.7301599999999999</v>
      </c>
      <c r="D33" s="102">
        <v>-28</v>
      </c>
      <c r="E33" s="8">
        <f>E19*0.72</f>
        <v>1.8208799999999998</v>
      </c>
      <c r="H33" s="102">
        <v>-28</v>
      </c>
      <c r="I33" s="69">
        <f>I19*0.72</f>
        <v>1.7942399999999998</v>
      </c>
      <c r="J33" s="147"/>
      <c r="K33" s="102">
        <v>-28</v>
      </c>
      <c r="L33" s="8">
        <f>L19*0.72</f>
        <v>1.6667999999999998</v>
      </c>
    </row>
    <row r="34" spans="1:12" x14ac:dyDescent="0.3">
      <c r="A34" s="102">
        <v>-30</v>
      </c>
      <c r="B34" s="8">
        <f>B19*0.7</f>
        <v>1.6820999999999999</v>
      </c>
      <c r="D34" s="102">
        <v>-30</v>
      </c>
      <c r="E34" s="8">
        <f>E19*0.7</f>
        <v>1.7702999999999998</v>
      </c>
      <c r="H34" s="102">
        <v>-30</v>
      </c>
      <c r="I34" s="69">
        <f>I19*0.7</f>
        <v>1.7444</v>
      </c>
      <c r="J34" s="147"/>
      <c r="K34" s="102">
        <v>-30</v>
      </c>
      <c r="L34" s="8">
        <f>L19*0.7</f>
        <v>1.6204999999999998</v>
      </c>
    </row>
  </sheetData>
  <mergeCells count="6">
    <mergeCell ref="A2:E2"/>
    <mergeCell ref="A3:B3"/>
    <mergeCell ref="D3:E3"/>
    <mergeCell ref="H2:L2"/>
    <mergeCell ref="H3:I3"/>
    <mergeCell ref="K3:L3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EE40-C427-4E9C-B3B5-437055A3ADE2}">
  <dimension ref="A1:P13"/>
  <sheetViews>
    <sheetView workbookViewId="0">
      <selection activeCell="F7" sqref="F7"/>
    </sheetView>
  </sheetViews>
  <sheetFormatPr defaultRowHeight="14" x14ac:dyDescent="0.3"/>
  <cols>
    <col min="1" max="3" width="8.6640625" style="157"/>
    <col min="4" max="5" width="12.33203125" style="157" bestFit="1" customWidth="1"/>
    <col min="6" max="9" width="8.6640625" style="157"/>
    <col min="10" max="10" width="12.33203125" style="157" bestFit="1" customWidth="1"/>
    <col min="11" max="11" width="12.33203125" style="157" customWidth="1"/>
    <col min="12" max="12" width="8.6640625" style="157"/>
    <col min="13" max="14" width="10.4140625" style="157" bestFit="1" customWidth="1"/>
    <col min="15" max="17" width="8.5" style="157" bestFit="1" customWidth="1"/>
    <col min="18" max="18" width="8.6640625" style="157"/>
    <col min="19" max="19" width="8.5" style="157" bestFit="1" customWidth="1"/>
    <col min="20" max="16384" width="8.6640625" style="157"/>
  </cols>
  <sheetData>
    <row r="1" spans="1:16" x14ac:dyDescent="0.3">
      <c r="A1" s="257" t="s">
        <v>291</v>
      </c>
      <c r="B1" s="257"/>
      <c r="C1" s="257"/>
      <c r="D1" s="257"/>
      <c r="G1" s="257" t="s">
        <v>290</v>
      </c>
      <c r="H1" s="257"/>
      <c r="I1" s="257"/>
      <c r="J1" s="257"/>
      <c r="M1" s="159"/>
      <c r="N1" s="159"/>
      <c r="O1" s="159"/>
      <c r="P1" s="159"/>
    </row>
    <row r="2" spans="1:16" x14ac:dyDescent="0.3">
      <c r="A2" s="157" t="s">
        <v>24</v>
      </c>
      <c r="B2" s="157" t="s">
        <v>102</v>
      </c>
      <c r="C2" s="157" t="s">
        <v>289</v>
      </c>
      <c r="D2" s="157" t="s">
        <v>288</v>
      </c>
      <c r="E2" s="157" t="s">
        <v>287</v>
      </c>
      <c r="G2" s="157" t="s">
        <v>24</v>
      </c>
      <c r="H2" s="157" t="s">
        <v>102</v>
      </c>
      <c r="I2" s="157" t="s">
        <v>289</v>
      </c>
      <c r="J2" s="157" t="s">
        <v>288</v>
      </c>
      <c r="K2" s="157" t="s">
        <v>287</v>
      </c>
    </row>
    <row r="3" spans="1:16" x14ac:dyDescent="0.3">
      <c r="A3" s="157" t="s">
        <v>286</v>
      </c>
      <c r="B3" s="157" t="s">
        <v>286</v>
      </c>
      <c r="C3" s="157">
        <v>0</v>
      </c>
      <c r="D3" s="157">
        <v>0</v>
      </c>
      <c r="E3" s="157">
        <v>0</v>
      </c>
      <c r="G3" s="157" t="s">
        <v>286</v>
      </c>
      <c r="H3" s="157" t="s">
        <v>286</v>
      </c>
      <c r="I3" s="157">
        <v>0</v>
      </c>
      <c r="J3" s="157">
        <v>0</v>
      </c>
      <c r="K3" s="157">
        <v>0</v>
      </c>
    </row>
    <row r="4" spans="1:16" x14ac:dyDescent="0.3">
      <c r="A4" s="158">
        <f t="shared" ref="A4:A11" si="0">ROW()-3</f>
        <v>1</v>
      </c>
      <c r="B4" s="157">
        <v>20</v>
      </c>
      <c r="C4" s="157">
        <f t="shared" ref="C4:C11" si="1">B4*0.2</f>
        <v>4</v>
      </c>
      <c r="D4" s="157">
        <f t="shared" ref="D4:D11" si="2">C4/2</f>
        <v>2</v>
      </c>
      <c r="E4" s="157">
        <f t="shared" ref="E4:E11" si="3">B4+C4</f>
        <v>24</v>
      </c>
      <c r="G4" s="158">
        <f t="shared" ref="G4:G11" si="4">ROW()-3</f>
        <v>1</v>
      </c>
      <c r="H4" s="157">
        <v>20</v>
      </c>
      <c r="I4" s="157">
        <f t="shared" ref="I4:I11" si="5">H4*0.2</f>
        <v>4</v>
      </c>
      <c r="J4" s="157">
        <f t="shared" ref="J4:J11" si="6">I4/2</f>
        <v>2</v>
      </c>
      <c r="K4" s="157">
        <f t="shared" ref="K4:K11" si="7">H4+I4</f>
        <v>24</v>
      </c>
      <c r="M4" s="158"/>
    </row>
    <row r="5" spans="1:16" x14ac:dyDescent="0.3">
      <c r="A5" s="158">
        <f t="shared" si="0"/>
        <v>2</v>
      </c>
      <c r="B5" s="157">
        <v>24</v>
      </c>
      <c r="C5" s="157">
        <f t="shared" si="1"/>
        <v>4.8000000000000007</v>
      </c>
      <c r="D5" s="157">
        <f t="shared" si="2"/>
        <v>2.4000000000000004</v>
      </c>
      <c r="E5" s="157">
        <f t="shared" si="3"/>
        <v>28.8</v>
      </c>
      <c r="G5" s="158">
        <f t="shared" si="4"/>
        <v>2</v>
      </c>
      <c r="H5" s="157">
        <v>22</v>
      </c>
      <c r="I5" s="157">
        <f t="shared" si="5"/>
        <v>4.4000000000000004</v>
      </c>
      <c r="J5" s="157">
        <f t="shared" si="6"/>
        <v>2.2000000000000002</v>
      </c>
      <c r="K5" s="157">
        <f t="shared" si="7"/>
        <v>26.4</v>
      </c>
      <c r="M5" s="158"/>
    </row>
    <row r="6" spans="1:16" x14ac:dyDescent="0.3">
      <c r="A6" s="158">
        <f t="shared" si="0"/>
        <v>3</v>
      </c>
      <c r="B6" s="157">
        <f t="shared" ref="B6:B11" si="8">(B4+C4+B5+C5)/2</f>
        <v>26.4</v>
      </c>
      <c r="C6" s="157">
        <f t="shared" si="1"/>
        <v>5.28</v>
      </c>
      <c r="D6" s="157">
        <f t="shared" si="2"/>
        <v>2.64</v>
      </c>
      <c r="E6" s="157">
        <f t="shared" si="3"/>
        <v>31.68</v>
      </c>
      <c r="G6" s="158">
        <f t="shared" si="4"/>
        <v>3</v>
      </c>
      <c r="H6" s="157">
        <f t="shared" ref="H6:H11" si="9">(H4+I4/2+H5+I5/2)/2</f>
        <v>23.1</v>
      </c>
      <c r="I6" s="157">
        <f t="shared" si="5"/>
        <v>4.62</v>
      </c>
      <c r="J6" s="157">
        <f t="shared" si="6"/>
        <v>2.31</v>
      </c>
      <c r="K6" s="157">
        <f t="shared" si="7"/>
        <v>27.720000000000002</v>
      </c>
      <c r="M6" s="158"/>
    </row>
    <row r="7" spans="1:16" x14ac:dyDescent="0.3">
      <c r="A7" s="158">
        <f t="shared" si="0"/>
        <v>4</v>
      </c>
      <c r="B7" s="157">
        <f t="shared" si="8"/>
        <v>30.240000000000002</v>
      </c>
      <c r="C7" s="157">
        <f t="shared" si="1"/>
        <v>6.0480000000000009</v>
      </c>
      <c r="D7" s="157">
        <f t="shared" si="2"/>
        <v>3.0240000000000005</v>
      </c>
      <c r="E7" s="157">
        <f t="shared" si="3"/>
        <v>36.288000000000004</v>
      </c>
      <c r="G7" s="158">
        <f t="shared" si="4"/>
        <v>4</v>
      </c>
      <c r="H7" s="157">
        <f t="shared" si="9"/>
        <v>24.805</v>
      </c>
      <c r="I7" s="157">
        <f t="shared" si="5"/>
        <v>4.9610000000000003</v>
      </c>
      <c r="J7" s="157">
        <f t="shared" si="6"/>
        <v>2.4805000000000001</v>
      </c>
      <c r="K7" s="157">
        <f t="shared" si="7"/>
        <v>29.765999999999998</v>
      </c>
      <c r="M7" s="158"/>
    </row>
    <row r="8" spans="1:16" x14ac:dyDescent="0.3">
      <c r="A8" s="158">
        <f t="shared" si="0"/>
        <v>5</v>
      </c>
      <c r="B8" s="157">
        <f t="shared" si="8"/>
        <v>33.984000000000002</v>
      </c>
      <c r="C8" s="157">
        <f t="shared" si="1"/>
        <v>6.7968000000000011</v>
      </c>
      <c r="D8" s="157">
        <f t="shared" si="2"/>
        <v>3.3984000000000005</v>
      </c>
      <c r="E8" s="157">
        <f t="shared" si="3"/>
        <v>40.780799999999999</v>
      </c>
      <c r="G8" s="158">
        <f t="shared" si="4"/>
        <v>5</v>
      </c>
      <c r="H8" s="157">
        <f t="shared" si="9"/>
        <v>26.347750000000001</v>
      </c>
      <c r="I8" s="157">
        <f t="shared" si="5"/>
        <v>5.2695500000000006</v>
      </c>
      <c r="J8" s="157">
        <f t="shared" si="6"/>
        <v>2.6347750000000003</v>
      </c>
      <c r="K8" s="157">
        <f t="shared" si="7"/>
        <v>31.6173</v>
      </c>
      <c r="M8" s="158"/>
    </row>
    <row r="9" spans="1:16" x14ac:dyDescent="0.3">
      <c r="A9" s="158">
        <f t="shared" si="0"/>
        <v>6</v>
      </c>
      <c r="B9" s="157">
        <f t="shared" si="8"/>
        <v>38.534400000000005</v>
      </c>
      <c r="C9" s="157">
        <f t="shared" si="1"/>
        <v>7.7068800000000017</v>
      </c>
      <c r="D9" s="157">
        <f t="shared" si="2"/>
        <v>3.8534400000000009</v>
      </c>
      <c r="E9" s="157">
        <f t="shared" si="3"/>
        <v>46.241280000000003</v>
      </c>
      <c r="G9" s="158">
        <f t="shared" si="4"/>
        <v>6</v>
      </c>
      <c r="H9" s="157">
        <f t="shared" si="9"/>
        <v>28.134012500000001</v>
      </c>
      <c r="I9" s="157">
        <f t="shared" si="5"/>
        <v>5.6268025000000002</v>
      </c>
      <c r="J9" s="157">
        <f t="shared" si="6"/>
        <v>2.8134012500000001</v>
      </c>
      <c r="K9" s="157">
        <f t="shared" si="7"/>
        <v>33.760815000000001</v>
      </c>
      <c r="M9" s="158"/>
    </row>
    <row r="10" spans="1:16" x14ac:dyDescent="0.3">
      <c r="A10" s="158">
        <f t="shared" si="0"/>
        <v>7</v>
      </c>
      <c r="B10" s="157">
        <f t="shared" si="8"/>
        <v>43.511040000000001</v>
      </c>
      <c r="C10" s="157">
        <f t="shared" si="1"/>
        <v>8.7022080000000006</v>
      </c>
      <c r="D10" s="157">
        <f t="shared" si="2"/>
        <v>4.3511040000000003</v>
      </c>
      <c r="E10" s="157">
        <f t="shared" si="3"/>
        <v>52.213248</v>
      </c>
      <c r="G10" s="158">
        <f t="shared" si="4"/>
        <v>7</v>
      </c>
      <c r="H10" s="157">
        <f t="shared" si="9"/>
        <v>29.964969375000003</v>
      </c>
      <c r="I10" s="157">
        <f t="shared" si="5"/>
        <v>5.9929938750000007</v>
      </c>
      <c r="J10" s="157">
        <f t="shared" si="6"/>
        <v>2.9964969375000003</v>
      </c>
      <c r="K10" s="157">
        <f t="shared" si="7"/>
        <v>35.957963250000006</v>
      </c>
      <c r="M10" s="158"/>
    </row>
    <row r="11" spans="1:16" x14ac:dyDescent="0.3">
      <c r="A11" s="158">
        <f t="shared" si="0"/>
        <v>8</v>
      </c>
      <c r="B11" s="157">
        <f t="shared" si="8"/>
        <v>49.227263999999998</v>
      </c>
      <c r="C11" s="157">
        <f t="shared" si="1"/>
        <v>9.8454528000000003</v>
      </c>
      <c r="D11" s="157">
        <f t="shared" si="2"/>
        <v>4.9227264000000002</v>
      </c>
      <c r="E11" s="157">
        <f t="shared" si="3"/>
        <v>59.072716799999995</v>
      </c>
      <c r="G11" s="158">
        <f t="shared" si="4"/>
        <v>8</v>
      </c>
      <c r="H11" s="157">
        <f t="shared" si="9"/>
        <v>31.954440031250002</v>
      </c>
      <c r="I11" s="157">
        <f t="shared" si="5"/>
        <v>6.3908880062500009</v>
      </c>
      <c r="J11" s="157">
        <f t="shared" si="6"/>
        <v>3.1954440031250004</v>
      </c>
      <c r="K11" s="157">
        <f t="shared" si="7"/>
        <v>38.345328037500003</v>
      </c>
      <c r="M11" s="158"/>
    </row>
    <row r="12" spans="1:16" x14ac:dyDescent="0.3">
      <c r="B12" s="157" t="s">
        <v>286</v>
      </c>
      <c r="C12" s="157">
        <v>0</v>
      </c>
      <c r="D12" s="157">
        <v>0</v>
      </c>
      <c r="H12" s="157" t="s">
        <v>286</v>
      </c>
      <c r="I12" s="157">
        <v>0</v>
      </c>
      <c r="J12" s="157">
        <v>0</v>
      </c>
    </row>
    <row r="13" spans="1:16" x14ac:dyDescent="0.3">
      <c r="B13" s="157" t="s">
        <v>285</v>
      </c>
      <c r="C13" s="157">
        <f>SUM(C3:C12)</f>
        <v>53.179340800000006</v>
      </c>
      <c r="D13" s="157">
        <f>SUM(D3:D12)</f>
        <v>26.589670400000003</v>
      </c>
      <c r="E13" s="157">
        <f ca="1">OFFSET(E13, -2, 0)</f>
        <v>59.072716799999995</v>
      </c>
      <c r="H13" s="157" t="s">
        <v>285</v>
      </c>
      <c r="I13" s="157">
        <f>SUM(I3:I12)</f>
        <v>41.261234381250006</v>
      </c>
      <c r="J13" s="157">
        <f>SUM(J3:J12)</f>
        <v>20.630617190625003</v>
      </c>
      <c r="K13" s="157">
        <f ca="1">OFFSET(K13, -2, 0)+J13</f>
        <v>58.975945228125006</v>
      </c>
    </row>
  </sheetData>
  <mergeCells count="2">
    <mergeCell ref="A1:D1"/>
    <mergeCell ref="G1:J1"/>
  </mergeCells>
  <phoneticPr fontId="1" type="noConversion"/>
  <pageMargins left="0.7" right="0.7" top="0.75" bottom="0.75" header="0.3" footer="0.3"/>
  <picture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235A-2F49-4F0E-A072-1E7E972FD2F9}">
  <dimension ref="A1:H140"/>
  <sheetViews>
    <sheetView zoomScaleNormal="100" workbookViewId="0">
      <pane xSplit="1" ySplit="1" topLeftCell="B125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4" x14ac:dyDescent="0.3"/>
  <cols>
    <col min="1" max="1" width="8.6640625" style="1"/>
    <col min="2" max="2" width="14.75" style="1" bestFit="1" customWidth="1"/>
    <col min="3" max="3" width="9.6640625" style="1" bestFit="1" customWidth="1"/>
    <col min="4" max="16384" width="8.6640625" style="1"/>
  </cols>
  <sheetData>
    <row r="1" spans="1:8" x14ac:dyDescent="0.3">
      <c r="A1" s="3"/>
      <c r="B1" s="154" t="s">
        <v>299</v>
      </c>
      <c r="C1" s="154" t="s">
        <v>298</v>
      </c>
      <c r="D1" s="162" t="s">
        <v>297</v>
      </c>
      <c r="E1" s="161" t="s">
        <v>296</v>
      </c>
      <c r="F1" s="3" t="s">
        <v>295</v>
      </c>
      <c r="G1" s="3" t="s">
        <v>294</v>
      </c>
      <c r="H1" s="3" t="s">
        <v>293</v>
      </c>
    </row>
    <row r="2" spans="1:8" x14ac:dyDescent="0.3">
      <c r="A2" s="32" t="s">
        <v>54</v>
      </c>
      <c r="B2" s="155"/>
      <c r="C2" s="155">
        <v>0</v>
      </c>
      <c r="D2" s="155">
        <v>0</v>
      </c>
      <c r="E2" s="32">
        <v>0</v>
      </c>
      <c r="F2" s="32">
        <v>0</v>
      </c>
      <c r="G2" s="32">
        <f t="shared" ref="G2:G24" si="0">D2+E2/2</f>
        <v>0</v>
      </c>
      <c r="H2" s="32">
        <f t="shared" ref="H2:H23" si="1">E2/2</f>
        <v>0</v>
      </c>
    </row>
    <row r="3" spans="1:8" x14ac:dyDescent="0.3">
      <c r="A3" s="24">
        <f t="shared" ref="A3:A22" si="2">ROW()-2</f>
        <v>1</v>
      </c>
      <c r="B3" s="160" t="s">
        <v>292</v>
      </c>
      <c r="C3" s="60"/>
      <c r="D3" s="60"/>
      <c r="E3" s="24"/>
      <c r="F3" s="28" t="e">
        <f t="shared" ref="F3:F22" si="3">E3/D3</f>
        <v>#DIV/0!</v>
      </c>
      <c r="G3" s="24">
        <f t="shared" si="0"/>
        <v>0</v>
      </c>
      <c r="H3" s="24">
        <f t="shared" si="1"/>
        <v>0</v>
      </c>
    </row>
    <row r="4" spans="1:8" x14ac:dyDescent="0.3">
      <c r="A4" s="24">
        <f t="shared" si="2"/>
        <v>2</v>
      </c>
      <c r="B4" s="60"/>
      <c r="C4" s="60"/>
      <c r="D4" s="60"/>
      <c r="E4" s="24"/>
      <c r="F4" s="28" t="e">
        <f t="shared" si="3"/>
        <v>#DIV/0!</v>
      </c>
      <c r="G4" s="24">
        <f t="shared" si="0"/>
        <v>0</v>
      </c>
      <c r="H4" s="24">
        <f t="shared" si="1"/>
        <v>0</v>
      </c>
    </row>
    <row r="5" spans="1:8" x14ac:dyDescent="0.3">
      <c r="A5" s="24">
        <f t="shared" si="2"/>
        <v>3</v>
      </c>
      <c r="B5" s="60"/>
      <c r="C5" s="60"/>
      <c r="D5" s="60"/>
      <c r="E5" s="24"/>
      <c r="F5" s="28" t="e">
        <f t="shared" si="3"/>
        <v>#DIV/0!</v>
      </c>
      <c r="G5" s="24">
        <f t="shared" si="0"/>
        <v>0</v>
      </c>
      <c r="H5" s="24">
        <f t="shared" si="1"/>
        <v>0</v>
      </c>
    </row>
    <row r="6" spans="1:8" x14ac:dyDescent="0.3">
      <c r="A6" s="24">
        <f t="shared" si="2"/>
        <v>4</v>
      </c>
      <c r="B6" s="60"/>
      <c r="C6" s="60"/>
      <c r="D6" s="60"/>
      <c r="E6" s="24"/>
      <c r="F6" s="28" t="e">
        <f t="shared" si="3"/>
        <v>#DIV/0!</v>
      </c>
      <c r="G6" s="24">
        <f t="shared" si="0"/>
        <v>0</v>
      </c>
      <c r="H6" s="24">
        <f t="shared" si="1"/>
        <v>0</v>
      </c>
    </row>
    <row r="7" spans="1:8" x14ac:dyDescent="0.3">
      <c r="A7" s="24">
        <f t="shared" si="2"/>
        <v>5</v>
      </c>
      <c r="B7" s="60"/>
      <c r="C7" s="60"/>
      <c r="D7" s="60"/>
      <c r="E7" s="24"/>
      <c r="F7" s="28" t="e">
        <f t="shared" si="3"/>
        <v>#DIV/0!</v>
      </c>
      <c r="G7" s="24">
        <f t="shared" si="0"/>
        <v>0</v>
      </c>
      <c r="H7" s="24">
        <f t="shared" si="1"/>
        <v>0</v>
      </c>
    </row>
    <row r="8" spans="1:8" x14ac:dyDescent="0.3">
      <c r="A8" s="24">
        <f t="shared" si="2"/>
        <v>6</v>
      </c>
      <c r="B8" s="60"/>
      <c r="C8" s="60"/>
      <c r="D8" s="60"/>
      <c r="E8" s="24"/>
      <c r="F8" s="28" t="e">
        <f t="shared" si="3"/>
        <v>#DIV/0!</v>
      </c>
      <c r="G8" s="24">
        <f t="shared" si="0"/>
        <v>0</v>
      </c>
      <c r="H8" s="24">
        <f t="shared" si="1"/>
        <v>0</v>
      </c>
    </row>
    <row r="9" spans="1:8" x14ac:dyDescent="0.3">
      <c r="A9" s="24">
        <f t="shared" si="2"/>
        <v>7</v>
      </c>
      <c r="B9" s="60"/>
      <c r="C9" s="60"/>
      <c r="D9" s="60"/>
      <c r="E9" s="24"/>
      <c r="F9" s="28" t="e">
        <f t="shared" si="3"/>
        <v>#DIV/0!</v>
      </c>
      <c r="G9" s="24">
        <f t="shared" si="0"/>
        <v>0</v>
      </c>
      <c r="H9" s="24">
        <f t="shared" si="1"/>
        <v>0</v>
      </c>
    </row>
    <row r="10" spans="1:8" x14ac:dyDescent="0.3">
      <c r="A10" s="24">
        <f t="shared" si="2"/>
        <v>8</v>
      </c>
      <c r="B10" s="160"/>
      <c r="C10" s="60"/>
      <c r="D10" s="60"/>
      <c r="E10" s="24"/>
      <c r="F10" s="28" t="e">
        <f t="shared" si="3"/>
        <v>#DIV/0!</v>
      </c>
      <c r="G10" s="24">
        <f t="shared" si="0"/>
        <v>0</v>
      </c>
      <c r="H10" s="24">
        <f t="shared" si="1"/>
        <v>0</v>
      </c>
    </row>
    <row r="11" spans="1:8" x14ac:dyDescent="0.3">
      <c r="A11" s="24">
        <f t="shared" si="2"/>
        <v>9</v>
      </c>
      <c r="B11" s="60"/>
      <c r="C11" s="60"/>
      <c r="D11" s="60"/>
      <c r="E11" s="24"/>
      <c r="F11" s="28" t="e">
        <f t="shared" si="3"/>
        <v>#DIV/0!</v>
      </c>
      <c r="G11" s="24">
        <f t="shared" si="0"/>
        <v>0</v>
      </c>
      <c r="H11" s="24">
        <f t="shared" si="1"/>
        <v>0</v>
      </c>
    </row>
    <row r="12" spans="1:8" x14ac:dyDescent="0.3">
      <c r="A12" s="24">
        <f t="shared" si="2"/>
        <v>10</v>
      </c>
      <c r="B12" s="60"/>
      <c r="C12" s="60"/>
      <c r="D12" s="60"/>
      <c r="E12" s="24"/>
      <c r="F12" s="28" t="e">
        <f t="shared" si="3"/>
        <v>#DIV/0!</v>
      </c>
      <c r="G12" s="24">
        <f t="shared" si="0"/>
        <v>0</v>
      </c>
      <c r="H12" s="24">
        <f t="shared" si="1"/>
        <v>0</v>
      </c>
    </row>
    <row r="13" spans="1:8" x14ac:dyDescent="0.3">
      <c r="A13" s="24">
        <f t="shared" si="2"/>
        <v>11</v>
      </c>
      <c r="B13" s="160"/>
      <c r="C13" s="60"/>
      <c r="D13" s="60"/>
      <c r="E13" s="24"/>
      <c r="F13" s="28" t="e">
        <f t="shared" si="3"/>
        <v>#DIV/0!</v>
      </c>
      <c r="G13" s="24">
        <f t="shared" si="0"/>
        <v>0</v>
      </c>
      <c r="H13" s="24">
        <f t="shared" si="1"/>
        <v>0</v>
      </c>
    </row>
    <row r="14" spans="1:8" x14ac:dyDescent="0.3">
      <c r="A14" s="24">
        <f t="shared" si="2"/>
        <v>12</v>
      </c>
      <c r="B14" s="160"/>
      <c r="C14" s="60"/>
      <c r="D14" s="60"/>
      <c r="E14" s="24"/>
      <c r="F14" s="28" t="e">
        <f t="shared" si="3"/>
        <v>#DIV/0!</v>
      </c>
      <c r="G14" s="24">
        <f t="shared" si="0"/>
        <v>0</v>
      </c>
      <c r="H14" s="24">
        <f t="shared" si="1"/>
        <v>0</v>
      </c>
    </row>
    <row r="15" spans="1:8" x14ac:dyDescent="0.3">
      <c r="A15" s="24">
        <f t="shared" si="2"/>
        <v>13</v>
      </c>
      <c r="B15" s="160"/>
      <c r="C15" s="60"/>
      <c r="D15" s="60"/>
      <c r="E15" s="24"/>
      <c r="F15" s="28" t="e">
        <f t="shared" si="3"/>
        <v>#DIV/0!</v>
      </c>
      <c r="G15" s="24">
        <f t="shared" si="0"/>
        <v>0</v>
      </c>
      <c r="H15" s="24">
        <f t="shared" si="1"/>
        <v>0</v>
      </c>
    </row>
    <row r="16" spans="1:8" x14ac:dyDescent="0.3">
      <c r="A16" s="24">
        <f t="shared" si="2"/>
        <v>14</v>
      </c>
      <c r="B16" s="160"/>
      <c r="C16" s="60"/>
      <c r="D16" s="60"/>
      <c r="E16" s="24"/>
      <c r="F16" s="28" t="e">
        <f t="shared" si="3"/>
        <v>#DIV/0!</v>
      </c>
      <c r="G16" s="24">
        <f t="shared" si="0"/>
        <v>0</v>
      </c>
      <c r="H16" s="24">
        <f t="shared" si="1"/>
        <v>0</v>
      </c>
    </row>
    <row r="17" spans="1:8" x14ac:dyDescent="0.3">
      <c r="A17" s="24">
        <f t="shared" si="2"/>
        <v>15</v>
      </c>
      <c r="B17" s="160"/>
      <c r="C17" s="60"/>
      <c r="D17" s="60"/>
      <c r="E17" s="24"/>
      <c r="F17" s="28" t="e">
        <f t="shared" si="3"/>
        <v>#DIV/0!</v>
      </c>
      <c r="G17" s="24">
        <f t="shared" si="0"/>
        <v>0</v>
      </c>
      <c r="H17" s="24">
        <f t="shared" si="1"/>
        <v>0</v>
      </c>
    </row>
    <row r="18" spans="1:8" x14ac:dyDescent="0.3">
      <c r="A18" s="24">
        <f t="shared" si="2"/>
        <v>16</v>
      </c>
      <c r="B18" s="160"/>
      <c r="C18" s="60"/>
      <c r="D18" s="60"/>
      <c r="E18" s="24"/>
      <c r="F18" s="28" t="e">
        <f t="shared" si="3"/>
        <v>#DIV/0!</v>
      </c>
      <c r="G18" s="24">
        <f t="shared" si="0"/>
        <v>0</v>
      </c>
      <c r="H18" s="24">
        <f t="shared" si="1"/>
        <v>0</v>
      </c>
    </row>
    <row r="19" spans="1:8" x14ac:dyDescent="0.3">
      <c r="A19" s="24">
        <f t="shared" si="2"/>
        <v>17</v>
      </c>
      <c r="B19" s="160"/>
      <c r="C19" s="60"/>
      <c r="D19" s="60"/>
      <c r="E19" s="24"/>
      <c r="F19" s="28" t="e">
        <f t="shared" si="3"/>
        <v>#DIV/0!</v>
      </c>
      <c r="G19" s="24">
        <f t="shared" si="0"/>
        <v>0</v>
      </c>
      <c r="H19" s="24">
        <f t="shared" si="1"/>
        <v>0</v>
      </c>
    </row>
    <row r="20" spans="1:8" x14ac:dyDescent="0.3">
      <c r="A20" s="24">
        <f t="shared" si="2"/>
        <v>18</v>
      </c>
      <c r="B20" s="160"/>
      <c r="C20" s="60"/>
      <c r="D20" s="60"/>
      <c r="E20" s="24"/>
      <c r="F20" s="28" t="e">
        <f t="shared" si="3"/>
        <v>#DIV/0!</v>
      </c>
      <c r="G20" s="24">
        <f t="shared" si="0"/>
        <v>0</v>
      </c>
      <c r="H20" s="24">
        <f t="shared" si="1"/>
        <v>0</v>
      </c>
    </row>
    <row r="21" spans="1:8" x14ac:dyDescent="0.3">
      <c r="A21" s="24">
        <f t="shared" si="2"/>
        <v>19</v>
      </c>
      <c r="B21" s="160"/>
      <c r="C21" s="60"/>
      <c r="D21" s="60"/>
      <c r="E21" s="24"/>
      <c r="F21" s="28" t="e">
        <f t="shared" si="3"/>
        <v>#DIV/0!</v>
      </c>
      <c r="G21" s="24">
        <f t="shared" si="0"/>
        <v>0</v>
      </c>
      <c r="H21" s="24">
        <f t="shared" si="1"/>
        <v>0</v>
      </c>
    </row>
    <row r="22" spans="1:8" x14ac:dyDescent="0.3">
      <c r="A22" s="24">
        <f t="shared" si="2"/>
        <v>20</v>
      </c>
      <c r="B22" s="160"/>
      <c r="C22" s="60"/>
      <c r="D22" s="60"/>
      <c r="E22" s="24"/>
      <c r="F22" s="28" t="e">
        <f t="shared" si="3"/>
        <v>#DIV/0!</v>
      </c>
      <c r="G22" s="24">
        <f t="shared" si="0"/>
        <v>0</v>
      </c>
      <c r="H22" s="24">
        <f t="shared" si="1"/>
        <v>0</v>
      </c>
    </row>
    <row r="23" spans="1:8" x14ac:dyDescent="0.3">
      <c r="A23" s="32" t="s">
        <v>53</v>
      </c>
      <c r="B23" s="32"/>
      <c r="C23" s="32">
        <v>0</v>
      </c>
      <c r="D23" s="32">
        <v>0</v>
      </c>
      <c r="E23" s="32">
        <v>0</v>
      </c>
      <c r="F23" s="32">
        <v>0</v>
      </c>
      <c r="G23" s="32">
        <f t="shared" si="0"/>
        <v>0</v>
      </c>
      <c r="H23" s="32">
        <f t="shared" si="1"/>
        <v>0</v>
      </c>
    </row>
    <row r="24" spans="1:8" x14ac:dyDescent="0.3">
      <c r="A24" s="24" t="s">
        <v>285</v>
      </c>
      <c r="B24" s="24"/>
      <c r="C24" s="24"/>
      <c r="D24" s="24">
        <f>SUM(D2:D23)</f>
        <v>0</v>
      </c>
      <c r="E24" s="24">
        <f>SUM(E2:E23)</f>
        <v>0</v>
      </c>
      <c r="F24" s="28" t="e">
        <f>E24/D24</f>
        <v>#DIV/0!</v>
      </c>
      <c r="G24" s="24">
        <f t="shared" si="0"/>
        <v>0</v>
      </c>
      <c r="H24" s="24">
        <f>SUM(H2:H23)</f>
        <v>0</v>
      </c>
    </row>
    <row r="27" spans="1:8" x14ac:dyDescent="0.3">
      <c r="A27" s="3"/>
      <c r="B27" s="154" t="s">
        <v>299</v>
      </c>
      <c r="C27" s="154" t="s">
        <v>298</v>
      </c>
      <c r="D27" s="162" t="s">
        <v>297</v>
      </c>
      <c r="E27" s="161" t="s">
        <v>296</v>
      </c>
      <c r="F27" s="3" t="s">
        <v>295</v>
      </c>
      <c r="G27" s="3" t="s">
        <v>294</v>
      </c>
      <c r="H27" s="3" t="s">
        <v>293</v>
      </c>
    </row>
    <row r="28" spans="1:8" x14ac:dyDescent="0.3">
      <c r="A28" s="32" t="s">
        <v>54</v>
      </c>
      <c r="B28" s="155"/>
      <c r="C28" s="155">
        <v>0</v>
      </c>
      <c r="D28" s="155">
        <v>0</v>
      </c>
      <c r="E28" s="32">
        <v>0</v>
      </c>
      <c r="F28" s="32">
        <v>0</v>
      </c>
      <c r="G28" s="32">
        <f t="shared" ref="G28:G52" si="4">D28+E28/2</f>
        <v>0</v>
      </c>
      <c r="H28" s="32">
        <f t="shared" ref="H28:H51" si="5">E28/2</f>
        <v>0</v>
      </c>
    </row>
    <row r="29" spans="1:8" x14ac:dyDescent="0.3">
      <c r="A29" s="24">
        <f t="shared" ref="A29:A50" si="6">ROW()-28</f>
        <v>1</v>
      </c>
      <c r="B29" s="160">
        <v>45520.406944444447</v>
      </c>
      <c r="C29" s="60" t="s">
        <v>343</v>
      </c>
      <c r="D29" s="60">
        <v>1</v>
      </c>
      <c r="E29" s="24">
        <v>0.09</v>
      </c>
      <c r="F29" s="28">
        <f t="shared" ref="F29:F50" si="7">E29/D29</f>
        <v>0.09</v>
      </c>
      <c r="G29" s="24">
        <f t="shared" si="4"/>
        <v>1.0449999999999999</v>
      </c>
      <c r="H29" s="24">
        <f t="shared" si="5"/>
        <v>4.4999999999999998E-2</v>
      </c>
    </row>
    <row r="30" spans="1:8" x14ac:dyDescent="0.3">
      <c r="A30" s="24">
        <f t="shared" si="6"/>
        <v>2</v>
      </c>
      <c r="B30" s="60"/>
      <c r="C30" s="60"/>
      <c r="D30" s="60">
        <v>1</v>
      </c>
      <c r="E30" s="24">
        <v>0.09</v>
      </c>
      <c r="F30" s="28">
        <f t="shared" si="7"/>
        <v>0.09</v>
      </c>
      <c r="G30" s="24">
        <f t="shared" si="4"/>
        <v>1.0449999999999999</v>
      </c>
      <c r="H30" s="24">
        <f t="shared" si="5"/>
        <v>4.4999999999999998E-2</v>
      </c>
    </row>
    <row r="31" spans="1:8" x14ac:dyDescent="0.3">
      <c r="A31" s="24">
        <f t="shared" si="6"/>
        <v>3</v>
      </c>
      <c r="B31" s="60"/>
      <c r="C31" s="60"/>
      <c r="D31" s="60">
        <v>1</v>
      </c>
      <c r="E31" s="24">
        <v>0.09</v>
      </c>
      <c r="F31" s="28">
        <f t="shared" si="7"/>
        <v>0.09</v>
      </c>
      <c r="G31" s="24">
        <f t="shared" si="4"/>
        <v>1.0449999999999999</v>
      </c>
      <c r="H31" s="24">
        <f t="shared" si="5"/>
        <v>4.4999999999999998E-2</v>
      </c>
    </row>
    <row r="32" spans="1:8" x14ac:dyDescent="0.3">
      <c r="A32" s="24">
        <f t="shared" si="6"/>
        <v>4</v>
      </c>
      <c r="B32" s="60"/>
      <c r="C32" s="60"/>
      <c r="D32" s="60">
        <v>1</v>
      </c>
      <c r="E32" s="24">
        <v>0.09</v>
      </c>
      <c r="F32" s="28">
        <f t="shared" si="7"/>
        <v>0.09</v>
      </c>
      <c r="G32" s="24">
        <f t="shared" si="4"/>
        <v>1.0449999999999999</v>
      </c>
      <c r="H32" s="24">
        <f t="shared" si="5"/>
        <v>4.4999999999999998E-2</v>
      </c>
    </row>
    <row r="33" spans="1:8" x14ac:dyDescent="0.3">
      <c r="A33" s="24">
        <f t="shared" si="6"/>
        <v>5</v>
      </c>
      <c r="B33" s="60"/>
      <c r="C33" s="60"/>
      <c r="D33" s="60">
        <v>1</v>
      </c>
      <c r="E33" s="24">
        <v>0.09</v>
      </c>
      <c r="F33" s="28">
        <f t="shared" si="7"/>
        <v>0.09</v>
      </c>
      <c r="G33" s="24">
        <f t="shared" si="4"/>
        <v>1.0449999999999999</v>
      </c>
      <c r="H33" s="24">
        <f t="shared" si="5"/>
        <v>4.4999999999999998E-2</v>
      </c>
    </row>
    <row r="34" spans="1:8" x14ac:dyDescent="0.3">
      <c r="A34" s="24">
        <f t="shared" si="6"/>
        <v>6</v>
      </c>
      <c r="B34" s="60"/>
      <c r="C34" s="60"/>
      <c r="D34" s="60">
        <v>1</v>
      </c>
      <c r="E34" s="24">
        <v>0.08</v>
      </c>
      <c r="F34" s="28">
        <f t="shared" si="7"/>
        <v>0.08</v>
      </c>
      <c r="G34" s="24">
        <f t="shared" si="4"/>
        <v>1.04</v>
      </c>
      <c r="H34" s="24">
        <f t="shared" si="5"/>
        <v>0.04</v>
      </c>
    </row>
    <row r="35" spans="1:8" x14ac:dyDescent="0.3">
      <c r="A35" s="24">
        <f t="shared" si="6"/>
        <v>7</v>
      </c>
      <c r="B35" s="60"/>
      <c r="C35" s="60"/>
      <c r="D35" s="60">
        <v>1</v>
      </c>
      <c r="E35" s="24">
        <v>0.1</v>
      </c>
      <c r="F35" s="28">
        <f t="shared" si="7"/>
        <v>0.1</v>
      </c>
      <c r="G35" s="24">
        <f t="shared" si="4"/>
        <v>1.05</v>
      </c>
      <c r="H35" s="24">
        <f t="shared" si="5"/>
        <v>0.05</v>
      </c>
    </row>
    <row r="36" spans="1:8" x14ac:dyDescent="0.3">
      <c r="A36" s="24">
        <f t="shared" si="6"/>
        <v>8</v>
      </c>
      <c r="B36" s="160">
        <v>45520.400694444441</v>
      </c>
      <c r="C36" s="60" t="s">
        <v>342</v>
      </c>
      <c r="D36" s="60">
        <v>1</v>
      </c>
      <c r="E36" s="24">
        <v>0.1</v>
      </c>
      <c r="F36" s="28">
        <f t="shared" si="7"/>
        <v>0.1</v>
      </c>
      <c r="G36" s="24">
        <f t="shared" si="4"/>
        <v>1.05</v>
      </c>
      <c r="H36" s="24">
        <f t="shared" si="5"/>
        <v>0.05</v>
      </c>
    </row>
    <row r="37" spans="1:8" x14ac:dyDescent="0.3">
      <c r="A37" s="24">
        <f t="shared" si="6"/>
        <v>9</v>
      </c>
      <c r="B37" s="60"/>
      <c r="C37" s="60"/>
      <c r="D37" s="60">
        <v>1</v>
      </c>
      <c r="E37" s="24">
        <v>0.06</v>
      </c>
      <c r="F37" s="28">
        <f t="shared" si="7"/>
        <v>0.06</v>
      </c>
      <c r="G37" s="24">
        <f t="shared" si="4"/>
        <v>1.03</v>
      </c>
      <c r="H37" s="24">
        <f t="shared" si="5"/>
        <v>0.03</v>
      </c>
    </row>
    <row r="38" spans="1:8" x14ac:dyDescent="0.3">
      <c r="A38" s="24">
        <f t="shared" si="6"/>
        <v>10</v>
      </c>
      <c r="B38" s="60"/>
      <c r="C38" s="60"/>
      <c r="D38" s="60">
        <v>1</v>
      </c>
      <c r="E38" s="24">
        <v>0.05</v>
      </c>
      <c r="F38" s="28">
        <f t="shared" si="7"/>
        <v>0.05</v>
      </c>
      <c r="G38" s="24">
        <f t="shared" si="4"/>
        <v>1.0249999999999999</v>
      </c>
      <c r="H38" s="24">
        <f t="shared" si="5"/>
        <v>2.5000000000000001E-2</v>
      </c>
    </row>
    <row r="39" spans="1:8" x14ac:dyDescent="0.3">
      <c r="A39" s="24">
        <f t="shared" si="6"/>
        <v>11</v>
      </c>
      <c r="B39" s="160">
        <v>45520.402777777781</v>
      </c>
      <c r="C39" s="60" t="s">
        <v>341</v>
      </c>
      <c r="D39" s="60">
        <v>1</v>
      </c>
      <c r="E39" s="24">
        <v>0.04</v>
      </c>
      <c r="F39" s="28">
        <f t="shared" si="7"/>
        <v>0.04</v>
      </c>
      <c r="G39" s="24">
        <f t="shared" si="4"/>
        <v>1.02</v>
      </c>
      <c r="H39" s="24">
        <f t="shared" si="5"/>
        <v>0.02</v>
      </c>
    </row>
    <row r="40" spans="1:8" x14ac:dyDescent="0.3">
      <c r="A40" s="24">
        <f t="shared" si="6"/>
        <v>12</v>
      </c>
      <c r="B40" s="160">
        <v>45520.518750000003</v>
      </c>
      <c r="C40" s="60" t="s">
        <v>329</v>
      </c>
      <c r="D40" s="60">
        <v>1</v>
      </c>
      <c r="E40" s="24">
        <v>0.05</v>
      </c>
      <c r="F40" s="28">
        <f t="shared" si="7"/>
        <v>0.05</v>
      </c>
      <c r="G40" s="24">
        <f t="shared" si="4"/>
        <v>1.0249999999999999</v>
      </c>
      <c r="H40" s="24">
        <f t="shared" si="5"/>
        <v>2.5000000000000001E-2</v>
      </c>
    </row>
    <row r="41" spans="1:8" x14ac:dyDescent="0.3">
      <c r="A41" s="24">
        <f t="shared" si="6"/>
        <v>13</v>
      </c>
      <c r="B41" s="160">
        <v>45520.4</v>
      </c>
      <c r="C41" s="60" t="s">
        <v>340</v>
      </c>
      <c r="D41" s="60">
        <v>1</v>
      </c>
      <c r="E41" s="24">
        <v>0.05</v>
      </c>
      <c r="F41" s="28">
        <f t="shared" si="7"/>
        <v>0.05</v>
      </c>
      <c r="G41" s="24">
        <f t="shared" si="4"/>
        <v>1.0249999999999999</v>
      </c>
      <c r="H41" s="24">
        <f t="shared" si="5"/>
        <v>2.5000000000000001E-2</v>
      </c>
    </row>
    <row r="42" spans="1:8" x14ac:dyDescent="0.3">
      <c r="A42" s="24">
        <f t="shared" si="6"/>
        <v>14</v>
      </c>
      <c r="B42" s="160">
        <v>45520.40902777778</v>
      </c>
      <c r="C42" s="60" t="s">
        <v>339</v>
      </c>
      <c r="D42" s="60">
        <v>1</v>
      </c>
      <c r="E42" s="24">
        <v>0.09</v>
      </c>
      <c r="F42" s="28">
        <f t="shared" si="7"/>
        <v>0.09</v>
      </c>
      <c r="G42" s="24">
        <f t="shared" si="4"/>
        <v>1.0449999999999999</v>
      </c>
      <c r="H42" s="24">
        <f t="shared" si="5"/>
        <v>4.4999999999999998E-2</v>
      </c>
    </row>
    <row r="43" spans="1:8" x14ac:dyDescent="0.3">
      <c r="A43" s="24">
        <f t="shared" si="6"/>
        <v>15</v>
      </c>
      <c r="B43" s="160">
        <v>45520.39166666667</v>
      </c>
      <c r="C43" s="60" t="s">
        <v>338</v>
      </c>
      <c r="D43" s="60">
        <v>2</v>
      </c>
      <c r="E43" s="24">
        <v>8.0000000000000002E-3</v>
      </c>
      <c r="F43" s="28">
        <f t="shared" si="7"/>
        <v>4.0000000000000001E-3</v>
      </c>
      <c r="G43" s="24">
        <f t="shared" si="4"/>
        <v>2.004</v>
      </c>
      <c r="H43" s="24">
        <f t="shared" si="5"/>
        <v>4.0000000000000001E-3</v>
      </c>
    </row>
    <row r="44" spans="1:8" x14ac:dyDescent="0.3">
      <c r="A44" s="24">
        <f t="shared" si="6"/>
        <v>16</v>
      </c>
      <c r="B44" s="160">
        <v>45520.558333333334</v>
      </c>
      <c r="C44" s="60" t="s">
        <v>337</v>
      </c>
      <c r="D44" s="60">
        <v>1</v>
      </c>
      <c r="E44" s="24">
        <v>0.05</v>
      </c>
      <c r="F44" s="28">
        <f t="shared" si="7"/>
        <v>0.05</v>
      </c>
      <c r="G44" s="24">
        <f t="shared" si="4"/>
        <v>1.0249999999999999</v>
      </c>
      <c r="H44" s="24">
        <f t="shared" si="5"/>
        <v>2.5000000000000001E-2</v>
      </c>
    </row>
    <row r="45" spans="1:8" x14ac:dyDescent="0.3">
      <c r="A45" s="24">
        <f t="shared" si="6"/>
        <v>17</v>
      </c>
      <c r="B45" s="160">
        <v>45520.42083333333</v>
      </c>
      <c r="C45" s="60" t="s">
        <v>336</v>
      </c>
      <c r="D45" s="60">
        <v>2</v>
      </c>
      <c r="E45" s="24">
        <v>0.11</v>
      </c>
      <c r="F45" s="28">
        <f t="shared" si="7"/>
        <v>5.5E-2</v>
      </c>
      <c r="G45" s="24">
        <f t="shared" si="4"/>
        <v>2.0550000000000002</v>
      </c>
      <c r="H45" s="24">
        <f t="shared" si="5"/>
        <v>5.5E-2</v>
      </c>
    </row>
    <row r="46" spans="1:8" x14ac:dyDescent="0.3">
      <c r="A46" s="24">
        <f t="shared" si="6"/>
        <v>18</v>
      </c>
      <c r="B46" s="160">
        <v>45520.425694444442</v>
      </c>
      <c r="C46" s="60" t="s">
        <v>335</v>
      </c>
      <c r="D46" s="60">
        <v>1</v>
      </c>
      <c r="E46" s="24">
        <v>0.04</v>
      </c>
      <c r="F46" s="28">
        <f t="shared" si="7"/>
        <v>0.04</v>
      </c>
      <c r="G46" s="24">
        <f t="shared" si="4"/>
        <v>1.02</v>
      </c>
      <c r="H46" s="24">
        <f t="shared" si="5"/>
        <v>0.02</v>
      </c>
    </row>
    <row r="47" spans="1:8" x14ac:dyDescent="0.3">
      <c r="A47" s="24">
        <f t="shared" si="6"/>
        <v>19</v>
      </c>
      <c r="B47" s="160">
        <v>45520.43472222222</v>
      </c>
      <c r="C47" s="60" t="s">
        <v>334</v>
      </c>
      <c r="D47" s="60">
        <v>1</v>
      </c>
      <c r="E47" s="24"/>
      <c r="F47" s="28">
        <f t="shared" si="7"/>
        <v>0</v>
      </c>
      <c r="G47" s="24">
        <f t="shared" si="4"/>
        <v>1</v>
      </c>
      <c r="H47" s="24">
        <f t="shared" si="5"/>
        <v>0</v>
      </c>
    </row>
    <row r="48" spans="1:8" x14ac:dyDescent="0.3">
      <c r="A48" s="24">
        <f t="shared" si="6"/>
        <v>20</v>
      </c>
      <c r="B48" s="160">
        <v>45520.415277777778</v>
      </c>
      <c r="C48" s="60" t="s">
        <v>333</v>
      </c>
      <c r="D48" s="60">
        <v>1</v>
      </c>
      <c r="E48" s="24">
        <v>-0.01</v>
      </c>
      <c r="F48" s="28">
        <f t="shared" si="7"/>
        <v>-0.01</v>
      </c>
      <c r="G48" s="24">
        <f t="shared" si="4"/>
        <v>0.995</v>
      </c>
      <c r="H48" s="24">
        <f t="shared" si="5"/>
        <v>-5.0000000000000001E-3</v>
      </c>
    </row>
    <row r="49" spans="1:8" x14ac:dyDescent="0.3">
      <c r="A49" s="24">
        <f t="shared" si="6"/>
        <v>21</v>
      </c>
      <c r="B49" s="160">
        <v>45520.393750000003</v>
      </c>
      <c r="C49" s="60" t="s">
        <v>332</v>
      </c>
      <c r="D49" s="60">
        <v>2</v>
      </c>
      <c r="E49" s="24">
        <v>0.19</v>
      </c>
      <c r="F49" s="28">
        <f t="shared" si="7"/>
        <v>9.5000000000000001E-2</v>
      </c>
      <c r="G49" s="24">
        <f t="shared" si="4"/>
        <v>2.0950000000000002</v>
      </c>
      <c r="H49" s="24">
        <f t="shared" si="5"/>
        <v>9.5000000000000001E-2</v>
      </c>
    </row>
    <row r="50" spans="1:8" x14ac:dyDescent="0.3">
      <c r="A50" s="24">
        <f t="shared" si="6"/>
        <v>22</v>
      </c>
      <c r="B50" s="160">
        <v>45520.388888888891</v>
      </c>
      <c r="C50" s="60" t="s">
        <v>323</v>
      </c>
      <c r="D50" s="60">
        <v>1</v>
      </c>
      <c r="E50" s="24"/>
      <c r="F50" s="28">
        <f t="shared" si="7"/>
        <v>0</v>
      </c>
      <c r="G50" s="24">
        <f t="shared" si="4"/>
        <v>1</v>
      </c>
      <c r="H50" s="24">
        <f t="shared" si="5"/>
        <v>0</v>
      </c>
    </row>
    <row r="51" spans="1:8" x14ac:dyDescent="0.3">
      <c r="A51" s="32" t="s">
        <v>53</v>
      </c>
      <c r="B51" s="32"/>
      <c r="C51" s="32">
        <v>0</v>
      </c>
      <c r="D51" s="32">
        <v>0</v>
      </c>
      <c r="E51" s="32">
        <v>0</v>
      </c>
      <c r="F51" s="32">
        <v>0</v>
      </c>
      <c r="G51" s="32">
        <f t="shared" si="4"/>
        <v>0</v>
      </c>
      <c r="H51" s="32">
        <f t="shared" si="5"/>
        <v>0</v>
      </c>
    </row>
    <row r="52" spans="1:8" x14ac:dyDescent="0.3">
      <c r="A52" s="24" t="s">
        <v>285</v>
      </c>
      <c r="B52" s="24"/>
      <c r="C52" s="24"/>
      <c r="D52" s="24">
        <f>SUM(D28:D51)</f>
        <v>25</v>
      </c>
      <c r="E52" s="24">
        <f>SUM(E28:E51)</f>
        <v>1.4580000000000002</v>
      </c>
      <c r="F52" s="28">
        <f>E52/D52</f>
        <v>5.8320000000000011E-2</v>
      </c>
      <c r="G52" s="24">
        <f t="shared" si="4"/>
        <v>25.728999999999999</v>
      </c>
      <c r="H52" s="24">
        <f>SUM(H28:H51)</f>
        <v>0.72900000000000009</v>
      </c>
    </row>
    <row r="55" spans="1:8" x14ac:dyDescent="0.3">
      <c r="A55" s="3"/>
      <c r="B55" s="154" t="s">
        <v>299</v>
      </c>
      <c r="C55" s="154" t="s">
        <v>298</v>
      </c>
      <c r="D55" s="162" t="s">
        <v>297</v>
      </c>
      <c r="E55" s="161" t="s">
        <v>296</v>
      </c>
      <c r="F55" s="3" t="s">
        <v>295</v>
      </c>
      <c r="G55" s="3" t="s">
        <v>294</v>
      </c>
      <c r="H55" s="3" t="s">
        <v>293</v>
      </c>
    </row>
    <row r="56" spans="1:8" x14ac:dyDescent="0.3">
      <c r="A56" s="32" t="s">
        <v>54</v>
      </c>
      <c r="B56" s="155"/>
      <c r="C56" s="155">
        <v>0</v>
      </c>
      <c r="D56" s="155">
        <v>0</v>
      </c>
      <c r="E56" s="32">
        <v>0</v>
      </c>
      <c r="F56" s="32">
        <v>0</v>
      </c>
      <c r="G56" s="32">
        <f t="shared" ref="G56:G78" si="8">D56+E56/2</f>
        <v>0</v>
      </c>
      <c r="H56" s="32">
        <f t="shared" ref="H56:H77" si="9">E56/2</f>
        <v>0</v>
      </c>
    </row>
    <row r="57" spans="1:8" x14ac:dyDescent="0.3">
      <c r="A57" s="24">
        <f t="shared" ref="A57:A76" si="10">ROW()-56</f>
        <v>1</v>
      </c>
      <c r="B57" s="160">
        <v>45520.69027777778</v>
      </c>
      <c r="C57" s="60" t="s">
        <v>318</v>
      </c>
      <c r="D57" s="60">
        <v>1.02</v>
      </c>
      <c r="E57" s="24">
        <v>0.1</v>
      </c>
      <c r="F57" s="28">
        <f t="shared" ref="F57:F76" si="11">E57/D57</f>
        <v>9.8039215686274508E-2</v>
      </c>
      <c r="G57" s="24">
        <f t="shared" si="8"/>
        <v>1.07</v>
      </c>
      <c r="H57" s="24">
        <f t="shared" si="9"/>
        <v>0.05</v>
      </c>
    </row>
    <row r="58" spans="1:8" x14ac:dyDescent="0.3">
      <c r="A58" s="24">
        <f t="shared" si="10"/>
        <v>2</v>
      </c>
      <c r="B58" s="160">
        <v>45520.683333333334</v>
      </c>
      <c r="C58" s="60" t="s">
        <v>331</v>
      </c>
      <c r="D58" s="60">
        <v>1.05</v>
      </c>
      <c r="E58" s="24">
        <v>0.12</v>
      </c>
      <c r="F58" s="28">
        <f t="shared" si="11"/>
        <v>0.11428571428571428</v>
      </c>
      <c r="G58" s="24">
        <f t="shared" si="8"/>
        <v>1.1100000000000001</v>
      </c>
      <c r="H58" s="24">
        <f t="shared" si="9"/>
        <v>0.06</v>
      </c>
    </row>
    <row r="59" spans="1:8" x14ac:dyDescent="0.3">
      <c r="A59" s="24">
        <f t="shared" si="10"/>
        <v>3</v>
      </c>
      <c r="B59" s="160">
        <v>45520.660416666666</v>
      </c>
      <c r="C59" s="60" t="s">
        <v>330</v>
      </c>
      <c r="D59" s="60">
        <v>1.0449999999999999</v>
      </c>
      <c r="E59" s="24">
        <v>0.11</v>
      </c>
      <c r="F59" s="28">
        <f t="shared" si="11"/>
        <v>0.10526315789473685</v>
      </c>
      <c r="G59" s="24">
        <f t="shared" si="8"/>
        <v>1.0999999999999999</v>
      </c>
      <c r="H59" s="24">
        <f t="shared" si="9"/>
        <v>5.5E-2</v>
      </c>
    </row>
    <row r="60" spans="1:8" x14ac:dyDescent="0.3">
      <c r="A60" s="24">
        <f t="shared" si="10"/>
        <v>4</v>
      </c>
      <c r="B60" s="160">
        <v>45520.677777777775</v>
      </c>
      <c r="C60" s="60" t="s">
        <v>329</v>
      </c>
      <c r="D60" s="60">
        <v>1.04</v>
      </c>
      <c r="E60" s="24">
        <v>0.1</v>
      </c>
      <c r="F60" s="28">
        <f t="shared" si="11"/>
        <v>9.6153846153846159E-2</v>
      </c>
      <c r="G60" s="24">
        <f t="shared" si="8"/>
        <v>1.0900000000000001</v>
      </c>
      <c r="H60" s="24">
        <f t="shared" si="9"/>
        <v>0.05</v>
      </c>
    </row>
    <row r="61" spans="1:8" x14ac:dyDescent="0.3">
      <c r="A61" s="24">
        <f t="shared" si="10"/>
        <v>5</v>
      </c>
      <c r="B61" s="160">
        <v>45520.719444444447</v>
      </c>
      <c r="C61" s="60" t="s">
        <v>328</v>
      </c>
      <c r="D61" s="60">
        <v>2.0550000000000002</v>
      </c>
      <c r="E61" s="24">
        <v>0.2</v>
      </c>
      <c r="F61" s="28">
        <f t="shared" si="11"/>
        <v>9.7323600973236002E-2</v>
      </c>
      <c r="G61" s="24">
        <f t="shared" si="8"/>
        <v>2.1550000000000002</v>
      </c>
      <c r="H61" s="24">
        <f t="shared" si="9"/>
        <v>0.1</v>
      </c>
    </row>
    <row r="62" spans="1:8" x14ac:dyDescent="0.3">
      <c r="A62" s="24">
        <f t="shared" si="10"/>
        <v>6</v>
      </c>
      <c r="B62" s="160">
        <v>45520.729166666664</v>
      </c>
      <c r="C62" s="60" t="s">
        <v>327</v>
      </c>
      <c r="D62" s="60">
        <v>1.02</v>
      </c>
      <c r="E62" s="24">
        <v>0.1</v>
      </c>
      <c r="F62" s="28">
        <f t="shared" si="11"/>
        <v>9.8039215686274508E-2</v>
      </c>
      <c r="G62" s="24">
        <f t="shared" si="8"/>
        <v>1.07</v>
      </c>
      <c r="H62" s="24">
        <f t="shared" si="9"/>
        <v>0.05</v>
      </c>
    </row>
    <row r="63" spans="1:8" x14ac:dyDescent="0.3">
      <c r="A63" s="24">
        <f t="shared" si="10"/>
        <v>7</v>
      </c>
      <c r="B63" s="160">
        <v>45520.714583333334</v>
      </c>
      <c r="C63" s="60" t="s">
        <v>312</v>
      </c>
      <c r="D63" s="60">
        <v>1.0249999999999999</v>
      </c>
      <c r="E63" s="24">
        <v>0.11</v>
      </c>
      <c r="F63" s="28">
        <f t="shared" si="11"/>
        <v>0.10731707317073172</v>
      </c>
      <c r="G63" s="24">
        <f t="shared" si="8"/>
        <v>1.0799999999999998</v>
      </c>
      <c r="H63" s="24">
        <f t="shared" si="9"/>
        <v>5.5E-2</v>
      </c>
    </row>
    <row r="64" spans="1:8" x14ac:dyDescent="0.3">
      <c r="A64" s="24">
        <f t="shared" si="10"/>
        <v>8</v>
      </c>
      <c r="B64" s="160">
        <v>45520.705555555556</v>
      </c>
      <c r="C64" s="60" t="s">
        <v>312</v>
      </c>
      <c r="D64" s="60">
        <v>1.0449999999999999</v>
      </c>
      <c r="E64" s="24">
        <v>0.11</v>
      </c>
      <c r="F64" s="28">
        <f t="shared" si="11"/>
        <v>0.10526315789473685</v>
      </c>
      <c r="G64" s="24">
        <f t="shared" si="8"/>
        <v>1.0999999999999999</v>
      </c>
      <c r="H64" s="24">
        <f t="shared" si="9"/>
        <v>5.5E-2</v>
      </c>
    </row>
    <row r="65" spans="1:8" x14ac:dyDescent="0.3">
      <c r="A65" s="24">
        <f t="shared" si="10"/>
        <v>9</v>
      </c>
      <c r="B65" s="160">
        <v>45520.671527777777</v>
      </c>
      <c r="C65" s="60" t="s">
        <v>326</v>
      </c>
      <c r="D65" s="60">
        <v>1.0449999999999999</v>
      </c>
      <c r="E65" s="24">
        <v>0.09</v>
      </c>
      <c r="F65" s="28">
        <f t="shared" si="11"/>
        <v>8.6124401913875603E-2</v>
      </c>
      <c r="G65" s="24">
        <f t="shared" si="8"/>
        <v>1.0899999999999999</v>
      </c>
      <c r="H65" s="24">
        <f t="shared" si="9"/>
        <v>4.4999999999999998E-2</v>
      </c>
    </row>
    <row r="66" spans="1:8" x14ac:dyDescent="0.3">
      <c r="A66" s="24">
        <f t="shared" si="10"/>
        <v>10</v>
      </c>
      <c r="B66" s="160">
        <v>45520.685416666667</v>
      </c>
      <c r="C66" s="60" t="s">
        <v>325</v>
      </c>
      <c r="D66" s="60">
        <v>1.03</v>
      </c>
      <c r="E66" s="24">
        <v>0.04</v>
      </c>
      <c r="F66" s="28">
        <f t="shared" si="11"/>
        <v>3.8834951456310676E-2</v>
      </c>
      <c r="G66" s="24">
        <f t="shared" si="8"/>
        <v>1.05</v>
      </c>
      <c r="H66" s="24">
        <f t="shared" si="9"/>
        <v>0.02</v>
      </c>
    </row>
    <row r="67" spans="1:8" x14ac:dyDescent="0.3">
      <c r="A67" s="24">
        <f t="shared" si="10"/>
        <v>11</v>
      </c>
      <c r="B67" s="160">
        <v>45520.78402777778</v>
      </c>
      <c r="C67" s="60" t="s">
        <v>324</v>
      </c>
      <c r="D67" s="60">
        <v>1</v>
      </c>
      <c r="E67" s="24">
        <v>0.04</v>
      </c>
      <c r="F67" s="28">
        <f t="shared" si="11"/>
        <v>0.04</v>
      </c>
      <c r="G67" s="24">
        <f t="shared" si="8"/>
        <v>1.02</v>
      </c>
      <c r="H67" s="24">
        <f t="shared" si="9"/>
        <v>0.02</v>
      </c>
    </row>
    <row r="68" spans="1:8" x14ac:dyDescent="0.3">
      <c r="A68" s="24">
        <f t="shared" si="10"/>
        <v>12</v>
      </c>
      <c r="B68" s="160">
        <v>45520.783333333333</v>
      </c>
      <c r="C68" s="60" t="s">
        <v>323</v>
      </c>
      <c r="D68" s="60">
        <v>1</v>
      </c>
      <c r="E68" s="24">
        <v>0.05</v>
      </c>
      <c r="F68" s="28">
        <f t="shared" si="11"/>
        <v>0.05</v>
      </c>
      <c r="G68" s="24">
        <f t="shared" si="8"/>
        <v>1.0249999999999999</v>
      </c>
      <c r="H68" s="24">
        <f t="shared" si="9"/>
        <v>2.5000000000000001E-2</v>
      </c>
    </row>
    <row r="69" spans="1:8" x14ac:dyDescent="0.3">
      <c r="A69" s="24">
        <f t="shared" si="10"/>
        <v>13</v>
      </c>
      <c r="B69" s="160">
        <v>45520.688194444447</v>
      </c>
      <c r="C69" s="60" t="s">
        <v>322</v>
      </c>
      <c r="D69" s="60">
        <v>1.0249999999999999</v>
      </c>
      <c r="E69" s="24">
        <v>0.04</v>
      </c>
      <c r="F69" s="28">
        <f t="shared" si="11"/>
        <v>3.9024390243902446E-2</v>
      </c>
      <c r="G69" s="24">
        <f t="shared" si="8"/>
        <v>1.0449999999999999</v>
      </c>
      <c r="H69" s="24">
        <f t="shared" si="9"/>
        <v>0.02</v>
      </c>
    </row>
    <row r="70" spans="1:8" x14ac:dyDescent="0.3">
      <c r="A70" s="24">
        <f t="shared" si="10"/>
        <v>14</v>
      </c>
      <c r="B70" s="160">
        <v>45520.695138888892</v>
      </c>
      <c r="C70" s="60" t="s">
        <v>321</v>
      </c>
      <c r="D70" s="60">
        <v>1.0249999999999999</v>
      </c>
      <c r="E70" s="24">
        <v>-1.02</v>
      </c>
      <c r="F70" s="28">
        <f t="shared" si="11"/>
        <v>-0.9951219512195123</v>
      </c>
      <c r="G70" s="24">
        <f t="shared" si="8"/>
        <v>0.5149999999999999</v>
      </c>
      <c r="H70" s="24">
        <f t="shared" si="9"/>
        <v>-0.51</v>
      </c>
    </row>
    <row r="71" spans="1:8" x14ac:dyDescent="0.3">
      <c r="A71" s="24">
        <f t="shared" si="10"/>
        <v>15</v>
      </c>
      <c r="B71" s="160">
        <v>45520.679861111108</v>
      </c>
      <c r="C71" s="60" t="s">
        <v>320</v>
      </c>
      <c r="D71" s="60">
        <v>1.05</v>
      </c>
      <c r="E71" s="24">
        <v>0</v>
      </c>
      <c r="F71" s="28">
        <f t="shared" si="11"/>
        <v>0</v>
      </c>
      <c r="G71" s="24">
        <f t="shared" si="8"/>
        <v>1.05</v>
      </c>
      <c r="H71" s="24">
        <f t="shared" si="9"/>
        <v>0</v>
      </c>
    </row>
    <row r="72" spans="1:8" x14ac:dyDescent="0.3">
      <c r="A72" s="24">
        <f t="shared" si="10"/>
        <v>16</v>
      </c>
      <c r="B72" s="160">
        <v>45520.711111111108</v>
      </c>
      <c r="C72" s="60" t="s">
        <v>310</v>
      </c>
      <c r="D72" s="60">
        <v>2.04</v>
      </c>
      <c r="E72" s="24">
        <v>0.21</v>
      </c>
      <c r="F72" s="28">
        <f t="shared" si="11"/>
        <v>0.10294117647058823</v>
      </c>
      <c r="G72" s="24">
        <f t="shared" si="8"/>
        <v>2.145</v>
      </c>
      <c r="H72" s="24">
        <f t="shared" si="9"/>
        <v>0.105</v>
      </c>
    </row>
    <row r="73" spans="1:8" x14ac:dyDescent="0.3">
      <c r="A73" s="24">
        <f t="shared" si="10"/>
        <v>17</v>
      </c>
      <c r="B73" s="160"/>
      <c r="C73" s="60"/>
      <c r="D73" s="60"/>
      <c r="E73" s="24"/>
      <c r="F73" s="28" t="e">
        <f t="shared" si="11"/>
        <v>#DIV/0!</v>
      </c>
      <c r="G73" s="24">
        <f t="shared" si="8"/>
        <v>0</v>
      </c>
      <c r="H73" s="24">
        <f t="shared" si="9"/>
        <v>0</v>
      </c>
    </row>
    <row r="74" spans="1:8" x14ac:dyDescent="0.3">
      <c r="A74" s="24">
        <f t="shared" si="10"/>
        <v>18</v>
      </c>
      <c r="B74" s="160"/>
      <c r="C74" s="60"/>
      <c r="D74" s="60"/>
      <c r="E74" s="24"/>
      <c r="F74" s="28" t="e">
        <f t="shared" si="11"/>
        <v>#DIV/0!</v>
      </c>
      <c r="G74" s="24">
        <f t="shared" si="8"/>
        <v>0</v>
      </c>
      <c r="H74" s="24">
        <f t="shared" si="9"/>
        <v>0</v>
      </c>
    </row>
    <row r="75" spans="1:8" x14ac:dyDescent="0.3">
      <c r="A75" s="24">
        <f t="shared" si="10"/>
        <v>19</v>
      </c>
      <c r="B75" s="160"/>
      <c r="C75" s="60"/>
      <c r="D75" s="60"/>
      <c r="E75" s="24"/>
      <c r="F75" s="28" t="e">
        <f t="shared" si="11"/>
        <v>#DIV/0!</v>
      </c>
      <c r="G75" s="24">
        <f t="shared" si="8"/>
        <v>0</v>
      </c>
      <c r="H75" s="24">
        <f t="shared" si="9"/>
        <v>0</v>
      </c>
    </row>
    <row r="76" spans="1:8" x14ac:dyDescent="0.3">
      <c r="A76" s="24">
        <f t="shared" si="10"/>
        <v>20</v>
      </c>
      <c r="B76" s="160"/>
      <c r="C76" s="60"/>
      <c r="D76" s="60"/>
      <c r="E76" s="24"/>
      <c r="F76" s="28" t="e">
        <f t="shared" si="11"/>
        <v>#DIV/0!</v>
      </c>
      <c r="G76" s="24">
        <f t="shared" si="8"/>
        <v>0</v>
      </c>
      <c r="H76" s="24">
        <f t="shared" si="9"/>
        <v>0</v>
      </c>
    </row>
    <row r="77" spans="1:8" x14ac:dyDescent="0.3">
      <c r="A77" s="32" t="s">
        <v>53</v>
      </c>
      <c r="B77" s="32"/>
      <c r="C77" s="32">
        <v>0</v>
      </c>
      <c r="D77" s="32">
        <v>0</v>
      </c>
      <c r="E77" s="32">
        <v>0</v>
      </c>
      <c r="F77" s="32">
        <v>0</v>
      </c>
      <c r="G77" s="32">
        <f t="shared" si="8"/>
        <v>0</v>
      </c>
      <c r="H77" s="32">
        <f t="shared" si="9"/>
        <v>0</v>
      </c>
    </row>
    <row r="78" spans="1:8" x14ac:dyDescent="0.3">
      <c r="A78" s="24" t="s">
        <v>285</v>
      </c>
      <c r="B78" s="24"/>
      <c r="C78" s="24"/>
      <c r="D78" s="24">
        <f>SUM(D56:D77)</f>
        <v>18.515000000000001</v>
      </c>
      <c r="E78" s="24">
        <f>SUM(E56:E77)</f>
        <v>0.40000000000000013</v>
      </c>
      <c r="F78" s="28">
        <f>E78/D78</f>
        <v>2.1604104779908189E-2</v>
      </c>
      <c r="G78" s="24">
        <f t="shared" si="8"/>
        <v>18.715</v>
      </c>
      <c r="H78" s="24">
        <f>SUM(H56:H77)</f>
        <v>0.20000000000000007</v>
      </c>
    </row>
    <row r="81" spans="1:8" x14ac:dyDescent="0.3">
      <c r="A81" s="3"/>
      <c r="B81" s="154" t="s">
        <v>299</v>
      </c>
      <c r="C81" s="154" t="s">
        <v>298</v>
      </c>
      <c r="D81" s="162" t="s">
        <v>297</v>
      </c>
      <c r="E81" s="161" t="s">
        <v>296</v>
      </c>
      <c r="F81" s="3" t="s">
        <v>295</v>
      </c>
      <c r="G81" s="3" t="s">
        <v>294</v>
      </c>
      <c r="H81" s="3" t="s">
        <v>293</v>
      </c>
    </row>
    <row r="82" spans="1:8" x14ac:dyDescent="0.3">
      <c r="A82" s="32" t="s">
        <v>54</v>
      </c>
      <c r="B82" s="163"/>
      <c r="C82" s="155">
        <v>0</v>
      </c>
      <c r="D82" s="155">
        <v>0</v>
      </c>
      <c r="E82" s="32">
        <v>0</v>
      </c>
      <c r="F82" s="32">
        <v>0</v>
      </c>
      <c r="G82" s="32">
        <f t="shared" ref="G82:G98" si="12">D82+E82/2</f>
        <v>0</v>
      </c>
      <c r="H82" s="32">
        <f t="shared" ref="H82:H97" si="13">E82/2</f>
        <v>0</v>
      </c>
    </row>
    <row r="83" spans="1:8" x14ac:dyDescent="0.3">
      <c r="A83" s="24">
        <f t="shared" ref="A83:A96" si="14">ROW()-82</f>
        <v>1</v>
      </c>
      <c r="B83" s="160">
        <v>45520.877083333333</v>
      </c>
      <c r="C83" s="60" t="s">
        <v>319</v>
      </c>
      <c r="D83" s="60">
        <v>2.1549999999999998</v>
      </c>
      <c r="E83" s="24">
        <v>0.31</v>
      </c>
      <c r="F83" s="28">
        <f t="shared" ref="F83:F96" si="15">E83/D83</f>
        <v>0.14385150812064967</v>
      </c>
      <c r="G83" s="24">
        <f t="shared" si="12"/>
        <v>2.3099999999999996</v>
      </c>
      <c r="H83" s="24">
        <f t="shared" si="13"/>
        <v>0.155</v>
      </c>
    </row>
    <row r="84" spans="1:8" x14ac:dyDescent="0.3">
      <c r="A84" s="24">
        <f t="shared" si="14"/>
        <v>2</v>
      </c>
      <c r="B84" s="160">
        <v>45520.871527777781</v>
      </c>
      <c r="C84" s="60" t="s">
        <v>318</v>
      </c>
      <c r="D84" s="60">
        <v>1.1100000000000001</v>
      </c>
      <c r="E84" s="24">
        <v>0.15</v>
      </c>
      <c r="F84" s="28">
        <f t="shared" si="15"/>
        <v>0.13513513513513511</v>
      </c>
      <c r="G84" s="24">
        <f t="shared" si="12"/>
        <v>1.1850000000000001</v>
      </c>
      <c r="H84" s="24">
        <f t="shared" si="13"/>
        <v>7.4999999999999997E-2</v>
      </c>
    </row>
    <row r="85" spans="1:8" x14ac:dyDescent="0.3">
      <c r="A85" s="24">
        <f t="shared" si="14"/>
        <v>3</v>
      </c>
      <c r="B85" s="160">
        <v>45520.879166666666</v>
      </c>
      <c r="C85" s="60" t="s">
        <v>317</v>
      </c>
      <c r="D85" s="60">
        <v>1.07</v>
      </c>
      <c r="E85" s="24">
        <v>0.06</v>
      </c>
      <c r="F85" s="28">
        <f t="shared" si="15"/>
        <v>5.6074766355140179E-2</v>
      </c>
      <c r="G85" s="24">
        <f t="shared" si="12"/>
        <v>1.1000000000000001</v>
      </c>
      <c r="H85" s="24">
        <f t="shared" si="13"/>
        <v>0.03</v>
      </c>
    </row>
    <row r="86" spans="1:8" x14ac:dyDescent="0.3">
      <c r="A86" s="24">
        <f t="shared" si="14"/>
        <v>4</v>
      </c>
      <c r="B86" s="160">
        <v>45520.893750000003</v>
      </c>
      <c r="C86" s="60" t="s">
        <v>316</v>
      </c>
      <c r="D86" s="60">
        <v>1.05</v>
      </c>
      <c r="E86" s="24">
        <v>0.15</v>
      </c>
      <c r="F86" s="28">
        <f t="shared" si="15"/>
        <v>0.14285714285714285</v>
      </c>
      <c r="G86" s="24">
        <f t="shared" si="12"/>
        <v>1.125</v>
      </c>
      <c r="H86" s="24">
        <f t="shared" si="13"/>
        <v>7.4999999999999997E-2</v>
      </c>
    </row>
    <row r="87" spans="1:8" x14ac:dyDescent="0.3">
      <c r="A87" s="24">
        <f t="shared" si="14"/>
        <v>5</v>
      </c>
      <c r="B87" s="160">
        <v>45520.863194444442</v>
      </c>
      <c r="C87" s="60" t="s">
        <v>315</v>
      </c>
      <c r="D87" s="60">
        <v>1.07</v>
      </c>
      <c r="E87" s="24">
        <v>0.14000000000000001</v>
      </c>
      <c r="F87" s="28">
        <f t="shared" si="15"/>
        <v>0.13084112149532712</v>
      </c>
      <c r="G87" s="24">
        <f t="shared" si="12"/>
        <v>1.1400000000000001</v>
      </c>
      <c r="H87" s="24">
        <f t="shared" si="13"/>
        <v>7.0000000000000007E-2</v>
      </c>
    </row>
    <row r="88" spans="1:8" x14ac:dyDescent="0.3">
      <c r="A88" s="24">
        <f t="shared" si="14"/>
        <v>6</v>
      </c>
      <c r="B88" s="160">
        <v>45520.90625</v>
      </c>
      <c r="C88" s="60" t="s">
        <v>314</v>
      </c>
      <c r="D88" s="60">
        <v>2.31</v>
      </c>
      <c r="E88" s="24">
        <v>-2.31</v>
      </c>
      <c r="F88" s="28">
        <f t="shared" si="15"/>
        <v>-1</v>
      </c>
      <c r="G88" s="24">
        <f t="shared" si="12"/>
        <v>1.155</v>
      </c>
      <c r="H88" s="24">
        <f t="shared" si="13"/>
        <v>-1.155</v>
      </c>
    </row>
    <row r="89" spans="1:8" x14ac:dyDescent="0.3">
      <c r="A89" s="24">
        <f t="shared" si="14"/>
        <v>7</v>
      </c>
      <c r="B89" s="160">
        <v>45520.896527777775</v>
      </c>
      <c r="C89" s="60" t="s">
        <v>313</v>
      </c>
      <c r="D89" s="60">
        <v>1.02</v>
      </c>
      <c r="E89" s="24">
        <v>-0.01</v>
      </c>
      <c r="F89" s="28">
        <f t="shared" si="15"/>
        <v>-9.8039215686274508E-3</v>
      </c>
      <c r="G89" s="24">
        <f t="shared" si="12"/>
        <v>1.0150000000000001</v>
      </c>
      <c r="H89" s="24">
        <f t="shared" si="13"/>
        <v>-5.0000000000000001E-3</v>
      </c>
    </row>
    <row r="90" spans="1:8" x14ac:dyDescent="0.3">
      <c r="A90" s="24">
        <f t="shared" si="14"/>
        <v>8</v>
      </c>
      <c r="B90" s="160">
        <v>45520.897916666669</v>
      </c>
      <c r="C90" s="60" t="s">
        <v>312</v>
      </c>
      <c r="D90" s="60">
        <v>1.0249999999999999</v>
      </c>
      <c r="E90" s="24">
        <v>0.1</v>
      </c>
      <c r="F90" s="28">
        <f t="shared" si="15"/>
        <v>9.7560975609756115E-2</v>
      </c>
      <c r="G90" s="24">
        <f t="shared" si="12"/>
        <v>1.075</v>
      </c>
      <c r="H90" s="24">
        <f t="shared" si="13"/>
        <v>0.05</v>
      </c>
    </row>
    <row r="91" spans="1:8" x14ac:dyDescent="0.3">
      <c r="A91" s="24">
        <f t="shared" si="14"/>
        <v>9</v>
      </c>
      <c r="B91" s="160">
        <v>45520.885416666664</v>
      </c>
      <c r="C91" s="60" t="s">
        <v>311</v>
      </c>
      <c r="D91" s="60">
        <v>1.1000000000000001</v>
      </c>
      <c r="E91" s="24">
        <v>0.16</v>
      </c>
      <c r="F91" s="28">
        <f t="shared" si="15"/>
        <v>0.14545454545454545</v>
      </c>
      <c r="G91" s="24">
        <f t="shared" si="12"/>
        <v>1.1800000000000002</v>
      </c>
      <c r="H91" s="24">
        <f t="shared" si="13"/>
        <v>0.08</v>
      </c>
    </row>
    <row r="92" spans="1:8" x14ac:dyDescent="0.3">
      <c r="A92" s="24">
        <f t="shared" si="14"/>
        <v>10</v>
      </c>
      <c r="B92" s="160">
        <v>45520.875694444447</v>
      </c>
      <c r="C92" s="60" t="s">
        <v>310</v>
      </c>
      <c r="D92" s="60">
        <v>1.0900000000000001</v>
      </c>
      <c r="E92" s="24">
        <v>0.16</v>
      </c>
      <c r="F92" s="28">
        <f t="shared" si="15"/>
        <v>0.14678899082568805</v>
      </c>
      <c r="G92" s="24">
        <f t="shared" si="12"/>
        <v>1.1700000000000002</v>
      </c>
      <c r="H92" s="24">
        <f t="shared" si="13"/>
        <v>0.08</v>
      </c>
    </row>
    <row r="93" spans="1:8" x14ac:dyDescent="0.3">
      <c r="A93" s="24">
        <f t="shared" si="14"/>
        <v>11</v>
      </c>
      <c r="B93" s="160"/>
      <c r="C93" s="60"/>
      <c r="D93" s="60"/>
      <c r="E93" s="24"/>
      <c r="F93" s="28" t="e">
        <f t="shared" si="15"/>
        <v>#DIV/0!</v>
      </c>
      <c r="G93" s="24">
        <f t="shared" si="12"/>
        <v>0</v>
      </c>
      <c r="H93" s="24">
        <f t="shared" si="13"/>
        <v>0</v>
      </c>
    </row>
    <row r="94" spans="1:8" x14ac:dyDescent="0.3">
      <c r="A94" s="24">
        <f t="shared" si="14"/>
        <v>12</v>
      </c>
      <c r="B94" s="160"/>
      <c r="C94" s="60"/>
      <c r="D94" s="60"/>
      <c r="E94" s="24"/>
      <c r="F94" s="28" t="e">
        <f t="shared" si="15"/>
        <v>#DIV/0!</v>
      </c>
      <c r="G94" s="24">
        <f t="shared" si="12"/>
        <v>0</v>
      </c>
      <c r="H94" s="24">
        <f t="shared" si="13"/>
        <v>0</v>
      </c>
    </row>
    <row r="95" spans="1:8" x14ac:dyDescent="0.3">
      <c r="A95" s="24">
        <f t="shared" si="14"/>
        <v>13</v>
      </c>
      <c r="B95" s="160"/>
      <c r="C95" s="60"/>
      <c r="D95" s="60"/>
      <c r="E95" s="24"/>
      <c r="F95" s="28" t="e">
        <f t="shared" si="15"/>
        <v>#DIV/0!</v>
      </c>
      <c r="G95" s="24">
        <f t="shared" si="12"/>
        <v>0</v>
      </c>
      <c r="H95" s="24">
        <f t="shared" si="13"/>
        <v>0</v>
      </c>
    </row>
    <row r="96" spans="1:8" x14ac:dyDescent="0.3">
      <c r="A96" s="24">
        <f t="shared" si="14"/>
        <v>14</v>
      </c>
      <c r="B96" s="160"/>
      <c r="C96" s="60"/>
      <c r="D96" s="60"/>
      <c r="E96" s="24"/>
      <c r="F96" s="28" t="e">
        <f t="shared" si="15"/>
        <v>#DIV/0!</v>
      </c>
      <c r="G96" s="24">
        <f t="shared" si="12"/>
        <v>0</v>
      </c>
      <c r="H96" s="24">
        <f t="shared" si="13"/>
        <v>0</v>
      </c>
    </row>
    <row r="97" spans="1:8" x14ac:dyDescent="0.3">
      <c r="A97" s="32" t="s">
        <v>53</v>
      </c>
      <c r="B97" s="32"/>
      <c r="C97" s="32">
        <v>0</v>
      </c>
      <c r="D97" s="32">
        <v>0</v>
      </c>
      <c r="E97" s="32">
        <v>0</v>
      </c>
      <c r="F97" s="32">
        <v>0</v>
      </c>
      <c r="G97" s="32">
        <f t="shared" si="12"/>
        <v>0</v>
      </c>
      <c r="H97" s="32">
        <f t="shared" si="13"/>
        <v>0</v>
      </c>
    </row>
    <row r="98" spans="1:8" x14ac:dyDescent="0.3">
      <c r="A98" s="24" t="s">
        <v>285</v>
      </c>
      <c r="B98" s="24"/>
      <c r="C98" s="24"/>
      <c r="D98" s="24">
        <f>SUM(D82:D97)</f>
        <v>13</v>
      </c>
      <c r="E98" s="24">
        <f>SUM(E82:E97)</f>
        <v>-1.0900000000000001</v>
      </c>
      <c r="F98" s="28">
        <f>E98/D98</f>
        <v>-8.3846153846153848E-2</v>
      </c>
      <c r="G98" s="24">
        <f t="shared" si="12"/>
        <v>12.455</v>
      </c>
      <c r="H98" s="24">
        <f>SUM(H82:H97)</f>
        <v>-0.54500000000000004</v>
      </c>
    </row>
    <row r="101" spans="1:8" x14ac:dyDescent="0.3">
      <c r="A101" s="3"/>
      <c r="B101" s="154" t="s">
        <v>299</v>
      </c>
      <c r="C101" s="154" t="s">
        <v>298</v>
      </c>
      <c r="D101" s="162" t="s">
        <v>297</v>
      </c>
      <c r="E101" s="161" t="s">
        <v>296</v>
      </c>
      <c r="F101" s="3" t="s">
        <v>295</v>
      </c>
      <c r="G101" s="3" t="s">
        <v>294</v>
      </c>
      <c r="H101" s="3" t="s">
        <v>293</v>
      </c>
    </row>
    <row r="102" spans="1:8" x14ac:dyDescent="0.3">
      <c r="A102" s="32" t="s">
        <v>54</v>
      </c>
      <c r="B102" s="155"/>
      <c r="C102" s="155">
        <v>0</v>
      </c>
      <c r="D102" s="155">
        <v>0</v>
      </c>
      <c r="E102" s="32">
        <v>0</v>
      </c>
      <c r="F102" s="32">
        <v>0</v>
      </c>
      <c r="G102" s="32">
        <f t="shared" ref="G102:G114" si="16">D102+E102/2</f>
        <v>0</v>
      </c>
      <c r="H102" s="32">
        <f t="shared" ref="H102:H113" si="17">E102/2</f>
        <v>0</v>
      </c>
    </row>
    <row r="103" spans="1:8" x14ac:dyDescent="0.3">
      <c r="A103" s="24">
        <f t="shared" ref="A103:A112" si="18">ROW()-102</f>
        <v>1</v>
      </c>
      <c r="B103" s="160">
        <v>45521.418749999997</v>
      </c>
      <c r="C103" s="60" t="s">
        <v>309</v>
      </c>
      <c r="D103" s="60">
        <v>1</v>
      </c>
      <c r="E103" s="24">
        <v>0.14000000000000001</v>
      </c>
      <c r="F103" s="28">
        <f t="shared" ref="F103:F112" si="19">E103/D103</f>
        <v>0.14000000000000001</v>
      </c>
      <c r="G103" s="24">
        <f t="shared" si="16"/>
        <v>1.07</v>
      </c>
      <c r="H103" s="24">
        <f t="shared" si="17"/>
        <v>7.0000000000000007E-2</v>
      </c>
    </row>
    <row r="104" spans="1:8" x14ac:dyDescent="0.3">
      <c r="A104" s="24">
        <f t="shared" si="18"/>
        <v>2</v>
      </c>
      <c r="B104" s="160">
        <v>45521.421307870369</v>
      </c>
      <c r="C104" s="60" t="s">
        <v>308</v>
      </c>
      <c r="D104" s="60">
        <v>2</v>
      </c>
      <c r="E104" s="24">
        <v>0.08</v>
      </c>
      <c r="F104" s="28">
        <f t="shared" si="19"/>
        <v>0.04</v>
      </c>
      <c r="G104" s="24">
        <f t="shared" si="16"/>
        <v>2.04</v>
      </c>
      <c r="H104" s="24">
        <f t="shared" si="17"/>
        <v>0.04</v>
      </c>
    </row>
    <row r="105" spans="1:8" x14ac:dyDescent="0.3">
      <c r="A105" s="24">
        <f t="shared" si="18"/>
        <v>3</v>
      </c>
      <c r="B105" s="160">
        <v>45521.42527777778</v>
      </c>
      <c r="C105" s="60" t="s">
        <v>307</v>
      </c>
      <c r="D105" s="60">
        <v>1</v>
      </c>
      <c r="E105" s="24">
        <v>-0.02</v>
      </c>
      <c r="F105" s="28">
        <f t="shared" si="19"/>
        <v>-0.02</v>
      </c>
      <c r="G105" s="24">
        <f t="shared" si="16"/>
        <v>0.99</v>
      </c>
      <c r="H105" s="24">
        <f t="shared" si="17"/>
        <v>-0.01</v>
      </c>
    </row>
    <row r="106" spans="1:8" x14ac:dyDescent="0.3">
      <c r="A106" s="24">
        <f t="shared" si="18"/>
        <v>4</v>
      </c>
      <c r="B106" s="160">
        <v>45521.428842592592</v>
      </c>
      <c r="C106" s="60" t="s">
        <v>306</v>
      </c>
      <c r="D106" s="60">
        <v>2</v>
      </c>
      <c r="E106" s="24">
        <v>-0.23</v>
      </c>
      <c r="F106" s="28">
        <f t="shared" si="19"/>
        <v>-0.115</v>
      </c>
      <c r="G106" s="24">
        <f t="shared" si="16"/>
        <v>1.885</v>
      </c>
      <c r="H106" s="24">
        <f t="shared" si="17"/>
        <v>-0.115</v>
      </c>
    </row>
    <row r="107" spans="1:8" x14ac:dyDescent="0.3">
      <c r="A107" s="24">
        <f t="shared" si="18"/>
        <v>5</v>
      </c>
      <c r="B107" s="160">
        <v>45521.430775462963</v>
      </c>
      <c r="C107" s="60" t="s">
        <v>305</v>
      </c>
      <c r="D107" s="60">
        <v>1</v>
      </c>
      <c r="E107" s="24">
        <v>-0.12</v>
      </c>
      <c r="F107" s="28">
        <f t="shared" si="19"/>
        <v>-0.12</v>
      </c>
      <c r="G107" s="24">
        <f t="shared" si="16"/>
        <v>0.94</v>
      </c>
      <c r="H107" s="24">
        <f t="shared" si="17"/>
        <v>-0.06</v>
      </c>
    </row>
    <row r="108" spans="1:8" x14ac:dyDescent="0.3">
      <c r="A108" s="24">
        <f t="shared" si="18"/>
        <v>6</v>
      </c>
      <c r="B108" s="160">
        <v>45521.432372685187</v>
      </c>
      <c r="C108" s="60" t="s">
        <v>304</v>
      </c>
      <c r="D108" s="60">
        <v>1</v>
      </c>
      <c r="E108" s="24">
        <v>0.04</v>
      </c>
      <c r="F108" s="28">
        <f t="shared" si="19"/>
        <v>0.04</v>
      </c>
      <c r="G108" s="24">
        <f t="shared" si="16"/>
        <v>1.02</v>
      </c>
      <c r="H108" s="24">
        <f t="shared" si="17"/>
        <v>0.02</v>
      </c>
    </row>
    <row r="109" spans="1:8" x14ac:dyDescent="0.3">
      <c r="A109" s="24">
        <f t="shared" si="18"/>
        <v>7</v>
      </c>
      <c r="B109" s="160">
        <v>45521.433877314812</v>
      </c>
      <c r="C109" s="60" t="s">
        <v>303</v>
      </c>
      <c r="D109" s="60">
        <v>1</v>
      </c>
      <c r="E109" s="24">
        <v>0.04</v>
      </c>
      <c r="F109" s="28">
        <f t="shared" si="19"/>
        <v>0.04</v>
      </c>
      <c r="G109" s="24">
        <f t="shared" si="16"/>
        <v>1.02</v>
      </c>
      <c r="H109" s="24">
        <f t="shared" si="17"/>
        <v>0.02</v>
      </c>
    </row>
    <row r="110" spans="1:8" x14ac:dyDescent="0.3">
      <c r="A110" s="24">
        <f t="shared" si="18"/>
        <v>8</v>
      </c>
      <c r="B110" s="160">
        <v>45521.435995370368</v>
      </c>
      <c r="C110" s="60" t="s">
        <v>302</v>
      </c>
      <c r="D110" s="60">
        <v>1</v>
      </c>
      <c r="E110" s="24">
        <v>0.05</v>
      </c>
      <c r="F110" s="28">
        <f t="shared" si="19"/>
        <v>0.05</v>
      </c>
      <c r="G110" s="24">
        <f t="shared" si="16"/>
        <v>1.0249999999999999</v>
      </c>
      <c r="H110" s="24">
        <f t="shared" si="17"/>
        <v>2.5000000000000001E-2</v>
      </c>
    </row>
    <row r="111" spans="1:8" x14ac:dyDescent="0.3">
      <c r="A111" s="24">
        <f t="shared" si="18"/>
        <v>9</v>
      </c>
      <c r="B111" s="160">
        <v>45521.439398148148</v>
      </c>
      <c r="C111" s="60" t="s">
        <v>301</v>
      </c>
      <c r="D111" s="60">
        <v>1</v>
      </c>
      <c r="E111" s="24">
        <v>7.0000000000000007E-2</v>
      </c>
      <c r="F111" s="28">
        <f t="shared" si="19"/>
        <v>7.0000000000000007E-2</v>
      </c>
      <c r="G111" s="24">
        <f t="shared" si="16"/>
        <v>1.0349999999999999</v>
      </c>
      <c r="H111" s="24">
        <f t="shared" si="17"/>
        <v>3.5000000000000003E-2</v>
      </c>
    </row>
    <row r="112" spans="1:8" x14ac:dyDescent="0.3">
      <c r="A112" s="24">
        <f t="shared" si="18"/>
        <v>10</v>
      </c>
      <c r="B112" s="160">
        <v>45521.441481481481</v>
      </c>
      <c r="C112" s="60" t="s">
        <v>300</v>
      </c>
      <c r="D112" s="60">
        <v>1</v>
      </c>
      <c r="E112" s="24">
        <v>0.04</v>
      </c>
      <c r="F112" s="28">
        <f t="shared" si="19"/>
        <v>0.04</v>
      </c>
      <c r="G112" s="24">
        <f t="shared" si="16"/>
        <v>1.02</v>
      </c>
      <c r="H112" s="24">
        <f t="shared" si="17"/>
        <v>0.02</v>
      </c>
    </row>
    <row r="113" spans="1:8" x14ac:dyDescent="0.3">
      <c r="A113" s="32" t="s">
        <v>53</v>
      </c>
      <c r="B113" s="32"/>
      <c r="C113" s="32">
        <v>0</v>
      </c>
      <c r="D113" s="32">
        <v>0</v>
      </c>
      <c r="E113" s="32">
        <v>0</v>
      </c>
      <c r="F113" s="32">
        <v>0</v>
      </c>
      <c r="G113" s="32">
        <f t="shared" si="16"/>
        <v>0</v>
      </c>
      <c r="H113" s="32">
        <f t="shared" si="17"/>
        <v>0</v>
      </c>
    </row>
    <row r="114" spans="1:8" x14ac:dyDescent="0.3">
      <c r="A114" s="24" t="s">
        <v>285</v>
      </c>
      <c r="B114" s="24"/>
      <c r="C114" s="24"/>
      <c r="D114" s="24">
        <f>SUM(D102:D113)</f>
        <v>12</v>
      </c>
      <c r="E114" s="24">
        <f>SUM(E102:E113)</f>
        <v>9.0000000000000052E-2</v>
      </c>
      <c r="F114" s="28">
        <f>E114/D114</f>
        <v>7.5000000000000041E-3</v>
      </c>
      <c r="G114" s="24">
        <f t="shared" si="16"/>
        <v>12.045</v>
      </c>
      <c r="H114" s="24">
        <f>SUM(H102:H113)</f>
        <v>4.5000000000000026E-2</v>
      </c>
    </row>
    <row r="117" spans="1:8" x14ac:dyDescent="0.3">
      <c r="A117" s="3"/>
      <c r="B117" s="154" t="s">
        <v>299</v>
      </c>
      <c r="C117" s="154" t="s">
        <v>298</v>
      </c>
      <c r="D117" s="162" t="s">
        <v>297</v>
      </c>
      <c r="E117" s="161" t="s">
        <v>296</v>
      </c>
      <c r="F117" s="3" t="s">
        <v>295</v>
      </c>
      <c r="G117" s="3" t="s">
        <v>294</v>
      </c>
      <c r="H117" s="3" t="s">
        <v>293</v>
      </c>
    </row>
    <row r="118" spans="1:8" x14ac:dyDescent="0.3">
      <c r="A118" s="32" t="s">
        <v>54</v>
      </c>
      <c r="B118" s="155"/>
      <c r="C118" s="155">
        <v>0</v>
      </c>
      <c r="D118" s="155">
        <v>0</v>
      </c>
      <c r="E118" s="32">
        <v>0</v>
      </c>
      <c r="F118" s="32">
        <v>0</v>
      </c>
      <c r="G118" s="32">
        <f t="shared" ref="G118:G140" si="20">D118+E118/2</f>
        <v>0</v>
      </c>
      <c r="H118" s="32">
        <f t="shared" ref="H118:H139" si="21">E118/2</f>
        <v>0</v>
      </c>
    </row>
    <row r="119" spans="1:8" x14ac:dyDescent="0.3">
      <c r="A119" s="24">
        <f t="shared" ref="A119:A138" si="22">ROW()-82</f>
        <v>37</v>
      </c>
      <c r="B119" s="160" t="s">
        <v>292</v>
      </c>
      <c r="C119" s="60"/>
      <c r="D119" s="60"/>
      <c r="E119" s="24"/>
      <c r="F119" s="28" t="e">
        <f t="shared" ref="F119:F138" si="23">E119/D119</f>
        <v>#DIV/0!</v>
      </c>
      <c r="G119" s="24">
        <f t="shared" si="20"/>
        <v>0</v>
      </c>
      <c r="H119" s="24">
        <f t="shared" si="21"/>
        <v>0</v>
      </c>
    </row>
    <row r="120" spans="1:8" x14ac:dyDescent="0.3">
      <c r="A120" s="24">
        <f t="shared" si="22"/>
        <v>38</v>
      </c>
      <c r="B120" s="60"/>
      <c r="C120" s="60"/>
      <c r="D120" s="60"/>
      <c r="E120" s="24"/>
      <c r="F120" s="28" t="e">
        <f t="shared" si="23"/>
        <v>#DIV/0!</v>
      </c>
      <c r="G120" s="24">
        <f t="shared" si="20"/>
        <v>0</v>
      </c>
      <c r="H120" s="24">
        <f t="shared" si="21"/>
        <v>0</v>
      </c>
    </row>
    <row r="121" spans="1:8" x14ac:dyDescent="0.3">
      <c r="A121" s="24">
        <f t="shared" si="22"/>
        <v>39</v>
      </c>
      <c r="B121" s="60"/>
      <c r="C121" s="60"/>
      <c r="D121" s="60"/>
      <c r="E121" s="24"/>
      <c r="F121" s="28" t="e">
        <f t="shared" si="23"/>
        <v>#DIV/0!</v>
      </c>
      <c r="G121" s="24">
        <f t="shared" si="20"/>
        <v>0</v>
      </c>
      <c r="H121" s="24">
        <f t="shared" si="21"/>
        <v>0</v>
      </c>
    </row>
    <row r="122" spans="1:8" x14ac:dyDescent="0.3">
      <c r="A122" s="24">
        <f t="shared" si="22"/>
        <v>40</v>
      </c>
      <c r="B122" s="60"/>
      <c r="C122" s="60"/>
      <c r="D122" s="60"/>
      <c r="E122" s="24"/>
      <c r="F122" s="28" t="e">
        <f t="shared" si="23"/>
        <v>#DIV/0!</v>
      </c>
      <c r="G122" s="24">
        <f t="shared" si="20"/>
        <v>0</v>
      </c>
      <c r="H122" s="24">
        <f t="shared" si="21"/>
        <v>0</v>
      </c>
    </row>
    <row r="123" spans="1:8" x14ac:dyDescent="0.3">
      <c r="A123" s="24">
        <f t="shared" si="22"/>
        <v>41</v>
      </c>
      <c r="B123" s="60"/>
      <c r="C123" s="60"/>
      <c r="D123" s="60"/>
      <c r="E123" s="24"/>
      <c r="F123" s="28" t="e">
        <f t="shared" si="23"/>
        <v>#DIV/0!</v>
      </c>
      <c r="G123" s="24">
        <f t="shared" si="20"/>
        <v>0</v>
      </c>
      <c r="H123" s="24">
        <f t="shared" si="21"/>
        <v>0</v>
      </c>
    </row>
    <row r="124" spans="1:8" x14ac:dyDescent="0.3">
      <c r="A124" s="24">
        <f t="shared" si="22"/>
        <v>42</v>
      </c>
      <c r="B124" s="60"/>
      <c r="C124" s="60"/>
      <c r="D124" s="60"/>
      <c r="E124" s="24"/>
      <c r="F124" s="28" t="e">
        <f t="shared" si="23"/>
        <v>#DIV/0!</v>
      </c>
      <c r="G124" s="24">
        <f t="shared" si="20"/>
        <v>0</v>
      </c>
      <c r="H124" s="24">
        <f t="shared" si="21"/>
        <v>0</v>
      </c>
    </row>
    <row r="125" spans="1:8" x14ac:dyDescent="0.3">
      <c r="A125" s="24">
        <f t="shared" si="22"/>
        <v>43</v>
      </c>
      <c r="B125" s="60"/>
      <c r="C125" s="60"/>
      <c r="D125" s="60"/>
      <c r="E125" s="24"/>
      <c r="F125" s="28" t="e">
        <f t="shared" si="23"/>
        <v>#DIV/0!</v>
      </c>
      <c r="G125" s="24">
        <f t="shared" si="20"/>
        <v>0</v>
      </c>
      <c r="H125" s="24">
        <f t="shared" si="21"/>
        <v>0</v>
      </c>
    </row>
    <row r="126" spans="1:8" x14ac:dyDescent="0.3">
      <c r="A126" s="24">
        <f t="shared" si="22"/>
        <v>44</v>
      </c>
      <c r="B126" s="160"/>
      <c r="C126" s="60"/>
      <c r="D126" s="60"/>
      <c r="E126" s="24"/>
      <c r="F126" s="28" t="e">
        <f t="shared" si="23"/>
        <v>#DIV/0!</v>
      </c>
      <c r="G126" s="24">
        <f t="shared" si="20"/>
        <v>0</v>
      </c>
      <c r="H126" s="24">
        <f t="shared" si="21"/>
        <v>0</v>
      </c>
    </row>
    <row r="127" spans="1:8" x14ac:dyDescent="0.3">
      <c r="A127" s="24">
        <f t="shared" si="22"/>
        <v>45</v>
      </c>
      <c r="B127" s="60"/>
      <c r="C127" s="60"/>
      <c r="D127" s="60"/>
      <c r="E127" s="24"/>
      <c r="F127" s="28" t="e">
        <f t="shared" si="23"/>
        <v>#DIV/0!</v>
      </c>
      <c r="G127" s="24">
        <f t="shared" si="20"/>
        <v>0</v>
      </c>
      <c r="H127" s="24">
        <f t="shared" si="21"/>
        <v>0</v>
      </c>
    </row>
    <row r="128" spans="1:8" x14ac:dyDescent="0.3">
      <c r="A128" s="24">
        <f t="shared" si="22"/>
        <v>46</v>
      </c>
      <c r="B128" s="60"/>
      <c r="C128" s="60"/>
      <c r="D128" s="60"/>
      <c r="E128" s="24"/>
      <c r="F128" s="28" t="e">
        <f t="shared" si="23"/>
        <v>#DIV/0!</v>
      </c>
      <c r="G128" s="24">
        <f t="shared" si="20"/>
        <v>0</v>
      </c>
      <c r="H128" s="24">
        <f t="shared" si="21"/>
        <v>0</v>
      </c>
    </row>
    <row r="129" spans="1:8" x14ac:dyDescent="0.3">
      <c r="A129" s="24">
        <f t="shared" si="22"/>
        <v>47</v>
      </c>
      <c r="B129" s="160"/>
      <c r="C129" s="60"/>
      <c r="D129" s="60"/>
      <c r="E129" s="24"/>
      <c r="F129" s="28" t="e">
        <f t="shared" si="23"/>
        <v>#DIV/0!</v>
      </c>
      <c r="G129" s="24">
        <f t="shared" si="20"/>
        <v>0</v>
      </c>
      <c r="H129" s="24">
        <f t="shared" si="21"/>
        <v>0</v>
      </c>
    </row>
    <row r="130" spans="1:8" x14ac:dyDescent="0.3">
      <c r="A130" s="24">
        <f t="shared" si="22"/>
        <v>48</v>
      </c>
      <c r="B130" s="160"/>
      <c r="C130" s="60"/>
      <c r="D130" s="60"/>
      <c r="E130" s="24"/>
      <c r="F130" s="28" t="e">
        <f t="shared" si="23"/>
        <v>#DIV/0!</v>
      </c>
      <c r="G130" s="24">
        <f t="shared" si="20"/>
        <v>0</v>
      </c>
      <c r="H130" s="24">
        <f t="shared" si="21"/>
        <v>0</v>
      </c>
    </row>
    <row r="131" spans="1:8" x14ac:dyDescent="0.3">
      <c r="A131" s="24">
        <f t="shared" si="22"/>
        <v>49</v>
      </c>
      <c r="B131" s="160"/>
      <c r="C131" s="60"/>
      <c r="D131" s="60"/>
      <c r="E131" s="24"/>
      <c r="F131" s="28" t="e">
        <f t="shared" si="23"/>
        <v>#DIV/0!</v>
      </c>
      <c r="G131" s="24">
        <f t="shared" si="20"/>
        <v>0</v>
      </c>
      <c r="H131" s="24">
        <f t="shared" si="21"/>
        <v>0</v>
      </c>
    </row>
    <row r="132" spans="1:8" x14ac:dyDescent="0.3">
      <c r="A132" s="24">
        <f t="shared" si="22"/>
        <v>50</v>
      </c>
      <c r="B132" s="160"/>
      <c r="C132" s="60"/>
      <c r="D132" s="60"/>
      <c r="E132" s="24"/>
      <c r="F132" s="28" t="e">
        <f t="shared" si="23"/>
        <v>#DIV/0!</v>
      </c>
      <c r="G132" s="24">
        <f t="shared" si="20"/>
        <v>0</v>
      </c>
      <c r="H132" s="24">
        <f t="shared" si="21"/>
        <v>0</v>
      </c>
    </row>
    <row r="133" spans="1:8" x14ac:dyDescent="0.3">
      <c r="A133" s="24">
        <f t="shared" si="22"/>
        <v>51</v>
      </c>
      <c r="B133" s="160"/>
      <c r="C133" s="60"/>
      <c r="D133" s="60"/>
      <c r="E133" s="24"/>
      <c r="F133" s="28" t="e">
        <f t="shared" si="23"/>
        <v>#DIV/0!</v>
      </c>
      <c r="G133" s="24">
        <f t="shared" si="20"/>
        <v>0</v>
      </c>
      <c r="H133" s="24">
        <f t="shared" si="21"/>
        <v>0</v>
      </c>
    </row>
    <row r="134" spans="1:8" x14ac:dyDescent="0.3">
      <c r="A134" s="24">
        <f t="shared" si="22"/>
        <v>52</v>
      </c>
      <c r="B134" s="160"/>
      <c r="C134" s="60"/>
      <c r="D134" s="60"/>
      <c r="E134" s="24"/>
      <c r="F134" s="28" t="e">
        <f t="shared" si="23"/>
        <v>#DIV/0!</v>
      </c>
      <c r="G134" s="24">
        <f t="shared" si="20"/>
        <v>0</v>
      </c>
      <c r="H134" s="24">
        <f t="shared" si="21"/>
        <v>0</v>
      </c>
    </row>
    <row r="135" spans="1:8" x14ac:dyDescent="0.3">
      <c r="A135" s="24">
        <f t="shared" si="22"/>
        <v>53</v>
      </c>
      <c r="B135" s="160"/>
      <c r="C135" s="60"/>
      <c r="D135" s="60"/>
      <c r="E135" s="24"/>
      <c r="F135" s="28" t="e">
        <f t="shared" si="23"/>
        <v>#DIV/0!</v>
      </c>
      <c r="G135" s="24">
        <f t="shared" si="20"/>
        <v>0</v>
      </c>
      <c r="H135" s="24">
        <f t="shared" si="21"/>
        <v>0</v>
      </c>
    </row>
    <row r="136" spans="1:8" x14ac:dyDescent="0.3">
      <c r="A136" s="24">
        <f t="shared" si="22"/>
        <v>54</v>
      </c>
      <c r="B136" s="160"/>
      <c r="C136" s="60"/>
      <c r="D136" s="60"/>
      <c r="E136" s="24"/>
      <c r="F136" s="28" t="e">
        <f t="shared" si="23"/>
        <v>#DIV/0!</v>
      </c>
      <c r="G136" s="24">
        <f t="shared" si="20"/>
        <v>0</v>
      </c>
      <c r="H136" s="24">
        <f t="shared" si="21"/>
        <v>0</v>
      </c>
    </row>
    <row r="137" spans="1:8" x14ac:dyDescent="0.3">
      <c r="A137" s="24">
        <f t="shared" si="22"/>
        <v>55</v>
      </c>
      <c r="B137" s="160"/>
      <c r="C137" s="60"/>
      <c r="D137" s="60"/>
      <c r="E137" s="24"/>
      <c r="F137" s="28" t="e">
        <f t="shared" si="23"/>
        <v>#DIV/0!</v>
      </c>
      <c r="G137" s="24">
        <f t="shared" si="20"/>
        <v>0</v>
      </c>
      <c r="H137" s="24">
        <f t="shared" si="21"/>
        <v>0</v>
      </c>
    </row>
    <row r="138" spans="1:8" x14ac:dyDescent="0.3">
      <c r="A138" s="24">
        <f t="shared" si="22"/>
        <v>56</v>
      </c>
      <c r="B138" s="160"/>
      <c r="C138" s="60"/>
      <c r="D138" s="60"/>
      <c r="E138" s="24"/>
      <c r="F138" s="28" t="e">
        <f t="shared" si="23"/>
        <v>#DIV/0!</v>
      </c>
      <c r="G138" s="24">
        <f t="shared" si="20"/>
        <v>0</v>
      </c>
      <c r="H138" s="24">
        <f t="shared" si="21"/>
        <v>0</v>
      </c>
    </row>
    <row r="139" spans="1:8" x14ac:dyDescent="0.3">
      <c r="A139" s="32" t="s">
        <v>53</v>
      </c>
      <c r="B139" s="32"/>
      <c r="C139" s="32">
        <v>0</v>
      </c>
      <c r="D139" s="32">
        <v>0</v>
      </c>
      <c r="E139" s="32">
        <v>0</v>
      </c>
      <c r="F139" s="32">
        <v>0</v>
      </c>
      <c r="G139" s="32">
        <f t="shared" si="20"/>
        <v>0</v>
      </c>
      <c r="H139" s="32">
        <f t="shared" si="21"/>
        <v>0</v>
      </c>
    </row>
    <row r="140" spans="1:8" x14ac:dyDescent="0.3">
      <c r="A140" s="24" t="s">
        <v>285</v>
      </c>
      <c r="B140" s="24"/>
      <c r="C140" s="24"/>
      <c r="D140" s="24">
        <f>SUM(D118:D139)</f>
        <v>0</v>
      </c>
      <c r="E140" s="24">
        <f>SUM(E118:E139)</f>
        <v>0</v>
      </c>
      <c r="F140" s="28" t="e">
        <f>E140/D140</f>
        <v>#DIV/0!</v>
      </c>
      <c r="G140" s="24">
        <f t="shared" si="20"/>
        <v>0</v>
      </c>
      <c r="H140" s="24">
        <f>SUM(H118:H139)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F823-32D5-4C2A-89BB-2EAF8A4FA5E4}">
  <dimension ref="C5:S22"/>
  <sheetViews>
    <sheetView topLeftCell="D10" zoomScaleNormal="100" workbookViewId="0">
      <selection activeCell="J23" sqref="J23"/>
    </sheetView>
  </sheetViews>
  <sheetFormatPr defaultRowHeight="14" x14ac:dyDescent="0.3"/>
  <cols>
    <col min="1" max="2" width="8.6640625" style="1"/>
    <col min="3" max="3" width="11.33203125" style="1" bestFit="1" customWidth="1"/>
    <col min="4" max="13" width="8.6640625" style="1"/>
    <col min="14" max="14" width="10.4140625" style="1" bestFit="1" customWidth="1"/>
    <col min="15" max="16384" width="8.6640625" style="1"/>
  </cols>
  <sheetData>
    <row r="5" spans="3:19" x14ac:dyDescent="0.3">
      <c r="C5" s="164" t="s">
        <v>174</v>
      </c>
      <c r="D5" s="164"/>
      <c r="E5" s="164"/>
      <c r="F5" s="164"/>
      <c r="G5" s="164"/>
    </row>
    <row r="6" spans="3:19" ht="46" customHeight="1" x14ac:dyDescent="0.3">
      <c r="M6" s="175" t="s">
        <v>173</v>
      </c>
      <c r="N6" s="164"/>
      <c r="O6" s="164"/>
      <c r="P6" s="164"/>
    </row>
    <row r="8" spans="3:19" x14ac:dyDescent="0.3">
      <c r="C8" s="24" t="s">
        <v>172</v>
      </c>
      <c r="D8" s="24">
        <v>3.843</v>
      </c>
      <c r="K8" s="166">
        <v>0.193</v>
      </c>
      <c r="N8" s="102" t="s">
        <v>172</v>
      </c>
      <c r="O8" s="93">
        <v>3.843</v>
      </c>
    </row>
    <row r="9" spans="3:19" ht="28" x14ac:dyDescent="0.3">
      <c r="C9" s="31" t="s">
        <v>170</v>
      </c>
      <c r="D9" s="99">
        <v>3.54</v>
      </c>
      <c r="E9" s="94"/>
      <c r="F9" s="101" t="s">
        <v>171</v>
      </c>
      <c r="G9" s="24">
        <v>197.23</v>
      </c>
      <c r="K9" s="167"/>
      <c r="P9" s="171">
        <v>0.114</v>
      </c>
      <c r="Q9" s="171">
        <v>7.8E-2</v>
      </c>
      <c r="R9" s="100" t="s">
        <v>170</v>
      </c>
      <c r="S9" s="99">
        <v>3.54</v>
      </c>
    </row>
    <row r="10" spans="3:19" x14ac:dyDescent="0.3">
      <c r="C10" s="24"/>
      <c r="D10" s="98"/>
      <c r="E10" s="94"/>
      <c r="F10" s="98"/>
      <c r="G10" s="24"/>
      <c r="K10" s="167"/>
      <c r="L10" s="168">
        <v>0.09</v>
      </c>
      <c r="M10" s="173">
        <v>5.2999999999999999E-2</v>
      </c>
      <c r="N10" s="60" t="s">
        <v>72</v>
      </c>
      <c r="O10" s="96">
        <v>3.4460000000000002</v>
      </c>
      <c r="P10" s="172"/>
      <c r="Q10" s="172"/>
    </row>
    <row r="11" spans="3:19" x14ac:dyDescent="0.3">
      <c r="C11" s="24" t="s">
        <v>72</v>
      </c>
      <c r="D11" s="97">
        <v>3.4460000000000002</v>
      </c>
      <c r="E11" s="94"/>
      <c r="F11" s="98"/>
      <c r="G11" s="24"/>
      <c r="K11" s="167"/>
      <c r="L11" s="169"/>
      <c r="M11" s="174"/>
      <c r="P11" s="172"/>
      <c r="Q11" s="172"/>
    </row>
    <row r="12" spans="3:19" x14ac:dyDescent="0.3">
      <c r="C12" s="24"/>
      <c r="D12" s="98"/>
      <c r="E12" s="94"/>
      <c r="F12" s="98"/>
      <c r="G12" s="24"/>
      <c r="K12" s="167"/>
      <c r="L12" s="169"/>
      <c r="M12" s="174"/>
      <c r="P12" s="172"/>
      <c r="Q12" s="172"/>
    </row>
    <row r="13" spans="3:19" ht="28" x14ac:dyDescent="0.3">
      <c r="C13" s="24" t="s">
        <v>169</v>
      </c>
      <c r="D13" s="97">
        <v>3.2629999999999999</v>
      </c>
      <c r="E13" s="94"/>
      <c r="F13" s="31" t="s">
        <v>168</v>
      </c>
      <c r="G13" s="24">
        <v>196.31</v>
      </c>
      <c r="K13" s="167"/>
      <c r="L13" s="169"/>
      <c r="M13" s="174"/>
      <c r="N13" s="60" t="s">
        <v>167</v>
      </c>
      <c r="O13" s="96">
        <v>3.2629999999999999</v>
      </c>
      <c r="P13" s="172"/>
      <c r="Q13" s="172"/>
    </row>
    <row r="14" spans="3:19" x14ac:dyDescent="0.3">
      <c r="C14" s="24" t="s">
        <v>165</v>
      </c>
      <c r="D14" s="95">
        <v>3.1360000000000001</v>
      </c>
      <c r="E14" s="94"/>
      <c r="F14" s="24" t="s">
        <v>166</v>
      </c>
      <c r="G14" s="28">
        <f>(G9-G13)/G9</f>
        <v>4.66460477614961E-3</v>
      </c>
      <c r="K14" s="167"/>
      <c r="L14" s="170"/>
      <c r="N14" s="60" t="s">
        <v>165</v>
      </c>
      <c r="O14" s="92">
        <v>3.1360000000000001</v>
      </c>
      <c r="P14" s="172"/>
    </row>
    <row r="15" spans="3:19" x14ac:dyDescent="0.3">
      <c r="C15" s="24" t="s">
        <v>164</v>
      </c>
      <c r="D15" s="24">
        <v>3.1</v>
      </c>
      <c r="F15" s="41"/>
    </row>
    <row r="16" spans="3:19" x14ac:dyDescent="0.3">
      <c r="C16" s="24"/>
      <c r="D16" s="24"/>
      <c r="F16" s="41"/>
    </row>
    <row r="17" spans="3:7" x14ac:dyDescent="0.3">
      <c r="C17" s="24" t="s">
        <v>163</v>
      </c>
      <c r="D17" s="28">
        <f>(D11-D13)/D11</f>
        <v>5.3105049332559565E-2</v>
      </c>
    </row>
    <row r="18" spans="3:7" x14ac:dyDescent="0.3">
      <c r="C18" s="24" t="s">
        <v>162</v>
      </c>
      <c r="D18" s="28">
        <f>(D11-D14)/D11</f>
        <v>8.9959373186302968E-2</v>
      </c>
      <c r="G18" s="27"/>
    </row>
    <row r="19" spans="3:7" x14ac:dyDescent="0.3">
      <c r="C19" s="24" t="s">
        <v>161</v>
      </c>
      <c r="D19" s="28">
        <f>(D9-D13)/D9</f>
        <v>7.8248587570621503E-2</v>
      </c>
      <c r="G19" s="27"/>
    </row>
    <row r="20" spans="3:7" x14ac:dyDescent="0.3">
      <c r="C20" s="24" t="s">
        <v>160</v>
      </c>
      <c r="D20" s="28">
        <f>(D9-D14)/D9</f>
        <v>0.11412429378531071</v>
      </c>
    </row>
    <row r="21" spans="3:7" x14ac:dyDescent="0.3">
      <c r="C21" s="24" t="s">
        <v>159</v>
      </c>
      <c r="D21" s="28">
        <f>(D8-D15)/D8</f>
        <v>0.19333853760083267</v>
      </c>
    </row>
    <row r="22" spans="3:7" x14ac:dyDescent="0.3">
      <c r="C22" s="24" t="s">
        <v>158</v>
      </c>
      <c r="D22" s="28">
        <f>(D13-D14)/D14</f>
        <v>4.0497448979591767E-2</v>
      </c>
    </row>
  </sheetData>
  <mergeCells count="7">
    <mergeCell ref="C5:G5"/>
    <mergeCell ref="K8:K14"/>
    <mergeCell ref="L10:L14"/>
    <mergeCell ref="P9:P14"/>
    <mergeCell ref="Q9:Q13"/>
    <mergeCell ref="M10:M13"/>
    <mergeCell ref="M6:P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3D4E-B766-4866-8DBB-4C275AE4E47D}">
  <dimension ref="A1:M201"/>
  <sheetViews>
    <sheetView zoomScale="135" zoomScaleNormal="13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H6" sqref="H6"/>
    </sheetView>
  </sheetViews>
  <sheetFormatPr defaultRowHeight="14" x14ac:dyDescent="0.3"/>
  <cols>
    <col min="1" max="4" width="8.6640625" style="1"/>
    <col min="5" max="5" width="6.1640625" style="1" bestFit="1" customWidth="1"/>
    <col min="6" max="6" width="9.83203125" style="1" bestFit="1" customWidth="1"/>
    <col min="7" max="7" width="9.25" style="1" bestFit="1" customWidth="1"/>
    <col min="8" max="8" width="9.83203125" style="1" bestFit="1" customWidth="1"/>
    <col min="9" max="9" width="9.25" style="1" bestFit="1" customWidth="1"/>
    <col min="10" max="10" width="9.83203125" style="1" bestFit="1" customWidth="1"/>
    <col min="11" max="11" width="9.25" style="1" bestFit="1" customWidth="1"/>
    <col min="12" max="16384" width="8.6640625" style="1"/>
  </cols>
  <sheetData>
    <row r="1" spans="1:13" x14ac:dyDescent="0.3">
      <c r="A1" s="176" t="s">
        <v>21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8"/>
    </row>
    <row r="2" spans="1:13" ht="28" x14ac:dyDescent="0.3">
      <c r="A2" s="20"/>
      <c r="B2" s="20"/>
      <c r="C2" s="21" t="s">
        <v>20</v>
      </c>
      <c r="D2" s="21" t="s">
        <v>19</v>
      </c>
      <c r="E2" s="22" t="s">
        <v>18</v>
      </c>
      <c r="F2" s="21" t="s">
        <v>17</v>
      </c>
      <c r="G2" s="21" t="s">
        <v>16</v>
      </c>
      <c r="H2" s="20"/>
      <c r="I2" s="20"/>
      <c r="J2" s="20"/>
      <c r="K2" s="20"/>
      <c r="L2" s="3" t="s">
        <v>6</v>
      </c>
    </row>
    <row r="3" spans="1:13" ht="17.5" x14ac:dyDescent="0.3">
      <c r="A3" s="18" t="s">
        <v>15</v>
      </c>
      <c r="B3" s="18" t="s">
        <v>14</v>
      </c>
      <c r="C3" s="18" t="s">
        <v>13</v>
      </c>
      <c r="D3" s="18" t="s">
        <v>1</v>
      </c>
      <c r="E3" s="19">
        <v>0</v>
      </c>
      <c r="F3" s="18" t="s">
        <v>0</v>
      </c>
      <c r="G3" s="18" t="s">
        <v>12</v>
      </c>
      <c r="H3" s="18" t="s">
        <v>11</v>
      </c>
      <c r="I3" s="18" t="s">
        <v>10</v>
      </c>
      <c r="J3" s="18" t="s">
        <v>9</v>
      </c>
      <c r="K3" s="18" t="s">
        <v>8</v>
      </c>
      <c r="L3" s="3"/>
    </row>
    <row r="4" spans="1:13" x14ac:dyDescent="0.3">
      <c r="A4" s="8">
        <f t="shared" ref="A4:A35" si="0">E4*0.98</f>
        <v>3.6289399999999996</v>
      </c>
      <c r="B4" s="8">
        <f t="shared" ref="B4:B35" si="1">E4*0.985</f>
        <v>3.6474549999999999</v>
      </c>
      <c r="C4" s="7">
        <f t="shared" ref="C4:C35" si="2">E4*0.99</f>
        <v>3.6659699999999997</v>
      </c>
      <c r="D4" s="8">
        <f t="shared" ref="D4:D35" si="3">E4*0.995</f>
        <v>3.684485</v>
      </c>
      <c r="E4" s="9">
        <v>3.7029999999999998</v>
      </c>
      <c r="F4" s="8">
        <f t="shared" ref="F4:F35" si="4">E4*1.005</f>
        <v>3.7215149999999992</v>
      </c>
      <c r="G4" s="7">
        <f t="shared" ref="G4:G35" si="5">E4*1.01</f>
        <v>3.74003</v>
      </c>
      <c r="H4" s="8">
        <f t="shared" ref="H4:H35" si="6">E4*1.015</f>
        <v>3.7585449999999994</v>
      </c>
      <c r="I4" s="7">
        <f t="shared" ref="I4:I35" si="7">E4*1.02</f>
        <v>3.7770600000000001</v>
      </c>
      <c r="J4" s="8">
        <f t="shared" ref="J4:J35" si="8">E4*1.025</f>
        <v>3.7955749999999995</v>
      </c>
      <c r="K4" s="7">
        <f t="shared" ref="K4:K35" si="9">E4*1.03</f>
        <v>3.8140899999999998</v>
      </c>
      <c r="L4" s="2" t="s">
        <v>2</v>
      </c>
    </row>
    <row r="5" spans="1:13" x14ac:dyDescent="0.3">
      <c r="A5" s="8">
        <f t="shared" si="0"/>
        <v>3.8543399999999997</v>
      </c>
      <c r="B5" s="8">
        <f t="shared" si="1"/>
        <v>3.8740049999999999</v>
      </c>
      <c r="C5" s="7">
        <f t="shared" si="2"/>
        <v>3.8936699999999997</v>
      </c>
      <c r="D5" s="8">
        <f t="shared" si="3"/>
        <v>3.913335</v>
      </c>
      <c r="E5" s="9">
        <v>3.9329999999999998</v>
      </c>
      <c r="F5" s="8">
        <f t="shared" si="4"/>
        <v>3.9526649999999992</v>
      </c>
      <c r="G5" s="7">
        <f t="shared" si="5"/>
        <v>3.9723299999999999</v>
      </c>
      <c r="H5" s="8">
        <f t="shared" si="6"/>
        <v>3.9919949999999993</v>
      </c>
      <c r="I5" s="7">
        <f t="shared" si="7"/>
        <v>4.01166</v>
      </c>
      <c r="J5" s="8">
        <f t="shared" si="8"/>
        <v>4.0313249999999998</v>
      </c>
      <c r="K5" s="7">
        <f t="shared" si="9"/>
        <v>4.0509899999999996</v>
      </c>
      <c r="L5" s="2" t="s">
        <v>2</v>
      </c>
    </row>
    <row r="6" spans="1:13" x14ac:dyDescent="0.3">
      <c r="A6" s="8">
        <f t="shared" si="0"/>
        <v>3.7955400000000004</v>
      </c>
      <c r="B6" s="8">
        <f t="shared" si="1"/>
        <v>3.814905</v>
      </c>
      <c r="C6" s="7">
        <f t="shared" si="2"/>
        <v>3.8342700000000001</v>
      </c>
      <c r="D6" s="8">
        <f t="shared" si="3"/>
        <v>3.8536350000000001</v>
      </c>
      <c r="E6" s="9">
        <v>3.8730000000000002</v>
      </c>
      <c r="F6" s="8">
        <f t="shared" si="4"/>
        <v>3.8923649999999999</v>
      </c>
      <c r="G6" s="7">
        <f t="shared" si="5"/>
        <v>3.9117300000000004</v>
      </c>
      <c r="H6" s="8">
        <f t="shared" si="6"/>
        <v>3.931095</v>
      </c>
      <c r="I6" s="7">
        <f t="shared" si="7"/>
        <v>3.9504600000000001</v>
      </c>
      <c r="J6" s="8">
        <f t="shared" si="8"/>
        <v>3.9698249999999997</v>
      </c>
      <c r="K6" s="7">
        <f t="shared" si="9"/>
        <v>3.9891900000000002</v>
      </c>
      <c r="L6" s="2" t="s">
        <v>2</v>
      </c>
    </row>
    <row r="7" spans="1:13" x14ac:dyDescent="0.3">
      <c r="A7" s="8">
        <f t="shared" si="0"/>
        <v>3.9592000000000001</v>
      </c>
      <c r="B7" s="8">
        <f t="shared" si="1"/>
        <v>3.9794</v>
      </c>
      <c r="C7" s="7">
        <f t="shared" si="2"/>
        <v>3.9996</v>
      </c>
      <c r="D7" s="8">
        <f t="shared" si="3"/>
        <v>4.0198</v>
      </c>
      <c r="E7" s="9">
        <v>4.04</v>
      </c>
      <c r="F7" s="8">
        <f t="shared" si="4"/>
        <v>4.0602</v>
      </c>
      <c r="G7" s="7">
        <f t="shared" si="5"/>
        <v>4.0804</v>
      </c>
      <c r="H7" s="8">
        <f t="shared" si="6"/>
        <v>4.1006</v>
      </c>
      <c r="I7" s="7">
        <f t="shared" si="7"/>
        <v>4.1208</v>
      </c>
      <c r="J7" s="8">
        <f t="shared" si="8"/>
        <v>4.141</v>
      </c>
      <c r="K7" s="7">
        <f t="shared" si="9"/>
        <v>4.1612</v>
      </c>
      <c r="L7" s="2" t="s">
        <v>2</v>
      </c>
    </row>
    <row r="8" spans="1:13" x14ac:dyDescent="0.3">
      <c r="A8" s="8">
        <f t="shared" si="0"/>
        <v>3.8827600000000002</v>
      </c>
      <c r="B8" s="8">
        <f t="shared" si="1"/>
        <v>3.9025700000000003</v>
      </c>
      <c r="C8" s="7">
        <f t="shared" si="2"/>
        <v>3.92238</v>
      </c>
      <c r="D8" s="8">
        <f t="shared" si="3"/>
        <v>3.9421900000000001</v>
      </c>
      <c r="E8" s="9">
        <v>3.9620000000000002</v>
      </c>
      <c r="F8" s="8">
        <f t="shared" si="4"/>
        <v>3.9818099999999998</v>
      </c>
      <c r="G8" s="7">
        <f t="shared" si="5"/>
        <v>4.00162</v>
      </c>
      <c r="H8" s="8">
        <f t="shared" si="6"/>
        <v>4.0214299999999996</v>
      </c>
      <c r="I8" s="7">
        <f t="shared" si="7"/>
        <v>4.0412400000000002</v>
      </c>
      <c r="J8" s="8">
        <f t="shared" si="8"/>
        <v>4.0610499999999998</v>
      </c>
      <c r="K8" s="7">
        <f t="shared" si="9"/>
        <v>4.0808600000000004</v>
      </c>
      <c r="L8" s="2" t="s">
        <v>2</v>
      </c>
    </row>
    <row r="9" spans="1:13" x14ac:dyDescent="0.3">
      <c r="A9" s="8">
        <f t="shared" si="0"/>
        <v>3.86022</v>
      </c>
      <c r="B9" s="8">
        <f t="shared" si="1"/>
        <v>3.879915</v>
      </c>
      <c r="C9" s="7">
        <f t="shared" si="2"/>
        <v>3.89961</v>
      </c>
      <c r="D9" s="8">
        <f t="shared" si="3"/>
        <v>3.919305</v>
      </c>
      <c r="E9" s="9">
        <v>3.9390000000000001</v>
      </c>
      <c r="F9" s="8">
        <f t="shared" si="4"/>
        <v>3.9586949999999996</v>
      </c>
      <c r="G9" s="7">
        <f t="shared" si="5"/>
        <v>3.9783900000000001</v>
      </c>
      <c r="H9" s="8">
        <f t="shared" si="6"/>
        <v>3.9980849999999997</v>
      </c>
      <c r="I9" s="7">
        <f t="shared" si="7"/>
        <v>4.0177800000000001</v>
      </c>
      <c r="J9" s="8">
        <f t="shared" si="8"/>
        <v>4.0374749999999997</v>
      </c>
      <c r="K9" s="7">
        <f t="shared" si="9"/>
        <v>4.0571700000000002</v>
      </c>
      <c r="L9" s="2" t="s">
        <v>2</v>
      </c>
    </row>
    <row r="10" spans="1:13" x14ac:dyDescent="0.3">
      <c r="A10" s="8">
        <f t="shared" si="0"/>
        <v>3.8327800000000001</v>
      </c>
      <c r="B10" s="8">
        <f t="shared" si="1"/>
        <v>3.8523350000000001</v>
      </c>
      <c r="C10" s="7">
        <f t="shared" si="2"/>
        <v>3.8718900000000001</v>
      </c>
      <c r="D10" s="8">
        <f t="shared" si="3"/>
        <v>3.891445</v>
      </c>
      <c r="E10" s="9">
        <v>3.911</v>
      </c>
      <c r="F10" s="8">
        <f t="shared" si="4"/>
        <v>3.9305549999999996</v>
      </c>
      <c r="G10" s="7">
        <f t="shared" si="5"/>
        <v>3.95011</v>
      </c>
      <c r="H10" s="8">
        <f t="shared" si="6"/>
        <v>3.9696649999999996</v>
      </c>
      <c r="I10" s="7">
        <f t="shared" si="7"/>
        <v>3.98922</v>
      </c>
      <c r="J10" s="8">
        <f t="shared" si="8"/>
        <v>4.008775</v>
      </c>
      <c r="K10" s="7">
        <f t="shared" si="9"/>
        <v>4.0283300000000004</v>
      </c>
      <c r="L10" s="2" t="s">
        <v>2</v>
      </c>
    </row>
    <row r="11" spans="1:13" x14ac:dyDescent="0.3">
      <c r="A11" s="8">
        <f t="shared" si="0"/>
        <v>3.9102000000000001</v>
      </c>
      <c r="B11" s="8">
        <f t="shared" si="1"/>
        <v>3.9301500000000003</v>
      </c>
      <c r="C11" s="7">
        <f t="shared" si="2"/>
        <v>3.9501000000000004</v>
      </c>
      <c r="D11" s="8">
        <f t="shared" si="3"/>
        <v>3.9700500000000001</v>
      </c>
      <c r="E11" s="9">
        <v>3.99</v>
      </c>
      <c r="F11" s="8">
        <f t="shared" si="4"/>
        <v>4.0099499999999999</v>
      </c>
      <c r="G11" s="7">
        <f t="shared" si="5"/>
        <v>4.0299000000000005</v>
      </c>
      <c r="H11" s="8">
        <f t="shared" si="6"/>
        <v>4.0498500000000002</v>
      </c>
      <c r="I11" s="7">
        <f t="shared" si="7"/>
        <v>4.0697999999999999</v>
      </c>
      <c r="J11" s="8">
        <f t="shared" si="8"/>
        <v>4.0897499999999996</v>
      </c>
      <c r="K11" s="7">
        <f t="shared" si="9"/>
        <v>4.1097000000000001</v>
      </c>
      <c r="L11" s="2" t="s">
        <v>2</v>
      </c>
    </row>
    <row r="12" spans="1:13" x14ac:dyDescent="0.3">
      <c r="A12" s="8">
        <f t="shared" si="0"/>
        <v>3.871</v>
      </c>
      <c r="B12" s="8">
        <f t="shared" si="1"/>
        <v>3.8907500000000002</v>
      </c>
      <c r="C12" s="7">
        <f t="shared" si="2"/>
        <v>3.9105000000000003</v>
      </c>
      <c r="D12" s="8">
        <f t="shared" si="3"/>
        <v>3.93025</v>
      </c>
      <c r="E12" s="9">
        <v>3.95</v>
      </c>
      <c r="F12" s="8">
        <f t="shared" si="4"/>
        <v>3.9697499999999999</v>
      </c>
      <c r="G12" s="7">
        <f t="shared" si="5"/>
        <v>3.9895</v>
      </c>
      <c r="H12" s="8">
        <f t="shared" si="6"/>
        <v>4.0092499999999998</v>
      </c>
      <c r="I12" s="7">
        <f t="shared" si="7"/>
        <v>4.0289999999999999</v>
      </c>
      <c r="J12" s="8">
        <f t="shared" si="8"/>
        <v>4.0487500000000001</v>
      </c>
      <c r="K12" s="7">
        <f t="shared" si="9"/>
        <v>4.0685000000000002</v>
      </c>
      <c r="L12" s="2" t="s">
        <v>2</v>
      </c>
    </row>
    <row r="13" spans="1:13" x14ac:dyDescent="0.3">
      <c r="A13" s="8">
        <f t="shared" si="0"/>
        <v>3.9494000000000002</v>
      </c>
      <c r="B13" s="8">
        <f t="shared" si="1"/>
        <v>3.9695500000000004</v>
      </c>
      <c r="C13" s="7">
        <f t="shared" si="2"/>
        <v>3.9897</v>
      </c>
      <c r="D13" s="8">
        <f t="shared" si="3"/>
        <v>4.0098500000000001</v>
      </c>
      <c r="E13" s="17">
        <v>4.03</v>
      </c>
      <c r="F13" s="8">
        <f t="shared" si="4"/>
        <v>4.0501499999999995</v>
      </c>
      <c r="G13" s="7">
        <f t="shared" si="5"/>
        <v>4.0703000000000005</v>
      </c>
      <c r="H13" s="8">
        <f t="shared" si="6"/>
        <v>4.0904499999999997</v>
      </c>
      <c r="I13" s="7">
        <f t="shared" si="7"/>
        <v>4.1106000000000007</v>
      </c>
      <c r="J13" s="8">
        <f t="shared" si="8"/>
        <v>4.1307499999999999</v>
      </c>
      <c r="K13" s="7">
        <f t="shared" si="9"/>
        <v>4.1509</v>
      </c>
      <c r="L13" s="4" t="s">
        <v>5</v>
      </c>
    </row>
    <row r="14" spans="1:13" x14ac:dyDescent="0.3">
      <c r="A14" s="8">
        <f t="shared" si="0"/>
        <v>3.9102000000000001</v>
      </c>
      <c r="B14" s="8">
        <f t="shared" si="1"/>
        <v>3.9301500000000003</v>
      </c>
      <c r="C14" s="7">
        <f t="shared" si="2"/>
        <v>3.9501000000000004</v>
      </c>
      <c r="D14" s="8">
        <f t="shared" si="3"/>
        <v>3.9700500000000001</v>
      </c>
      <c r="E14" s="17">
        <v>3.99</v>
      </c>
      <c r="F14" s="8">
        <f t="shared" si="4"/>
        <v>4.0099499999999999</v>
      </c>
      <c r="G14" s="7">
        <f t="shared" si="5"/>
        <v>4.0299000000000005</v>
      </c>
      <c r="H14" s="8">
        <f t="shared" si="6"/>
        <v>4.0498500000000002</v>
      </c>
      <c r="I14" s="7">
        <f t="shared" si="7"/>
        <v>4.0697999999999999</v>
      </c>
      <c r="J14" s="8">
        <f t="shared" si="8"/>
        <v>4.0897499999999996</v>
      </c>
      <c r="K14" s="7">
        <f t="shared" si="9"/>
        <v>4.1097000000000001</v>
      </c>
      <c r="L14" s="5" t="s">
        <v>5</v>
      </c>
    </row>
    <row r="15" spans="1:13" x14ac:dyDescent="0.3">
      <c r="A15" s="8">
        <f t="shared" si="0"/>
        <v>3.8641399999999999</v>
      </c>
      <c r="B15" s="8">
        <f t="shared" si="1"/>
        <v>3.8838550000000001</v>
      </c>
      <c r="C15" s="7">
        <f t="shared" si="2"/>
        <v>3.9035700000000002</v>
      </c>
      <c r="D15" s="8">
        <f t="shared" si="3"/>
        <v>3.9232849999999999</v>
      </c>
      <c r="E15" s="17">
        <v>3.9430000000000001</v>
      </c>
      <c r="F15" s="8">
        <f t="shared" si="4"/>
        <v>3.9627149999999998</v>
      </c>
      <c r="G15" s="7">
        <f t="shared" si="5"/>
        <v>3.9824299999999999</v>
      </c>
      <c r="H15" s="8">
        <f t="shared" si="6"/>
        <v>4.0021449999999996</v>
      </c>
      <c r="I15" s="7">
        <f t="shared" si="7"/>
        <v>4.0218600000000002</v>
      </c>
      <c r="J15" s="8">
        <f t="shared" si="8"/>
        <v>4.0415749999999999</v>
      </c>
      <c r="K15" s="7">
        <f t="shared" si="9"/>
        <v>4.0612900000000005</v>
      </c>
      <c r="L15" s="5" t="s">
        <v>5</v>
      </c>
    </row>
    <row r="16" spans="1:13" x14ac:dyDescent="0.3">
      <c r="A16" s="8">
        <f t="shared" si="0"/>
        <v>3.7730000000000001</v>
      </c>
      <c r="B16" s="8">
        <f t="shared" si="1"/>
        <v>3.7922500000000001</v>
      </c>
      <c r="C16" s="7">
        <f t="shared" si="2"/>
        <v>3.8115000000000001</v>
      </c>
      <c r="D16" s="8">
        <f t="shared" si="3"/>
        <v>3.8307500000000001</v>
      </c>
      <c r="E16" s="9">
        <v>3.85</v>
      </c>
      <c r="F16" s="8">
        <f t="shared" si="4"/>
        <v>3.8692499999999996</v>
      </c>
      <c r="G16" s="7">
        <f t="shared" si="5"/>
        <v>3.8885000000000001</v>
      </c>
      <c r="H16" s="8">
        <f t="shared" si="6"/>
        <v>3.9077499999999996</v>
      </c>
      <c r="I16" s="7">
        <f t="shared" si="7"/>
        <v>3.927</v>
      </c>
      <c r="J16" s="8">
        <f t="shared" si="8"/>
        <v>3.9462499999999996</v>
      </c>
      <c r="K16" s="7">
        <f t="shared" si="9"/>
        <v>3.9655</v>
      </c>
      <c r="L16" s="2" t="s">
        <v>2</v>
      </c>
    </row>
    <row r="17" spans="1:12" x14ac:dyDescent="0.3">
      <c r="A17" s="8">
        <f t="shared" si="0"/>
        <v>3.7043999999999997</v>
      </c>
      <c r="B17" s="8">
        <f t="shared" si="1"/>
        <v>3.7232999999999996</v>
      </c>
      <c r="C17" s="7">
        <f t="shared" si="2"/>
        <v>3.7422</v>
      </c>
      <c r="D17" s="8">
        <f t="shared" si="3"/>
        <v>3.7610999999999999</v>
      </c>
      <c r="E17" s="9">
        <v>3.78</v>
      </c>
      <c r="F17" s="8">
        <f t="shared" si="4"/>
        <v>3.7988999999999993</v>
      </c>
      <c r="G17" s="7">
        <f t="shared" si="5"/>
        <v>3.8177999999999996</v>
      </c>
      <c r="H17" s="8">
        <f t="shared" si="6"/>
        <v>3.8366999999999996</v>
      </c>
      <c r="I17" s="7">
        <f t="shared" si="7"/>
        <v>3.8555999999999999</v>
      </c>
      <c r="J17" s="8">
        <f t="shared" si="8"/>
        <v>3.8744999999999994</v>
      </c>
      <c r="K17" s="7">
        <f t="shared" si="9"/>
        <v>3.8933999999999997</v>
      </c>
      <c r="L17" s="2" t="s">
        <v>2</v>
      </c>
    </row>
    <row r="18" spans="1:12" x14ac:dyDescent="0.3">
      <c r="A18" s="8">
        <f t="shared" si="0"/>
        <v>3.80044</v>
      </c>
      <c r="B18" s="8">
        <f t="shared" si="1"/>
        <v>3.8198300000000001</v>
      </c>
      <c r="C18" s="7">
        <f t="shared" si="2"/>
        <v>3.8392200000000001</v>
      </c>
      <c r="D18" s="8">
        <f t="shared" si="3"/>
        <v>3.8586100000000001</v>
      </c>
      <c r="E18" s="9">
        <v>3.8780000000000001</v>
      </c>
      <c r="F18" s="8">
        <f t="shared" si="4"/>
        <v>3.8973899999999997</v>
      </c>
      <c r="G18" s="7">
        <f t="shared" si="5"/>
        <v>3.9167800000000002</v>
      </c>
      <c r="H18" s="8">
        <f t="shared" si="6"/>
        <v>3.9361699999999997</v>
      </c>
      <c r="I18" s="7">
        <f t="shared" si="7"/>
        <v>3.9555600000000002</v>
      </c>
      <c r="J18" s="8">
        <f t="shared" si="8"/>
        <v>3.9749499999999998</v>
      </c>
      <c r="K18" s="7">
        <f t="shared" si="9"/>
        <v>3.9943400000000002</v>
      </c>
      <c r="L18" s="2" t="s">
        <v>2</v>
      </c>
    </row>
    <row r="19" spans="1:12" x14ac:dyDescent="0.3">
      <c r="A19" s="8">
        <f t="shared" si="0"/>
        <v>3.8180799999999997</v>
      </c>
      <c r="B19" s="8">
        <f t="shared" si="1"/>
        <v>3.8375599999999999</v>
      </c>
      <c r="C19" s="7">
        <f t="shared" si="2"/>
        <v>3.85704</v>
      </c>
      <c r="D19" s="8">
        <f t="shared" si="3"/>
        <v>3.8765199999999997</v>
      </c>
      <c r="E19" s="17">
        <v>3.8959999999999999</v>
      </c>
      <c r="F19" s="8">
        <f t="shared" si="4"/>
        <v>3.9154799999999996</v>
      </c>
      <c r="G19" s="7">
        <f t="shared" si="5"/>
        <v>3.9349599999999998</v>
      </c>
      <c r="H19" s="8">
        <f t="shared" si="6"/>
        <v>3.9544399999999995</v>
      </c>
      <c r="I19" s="7">
        <f t="shared" si="7"/>
        <v>3.9739200000000001</v>
      </c>
      <c r="J19" s="8">
        <f t="shared" si="8"/>
        <v>3.9933999999999994</v>
      </c>
      <c r="K19" s="7">
        <f t="shared" si="9"/>
        <v>4.01288</v>
      </c>
      <c r="L19" s="4" t="s">
        <v>5</v>
      </c>
    </row>
    <row r="20" spans="1:12" x14ac:dyDescent="0.3">
      <c r="A20" s="11">
        <f t="shared" si="0"/>
        <v>0</v>
      </c>
      <c r="B20" s="11">
        <f t="shared" si="1"/>
        <v>0</v>
      </c>
      <c r="C20" s="11">
        <f t="shared" si="2"/>
        <v>0</v>
      </c>
      <c r="D20" s="11">
        <f t="shared" si="3"/>
        <v>0</v>
      </c>
      <c r="E20" s="12">
        <v>0</v>
      </c>
      <c r="F20" s="11">
        <f t="shared" si="4"/>
        <v>0</v>
      </c>
      <c r="G20" s="11">
        <f t="shared" si="5"/>
        <v>0</v>
      </c>
      <c r="H20" s="11">
        <f t="shared" si="6"/>
        <v>0</v>
      </c>
      <c r="I20" s="11">
        <f t="shared" si="7"/>
        <v>0</v>
      </c>
      <c r="J20" s="11">
        <f t="shared" si="8"/>
        <v>0</v>
      </c>
      <c r="K20" s="11">
        <f t="shared" si="9"/>
        <v>0</v>
      </c>
      <c r="L20" s="16" t="s">
        <v>7</v>
      </c>
    </row>
    <row r="21" spans="1:12" x14ac:dyDescent="0.3">
      <c r="A21" s="8">
        <f t="shared" si="0"/>
        <v>3.7396799999999999</v>
      </c>
      <c r="B21" s="8">
        <f t="shared" si="1"/>
        <v>3.7587599999999997</v>
      </c>
      <c r="C21" s="7">
        <f t="shared" si="2"/>
        <v>3.7778399999999999</v>
      </c>
      <c r="D21" s="8">
        <f t="shared" si="3"/>
        <v>3.7969199999999996</v>
      </c>
      <c r="E21" s="9">
        <v>3.8159999999999998</v>
      </c>
      <c r="F21" s="8">
        <f t="shared" si="4"/>
        <v>3.8350799999999996</v>
      </c>
      <c r="G21" s="7">
        <f t="shared" si="5"/>
        <v>3.8541599999999998</v>
      </c>
      <c r="H21" s="8">
        <f t="shared" si="6"/>
        <v>3.8732399999999996</v>
      </c>
      <c r="I21" s="7">
        <f t="shared" si="7"/>
        <v>3.8923199999999998</v>
      </c>
      <c r="J21" s="8">
        <f t="shared" si="8"/>
        <v>3.9113999999999995</v>
      </c>
      <c r="K21" s="7">
        <f t="shared" si="9"/>
        <v>3.9304799999999998</v>
      </c>
      <c r="L21" s="2" t="s">
        <v>2</v>
      </c>
    </row>
    <row r="22" spans="1:12" x14ac:dyDescent="0.3">
      <c r="A22" s="8">
        <f t="shared" si="0"/>
        <v>3.7582999999999998</v>
      </c>
      <c r="B22" s="8">
        <f t="shared" si="1"/>
        <v>3.7774749999999999</v>
      </c>
      <c r="C22" s="7">
        <f t="shared" si="2"/>
        <v>3.7966500000000001</v>
      </c>
      <c r="D22" s="8">
        <f t="shared" si="3"/>
        <v>3.8158249999999998</v>
      </c>
      <c r="E22" s="9">
        <v>3.835</v>
      </c>
      <c r="F22" s="8">
        <f t="shared" si="4"/>
        <v>3.8541749999999997</v>
      </c>
      <c r="G22" s="7">
        <f t="shared" si="5"/>
        <v>3.8733499999999998</v>
      </c>
      <c r="H22" s="8">
        <f t="shared" si="6"/>
        <v>3.8925249999999996</v>
      </c>
      <c r="I22" s="7">
        <f t="shared" si="7"/>
        <v>3.9117000000000002</v>
      </c>
      <c r="J22" s="8">
        <f t="shared" si="8"/>
        <v>3.9308749999999995</v>
      </c>
      <c r="K22" s="7">
        <f t="shared" si="9"/>
        <v>3.9500500000000001</v>
      </c>
      <c r="L22" s="2" t="s">
        <v>2</v>
      </c>
    </row>
    <row r="23" spans="1:12" x14ac:dyDescent="0.3">
      <c r="A23" s="8">
        <f t="shared" si="0"/>
        <v>3.84748</v>
      </c>
      <c r="B23" s="8">
        <f t="shared" si="1"/>
        <v>3.8671100000000003</v>
      </c>
      <c r="C23" s="7">
        <f t="shared" si="2"/>
        <v>3.8867400000000001</v>
      </c>
      <c r="D23" s="8">
        <f t="shared" si="3"/>
        <v>3.9063700000000003</v>
      </c>
      <c r="E23" s="9">
        <v>3.9260000000000002</v>
      </c>
      <c r="F23" s="8">
        <f t="shared" si="4"/>
        <v>3.9456299999999995</v>
      </c>
      <c r="G23" s="7">
        <f t="shared" si="5"/>
        <v>3.9652600000000002</v>
      </c>
      <c r="H23" s="8">
        <f t="shared" si="6"/>
        <v>3.9848899999999996</v>
      </c>
      <c r="I23" s="7">
        <f t="shared" si="7"/>
        <v>4.0045200000000003</v>
      </c>
      <c r="J23" s="8">
        <f t="shared" si="8"/>
        <v>4.0241499999999997</v>
      </c>
      <c r="K23" s="7">
        <f t="shared" si="9"/>
        <v>4.0437799999999999</v>
      </c>
      <c r="L23" s="2" t="s">
        <v>2</v>
      </c>
    </row>
    <row r="24" spans="1:12" x14ac:dyDescent="0.3">
      <c r="A24" s="8">
        <f t="shared" si="0"/>
        <v>3.8367</v>
      </c>
      <c r="B24" s="8">
        <f t="shared" si="1"/>
        <v>3.8562750000000001</v>
      </c>
      <c r="C24" s="7">
        <f t="shared" si="2"/>
        <v>3.8758499999999998</v>
      </c>
      <c r="D24" s="8">
        <f t="shared" si="3"/>
        <v>3.8954249999999999</v>
      </c>
      <c r="E24" s="9">
        <v>3.915</v>
      </c>
      <c r="F24" s="8">
        <f t="shared" si="4"/>
        <v>3.9345749999999997</v>
      </c>
      <c r="G24" s="7">
        <f t="shared" si="5"/>
        <v>3.9541500000000003</v>
      </c>
      <c r="H24" s="8">
        <f t="shared" si="6"/>
        <v>3.9737249999999995</v>
      </c>
      <c r="I24" s="7">
        <f t="shared" si="7"/>
        <v>3.9933000000000001</v>
      </c>
      <c r="J24" s="8">
        <f t="shared" si="8"/>
        <v>4.0128749999999993</v>
      </c>
      <c r="K24" s="7">
        <f t="shared" si="9"/>
        <v>4.0324499999999999</v>
      </c>
      <c r="L24" s="2" t="s">
        <v>2</v>
      </c>
    </row>
    <row r="25" spans="1:12" x14ac:dyDescent="0.3">
      <c r="A25" s="8">
        <f t="shared" si="0"/>
        <v>3.8376799999999998</v>
      </c>
      <c r="B25" s="8">
        <f t="shared" si="1"/>
        <v>3.8572599999999997</v>
      </c>
      <c r="C25" s="7">
        <f t="shared" si="2"/>
        <v>3.8768400000000001</v>
      </c>
      <c r="D25" s="8">
        <f t="shared" si="3"/>
        <v>3.89642</v>
      </c>
      <c r="E25" s="9">
        <v>3.9159999999999999</v>
      </c>
      <c r="F25" s="8">
        <f t="shared" si="4"/>
        <v>3.9355799999999994</v>
      </c>
      <c r="G25" s="7">
        <f t="shared" si="5"/>
        <v>3.9551599999999998</v>
      </c>
      <c r="H25" s="8">
        <f t="shared" si="6"/>
        <v>3.9747399999999997</v>
      </c>
      <c r="I25" s="7">
        <f t="shared" si="7"/>
        <v>3.9943200000000001</v>
      </c>
      <c r="J25" s="8">
        <f t="shared" si="8"/>
        <v>4.0138999999999996</v>
      </c>
      <c r="K25" s="7">
        <f t="shared" si="9"/>
        <v>4.03348</v>
      </c>
      <c r="L25" s="2" t="s">
        <v>2</v>
      </c>
    </row>
    <row r="26" spans="1:12" x14ac:dyDescent="0.3">
      <c r="A26" s="8">
        <f t="shared" si="0"/>
        <v>3.8788400000000003</v>
      </c>
      <c r="B26" s="8">
        <f t="shared" si="1"/>
        <v>3.8986300000000003</v>
      </c>
      <c r="C26" s="7">
        <f t="shared" si="2"/>
        <v>3.9184200000000002</v>
      </c>
      <c r="D26" s="8">
        <f t="shared" si="3"/>
        <v>3.9382100000000002</v>
      </c>
      <c r="E26" s="9">
        <v>3.9580000000000002</v>
      </c>
      <c r="F26" s="8">
        <f t="shared" si="4"/>
        <v>3.9777899999999997</v>
      </c>
      <c r="G26" s="7">
        <f t="shared" si="5"/>
        <v>3.9975800000000001</v>
      </c>
      <c r="H26" s="8">
        <f t="shared" si="6"/>
        <v>4.0173699999999997</v>
      </c>
      <c r="I26" s="7">
        <f t="shared" si="7"/>
        <v>4.0371600000000001</v>
      </c>
      <c r="J26" s="8">
        <f t="shared" si="8"/>
        <v>4.0569499999999996</v>
      </c>
      <c r="K26" s="7">
        <f t="shared" si="9"/>
        <v>4.07674</v>
      </c>
      <c r="L26" s="2" t="s">
        <v>4</v>
      </c>
    </row>
    <row r="27" spans="1:12" x14ac:dyDescent="0.3">
      <c r="A27" s="8">
        <f t="shared" si="0"/>
        <v>3.8317999999999999</v>
      </c>
      <c r="B27" s="8">
        <f t="shared" si="1"/>
        <v>3.8513500000000001</v>
      </c>
      <c r="C27" s="7">
        <f t="shared" si="2"/>
        <v>3.8709000000000002</v>
      </c>
      <c r="D27" s="8">
        <f t="shared" si="3"/>
        <v>3.89045</v>
      </c>
      <c r="E27" s="9">
        <v>3.91</v>
      </c>
      <c r="F27" s="8">
        <f t="shared" si="4"/>
        <v>3.9295499999999999</v>
      </c>
      <c r="G27" s="7">
        <f t="shared" si="5"/>
        <v>3.9491000000000001</v>
      </c>
      <c r="H27" s="8">
        <f t="shared" si="6"/>
        <v>3.9686499999999998</v>
      </c>
      <c r="I27" s="7">
        <f t="shared" si="7"/>
        <v>3.9882000000000004</v>
      </c>
      <c r="J27" s="8">
        <f t="shared" si="8"/>
        <v>4.0077499999999997</v>
      </c>
      <c r="K27" s="7">
        <f t="shared" si="9"/>
        <v>4.0273000000000003</v>
      </c>
      <c r="L27" s="2" t="s">
        <v>2</v>
      </c>
    </row>
    <row r="28" spans="1:12" x14ac:dyDescent="0.3">
      <c r="A28" s="8">
        <f t="shared" si="0"/>
        <v>3.8072999999999997</v>
      </c>
      <c r="B28" s="8">
        <f t="shared" si="1"/>
        <v>3.8267249999999997</v>
      </c>
      <c r="C28" s="7">
        <f t="shared" si="2"/>
        <v>3.8461499999999997</v>
      </c>
      <c r="D28" s="8">
        <f t="shared" si="3"/>
        <v>3.8655749999999998</v>
      </c>
      <c r="E28" s="9">
        <v>3.8849999999999998</v>
      </c>
      <c r="F28" s="8">
        <f t="shared" si="4"/>
        <v>3.9044249999999994</v>
      </c>
      <c r="G28" s="7">
        <f t="shared" si="5"/>
        <v>3.9238499999999998</v>
      </c>
      <c r="H28" s="8">
        <f t="shared" si="6"/>
        <v>3.9432749999999994</v>
      </c>
      <c r="I28" s="7">
        <f t="shared" si="7"/>
        <v>3.9626999999999999</v>
      </c>
      <c r="J28" s="8">
        <f t="shared" si="8"/>
        <v>3.9821249999999995</v>
      </c>
      <c r="K28" s="7">
        <f t="shared" si="9"/>
        <v>4.0015499999999999</v>
      </c>
      <c r="L28" s="2" t="s">
        <v>2</v>
      </c>
    </row>
    <row r="29" spans="1:12" x14ac:dyDescent="0.3">
      <c r="A29" s="8">
        <f t="shared" si="0"/>
        <v>3.8464999999999998</v>
      </c>
      <c r="B29" s="8">
        <f t="shared" si="1"/>
        <v>3.8661249999999998</v>
      </c>
      <c r="C29" s="7">
        <f t="shared" si="2"/>
        <v>3.8857499999999998</v>
      </c>
      <c r="D29" s="8">
        <f t="shared" si="3"/>
        <v>3.9053749999999998</v>
      </c>
      <c r="E29" s="9">
        <v>3.9249999999999998</v>
      </c>
      <c r="F29" s="8">
        <f t="shared" si="4"/>
        <v>3.9446249999999994</v>
      </c>
      <c r="G29" s="7">
        <f t="shared" si="5"/>
        <v>3.9642499999999998</v>
      </c>
      <c r="H29" s="8">
        <f t="shared" si="6"/>
        <v>3.9838749999999994</v>
      </c>
      <c r="I29" s="7">
        <f t="shared" si="7"/>
        <v>4.0034999999999998</v>
      </c>
      <c r="J29" s="8">
        <f t="shared" si="8"/>
        <v>4.0231249999999994</v>
      </c>
      <c r="K29" s="7">
        <f t="shared" si="9"/>
        <v>4.0427499999999998</v>
      </c>
      <c r="L29" s="2" t="s">
        <v>2</v>
      </c>
    </row>
    <row r="30" spans="1:12" x14ac:dyDescent="0.3">
      <c r="A30" s="8">
        <f t="shared" si="0"/>
        <v>3.8220000000000001</v>
      </c>
      <c r="B30" s="8">
        <f t="shared" si="1"/>
        <v>3.8414999999999999</v>
      </c>
      <c r="C30" s="7">
        <f t="shared" si="2"/>
        <v>3.8609999999999998</v>
      </c>
      <c r="D30" s="8">
        <f t="shared" si="3"/>
        <v>3.8805000000000001</v>
      </c>
      <c r="E30" s="9">
        <v>3.9</v>
      </c>
      <c r="F30" s="8">
        <f t="shared" si="4"/>
        <v>3.9194999999999993</v>
      </c>
      <c r="G30" s="7">
        <f t="shared" si="5"/>
        <v>3.9390000000000001</v>
      </c>
      <c r="H30" s="8">
        <f t="shared" si="6"/>
        <v>3.9584999999999995</v>
      </c>
      <c r="I30" s="7">
        <f t="shared" si="7"/>
        <v>3.9779999999999998</v>
      </c>
      <c r="J30" s="8">
        <f t="shared" si="8"/>
        <v>3.9974999999999996</v>
      </c>
      <c r="K30" s="7">
        <f t="shared" si="9"/>
        <v>4.0170000000000003</v>
      </c>
      <c r="L30" s="2" t="s">
        <v>2</v>
      </c>
    </row>
    <row r="31" spans="1:12" x14ac:dyDescent="0.3">
      <c r="A31" s="8">
        <f t="shared" si="0"/>
        <v>3.9023600000000003</v>
      </c>
      <c r="B31" s="8">
        <f t="shared" si="1"/>
        <v>3.9222700000000001</v>
      </c>
      <c r="C31" s="7">
        <f t="shared" si="2"/>
        <v>3.94218</v>
      </c>
      <c r="D31" s="8">
        <f t="shared" si="3"/>
        <v>3.9620900000000003</v>
      </c>
      <c r="E31" s="9">
        <v>3.9820000000000002</v>
      </c>
      <c r="F31" s="8">
        <f t="shared" si="4"/>
        <v>4.0019099999999996</v>
      </c>
      <c r="G31" s="7">
        <f t="shared" si="5"/>
        <v>4.02182</v>
      </c>
      <c r="H31" s="8">
        <f t="shared" si="6"/>
        <v>4.0417299999999994</v>
      </c>
      <c r="I31" s="7">
        <f t="shared" si="7"/>
        <v>4.0616400000000006</v>
      </c>
      <c r="J31" s="8">
        <f t="shared" si="8"/>
        <v>4.08155</v>
      </c>
      <c r="K31" s="7">
        <f t="shared" si="9"/>
        <v>4.1014600000000003</v>
      </c>
      <c r="L31" s="2" t="s">
        <v>2</v>
      </c>
    </row>
    <row r="32" spans="1:12" x14ac:dyDescent="0.3">
      <c r="A32" s="8">
        <f t="shared" si="0"/>
        <v>3.9837000000000002</v>
      </c>
      <c r="B32" s="8">
        <f t="shared" si="1"/>
        <v>4.0040250000000004</v>
      </c>
      <c r="C32" s="7">
        <f t="shared" si="2"/>
        <v>4.0243500000000001</v>
      </c>
      <c r="D32" s="8">
        <f t="shared" si="3"/>
        <v>4.0446750000000007</v>
      </c>
      <c r="E32" s="9">
        <v>4.0650000000000004</v>
      </c>
      <c r="F32" s="8">
        <f t="shared" si="4"/>
        <v>4.0853250000000001</v>
      </c>
      <c r="G32" s="7">
        <f t="shared" si="5"/>
        <v>4.1056500000000007</v>
      </c>
      <c r="H32" s="8">
        <f t="shared" si="6"/>
        <v>4.1259750000000004</v>
      </c>
      <c r="I32" s="7">
        <f t="shared" si="7"/>
        <v>4.1463000000000001</v>
      </c>
      <c r="J32" s="8">
        <f t="shared" si="8"/>
        <v>4.1666249999999998</v>
      </c>
      <c r="K32" s="7">
        <f t="shared" si="9"/>
        <v>4.1869500000000004</v>
      </c>
      <c r="L32" s="2" t="s">
        <v>2</v>
      </c>
    </row>
    <row r="33" spans="1:12" x14ac:dyDescent="0.3">
      <c r="A33" s="8">
        <f t="shared" si="0"/>
        <v>3.9121600000000001</v>
      </c>
      <c r="B33" s="8">
        <f t="shared" si="1"/>
        <v>3.9321199999999998</v>
      </c>
      <c r="C33" s="7">
        <f t="shared" si="2"/>
        <v>3.95208</v>
      </c>
      <c r="D33" s="8">
        <f t="shared" si="3"/>
        <v>3.9720399999999998</v>
      </c>
      <c r="E33" s="9">
        <v>3.992</v>
      </c>
      <c r="F33" s="8">
        <f t="shared" si="4"/>
        <v>4.0119599999999993</v>
      </c>
      <c r="G33" s="7">
        <f t="shared" si="5"/>
        <v>4.0319200000000004</v>
      </c>
      <c r="H33" s="8">
        <f t="shared" si="6"/>
        <v>4.0518799999999997</v>
      </c>
      <c r="I33" s="7">
        <f t="shared" si="7"/>
        <v>4.0718399999999999</v>
      </c>
      <c r="J33" s="8">
        <f t="shared" si="8"/>
        <v>4.0917999999999992</v>
      </c>
      <c r="K33" s="7">
        <f t="shared" si="9"/>
        <v>4.1117600000000003</v>
      </c>
      <c r="L33" s="2" t="s">
        <v>2</v>
      </c>
    </row>
    <row r="34" spans="1:12" x14ac:dyDescent="0.3">
      <c r="A34" s="8">
        <f t="shared" si="0"/>
        <v>4.1140400000000001</v>
      </c>
      <c r="B34" s="8">
        <f t="shared" si="1"/>
        <v>4.1350300000000004</v>
      </c>
      <c r="C34" s="7">
        <f t="shared" si="2"/>
        <v>4.1560200000000007</v>
      </c>
      <c r="D34" s="8">
        <f t="shared" si="3"/>
        <v>4.1770100000000001</v>
      </c>
      <c r="E34" s="9">
        <v>4.1980000000000004</v>
      </c>
      <c r="F34" s="8">
        <f t="shared" si="4"/>
        <v>4.2189899999999998</v>
      </c>
      <c r="G34" s="7">
        <f t="shared" si="5"/>
        <v>4.2399800000000001</v>
      </c>
      <c r="H34" s="8">
        <f t="shared" si="6"/>
        <v>4.2609700000000004</v>
      </c>
      <c r="I34" s="7">
        <f t="shared" si="7"/>
        <v>4.2819600000000007</v>
      </c>
      <c r="J34" s="8">
        <f t="shared" si="8"/>
        <v>4.3029500000000001</v>
      </c>
      <c r="K34" s="7">
        <f t="shared" si="9"/>
        <v>4.3239400000000003</v>
      </c>
      <c r="L34" s="2" t="s">
        <v>2</v>
      </c>
    </row>
    <row r="35" spans="1:12" x14ac:dyDescent="0.3">
      <c r="A35" s="8">
        <f t="shared" si="0"/>
        <v>4.1159999999999997</v>
      </c>
      <c r="B35" s="8">
        <f t="shared" si="1"/>
        <v>4.1370000000000005</v>
      </c>
      <c r="C35" s="7">
        <f t="shared" si="2"/>
        <v>4.1580000000000004</v>
      </c>
      <c r="D35" s="8">
        <f t="shared" si="3"/>
        <v>4.1790000000000003</v>
      </c>
      <c r="E35" s="9">
        <v>4.2</v>
      </c>
      <c r="F35" s="8">
        <f t="shared" si="4"/>
        <v>4.2210000000000001</v>
      </c>
      <c r="G35" s="7">
        <f t="shared" si="5"/>
        <v>4.242</v>
      </c>
      <c r="H35" s="8">
        <f t="shared" si="6"/>
        <v>4.2629999999999999</v>
      </c>
      <c r="I35" s="7">
        <f t="shared" si="7"/>
        <v>4.2840000000000007</v>
      </c>
      <c r="J35" s="8">
        <f t="shared" si="8"/>
        <v>4.3049999999999997</v>
      </c>
      <c r="K35" s="7">
        <f t="shared" si="9"/>
        <v>4.3260000000000005</v>
      </c>
      <c r="L35" s="2" t="s">
        <v>2</v>
      </c>
    </row>
    <row r="36" spans="1:12" x14ac:dyDescent="0.3">
      <c r="A36" s="8">
        <f t="shared" ref="A36:A67" si="10">E36*0.98</f>
        <v>4.2522200000000003</v>
      </c>
      <c r="B36" s="8">
        <f t="shared" ref="B36:B67" si="11">E36*0.985</f>
        <v>4.2739150000000006</v>
      </c>
      <c r="C36" s="7">
        <f t="shared" ref="C36:C67" si="12">E36*0.99</f>
        <v>4.2956099999999999</v>
      </c>
      <c r="D36" s="8">
        <f t="shared" ref="D36:D67" si="13">E36*0.995</f>
        <v>4.3173050000000002</v>
      </c>
      <c r="E36" s="9">
        <v>4.3390000000000004</v>
      </c>
      <c r="F36" s="8">
        <f t="shared" ref="F36:F67" si="14">E36*1.005</f>
        <v>4.3606949999999998</v>
      </c>
      <c r="G36" s="7">
        <f t="shared" ref="G36:G67" si="15">E36*1.01</f>
        <v>4.3823900000000009</v>
      </c>
      <c r="H36" s="8">
        <f t="shared" ref="H36:H67" si="16">E36*1.015</f>
        <v>4.4040850000000002</v>
      </c>
      <c r="I36" s="7">
        <f t="shared" ref="I36:I67" si="17">E36*1.02</f>
        <v>4.4257800000000005</v>
      </c>
      <c r="J36" s="8">
        <f t="shared" ref="J36:J67" si="18">E36*1.025</f>
        <v>4.4474749999999998</v>
      </c>
      <c r="K36" s="7">
        <f t="shared" ref="K36:K67" si="19">E36*1.03</f>
        <v>4.469170000000001</v>
      </c>
      <c r="L36" s="4" t="s">
        <v>3</v>
      </c>
    </row>
    <row r="37" spans="1:12" x14ac:dyDescent="0.3">
      <c r="A37" s="8">
        <f t="shared" si="10"/>
        <v>4.1591199999999997</v>
      </c>
      <c r="B37" s="8">
        <f t="shared" si="11"/>
        <v>4.1803399999999993</v>
      </c>
      <c r="C37" s="7">
        <f t="shared" si="12"/>
        <v>4.2015599999999997</v>
      </c>
      <c r="D37" s="8">
        <f t="shared" si="13"/>
        <v>4.2227799999999993</v>
      </c>
      <c r="E37" s="9">
        <v>4.2439999999999998</v>
      </c>
      <c r="F37" s="8">
        <f t="shared" si="14"/>
        <v>4.2652199999999993</v>
      </c>
      <c r="G37" s="7">
        <f t="shared" si="15"/>
        <v>4.2864399999999998</v>
      </c>
      <c r="H37" s="8">
        <f t="shared" si="16"/>
        <v>4.3076599999999994</v>
      </c>
      <c r="I37" s="7">
        <f t="shared" si="17"/>
        <v>4.3288799999999998</v>
      </c>
      <c r="J37" s="8">
        <f t="shared" si="18"/>
        <v>4.3500999999999994</v>
      </c>
      <c r="K37" s="7">
        <f t="shared" si="19"/>
        <v>4.3713199999999999</v>
      </c>
      <c r="L37" s="4" t="s">
        <v>3</v>
      </c>
    </row>
    <row r="38" spans="1:12" x14ac:dyDescent="0.3">
      <c r="A38" s="8">
        <f t="shared" si="10"/>
        <v>4.0366200000000001</v>
      </c>
      <c r="B38" s="8">
        <f t="shared" si="11"/>
        <v>4.0572149999999993</v>
      </c>
      <c r="C38" s="7">
        <f t="shared" si="12"/>
        <v>4.0778099999999995</v>
      </c>
      <c r="D38" s="8">
        <f t="shared" si="13"/>
        <v>4.0984049999999996</v>
      </c>
      <c r="E38" s="9">
        <v>4.1189999999999998</v>
      </c>
      <c r="F38" s="8">
        <f t="shared" si="14"/>
        <v>4.139594999999999</v>
      </c>
      <c r="G38" s="7">
        <f t="shared" si="15"/>
        <v>4.1601900000000001</v>
      </c>
      <c r="H38" s="8">
        <f t="shared" si="16"/>
        <v>4.1807849999999993</v>
      </c>
      <c r="I38" s="7">
        <f t="shared" si="17"/>
        <v>4.2013799999999994</v>
      </c>
      <c r="J38" s="8">
        <f t="shared" si="18"/>
        <v>4.2219749999999996</v>
      </c>
      <c r="K38" s="7">
        <f t="shared" si="19"/>
        <v>4.2425699999999997</v>
      </c>
      <c r="L38" s="4" t="s">
        <v>3</v>
      </c>
    </row>
    <row r="39" spans="1:12" x14ac:dyDescent="0.3">
      <c r="A39" s="11">
        <f t="shared" si="10"/>
        <v>0</v>
      </c>
      <c r="B39" s="11">
        <f t="shared" si="11"/>
        <v>0</v>
      </c>
      <c r="C39" s="11">
        <f t="shared" si="12"/>
        <v>0</v>
      </c>
      <c r="D39" s="11">
        <f t="shared" si="13"/>
        <v>0</v>
      </c>
      <c r="E39" s="12">
        <v>0</v>
      </c>
      <c r="F39" s="11">
        <f t="shared" si="14"/>
        <v>0</v>
      </c>
      <c r="G39" s="11">
        <f t="shared" si="15"/>
        <v>0</v>
      </c>
      <c r="H39" s="11">
        <f t="shared" si="16"/>
        <v>0</v>
      </c>
      <c r="I39" s="11">
        <f t="shared" si="17"/>
        <v>0</v>
      </c>
      <c r="J39" s="11">
        <f t="shared" si="18"/>
        <v>0</v>
      </c>
      <c r="K39" s="11">
        <f t="shared" si="19"/>
        <v>0</v>
      </c>
      <c r="L39" s="15" t="s">
        <v>7</v>
      </c>
    </row>
    <row r="40" spans="1:12" x14ac:dyDescent="0.3">
      <c r="A40" s="8">
        <f t="shared" si="10"/>
        <v>3.9003999999999999</v>
      </c>
      <c r="B40" s="8">
        <f t="shared" si="11"/>
        <v>3.9203000000000001</v>
      </c>
      <c r="C40" s="7">
        <f t="shared" si="12"/>
        <v>3.9401999999999999</v>
      </c>
      <c r="D40" s="8">
        <f t="shared" si="13"/>
        <v>3.9601000000000002</v>
      </c>
      <c r="E40" s="9">
        <v>3.98</v>
      </c>
      <c r="F40" s="8">
        <f t="shared" si="14"/>
        <v>3.9998999999999993</v>
      </c>
      <c r="G40" s="7">
        <f t="shared" si="15"/>
        <v>4.0198</v>
      </c>
      <c r="H40" s="8">
        <f t="shared" si="16"/>
        <v>4.0396999999999998</v>
      </c>
      <c r="I40" s="7">
        <f t="shared" si="17"/>
        <v>4.0595999999999997</v>
      </c>
      <c r="J40" s="8">
        <f t="shared" si="18"/>
        <v>4.0794999999999995</v>
      </c>
      <c r="K40" s="7">
        <f t="shared" si="19"/>
        <v>4.0994000000000002</v>
      </c>
      <c r="L40" s="4" t="s">
        <v>3</v>
      </c>
    </row>
    <row r="41" spans="1:12" x14ac:dyDescent="0.3">
      <c r="A41" s="8">
        <f t="shared" si="10"/>
        <v>3.8906000000000001</v>
      </c>
      <c r="B41" s="8">
        <f t="shared" si="11"/>
        <v>3.91045</v>
      </c>
      <c r="C41" s="7">
        <f t="shared" si="12"/>
        <v>3.9303000000000003</v>
      </c>
      <c r="D41" s="8">
        <f t="shared" si="13"/>
        <v>3.9501500000000003</v>
      </c>
      <c r="E41" s="9">
        <v>3.97</v>
      </c>
      <c r="F41" s="8">
        <f t="shared" si="14"/>
        <v>3.9898499999999997</v>
      </c>
      <c r="G41" s="7">
        <f t="shared" si="15"/>
        <v>4.0097000000000005</v>
      </c>
      <c r="H41" s="8">
        <f t="shared" si="16"/>
        <v>4.0295499999999995</v>
      </c>
      <c r="I41" s="7">
        <f t="shared" si="17"/>
        <v>4.0494000000000003</v>
      </c>
      <c r="J41" s="8">
        <f t="shared" si="18"/>
        <v>4.0692500000000003</v>
      </c>
      <c r="K41" s="7">
        <f t="shared" si="19"/>
        <v>4.0891000000000002</v>
      </c>
      <c r="L41" s="4" t="s">
        <v>3</v>
      </c>
    </row>
    <row r="42" spans="1:12" x14ac:dyDescent="0.3">
      <c r="A42" s="8">
        <f t="shared" si="10"/>
        <v>3.8317999999999999</v>
      </c>
      <c r="B42" s="8">
        <f t="shared" si="11"/>
        <v>3.8513500000000001</v>
      </c>
      <c r="C42" s="7">
        <f t="shared" si="12"/>
        <v>3.8709000000000002</v>
      </c>
      <c r="D42" s="8">
        <f t="shared" si="13"/>
        <v>3.89045</v>
      </c>
      <c r="E42" s="9">
        <v>3.91</v>
      </c>
      <c r="F42" s="8">
        <f t="shared" si="14"/>
        <v>3.9295499999999999</v>
      </c>
      <c r="G42" s="7">
        <f t="shared" si="15"/>
        <v>3.9491000000000001</v>
      </c>
      <c r="H42" s="8">
        <f t="shared" si="16"/>
        <v>3.9686499999999998</v>
      </c>
      <c r="I42" s="7">
        <f t="shared" si="17"/>
        <v>3.9882000000000004</v>
      </c>
      <c r="J42" s="8">
        <f t="shared" si="18"/>
        <v>4.0077499999999997</v>
      </c>
      <c r="K42" s="7">
        <f t="shared" si="19"/>
        <v>4.0273000000000003</v>
      </c>
      <c r="L42" s="2" t="s">
        <v>2</v>
      </c>
    </row>
    <row r="43" spans="1:12" x14ac:dyDescent="0.3">
      <c r="A43" s="8">
        <f t="shared" si="10"/>
        <v>3.8513999999999999</v>
      </c>
      <c r="B43" s="8">
        <f t="shared" si="11"/>
        <v>3.8710500000000003</v>
      </c>
      <c r="C43" s="7">
        <f t="shared" si="12"/>
        <v>3.8907000000000003</v>
      </c>
      <c r="D43" s="8">
        <f t="shared" si="13"/>
        <v>3.9103500000000002</v>
      </c>
      <c r="E43" s="9">
        <v>3.93</v>
      </c>
      <c r="F43" s="8">
        <f t="shared" si="14"/>
        <v>3.9496499999999997</v>
      </c>
      <c r="G43" s="7">
        <f t="shared" si="15"/>
        <v>3.9693000000000001</v>
      </c>
      <c r="H43" s="8">
        <f t="shared" si="16"/>
        <v>3.98895</v>
      </c>
      <c r="I43" s="7">
        <f t="shared" si="17"/>
        <v>4.0086000000000004</v>
      </c>
      <c r="J43" s="8">
        <f t="shared" si="18"/>
        <v>4.0282499999999999</v>
      </c>
      <c r="K43" s="7">
        <f t="shared" si="19"/>
        <v>4.0479000000000003</v>
      </c>
      <c r="L43" s="2" t="s">
        <v>2</v>
      </c>
    </row>
    <row r="44" spans="1:12" x14ac:dyDescent="0.3">
      <c r="A44" s="8">
        <f t="shared" si="10"/>
        <v>3.9886000000000004</v>
      </c>
      <c r="B44" s="8">
        <f t="shared" si="11"/>
        <v>4.0089500000000005</v>
      </c>
      <c r="C44" s="7">
        <f t="shared" si="12"/>
        <v>4.0293000000000001</v>
      </c>
      <c r="D44" s="8">
        <f t="shared" si="13"/>
        <v>4.0496500000000006</v>
      </c>
      <c r="E44" s="9">
        <v>4.07</v>
      </c>
      <c r="F44" s="8">
        <f t="shared" si="14"/>
        <v>4.0903499999999999</v>
      </c>
      <c r="G44" s="7">
        <f t="shared" si="15"/>
        <v>4.1107000000000005</v>
      </c>
      <c r="H44" s="8">
        <f t="shared" si="16"/>
        <v>4.1310500000000001</v>
      </c>
      <c r="I44" s="7">
        <f t="shared" si="17"/>
        <v>4.1514000000000006</v>
      </c>
      <c r="J44" s="8">
        <f t="shared" si="18"/>
        <v>4.1717500000000003</v>
      </c>
      <c r="K44" s="7">
        <f t="shared" si="19"/>
        <v>4.1921000000000008</v>
      </c>
      <c r="L44" s="2" t="s">
        <v>2</v>
      </c>
    </row>
    <row r="45" spans="1:12" x14ac:dyDescent="0.3">
      <c r="A45" s="8">
        <f t="shared" si="10"/>
        <v>4.0278</v>
      </c>
      <c r="B45" s="8">
        <f t="shared" si="11"/>
        <v>4.0483500000000001</v>
      </c>
      <c r="C45" s="7">
        <f t="shared" si="12"/>
        <v>4.0689000000000002</v>
      </c>
      <c r="D45" s="8">
        <f t="shared" si="13"/>
        <v>4.0894500000000003</v>
      </c>
      <c r="E45" s="9">
        <v>4.1100000000000003</v>
      </c>
      <c r="F45" s="8">
        <f t="shared" si="14"/>
        <v>4.1305499999999995</v>
      </c>
      <c r="G45" s="7">
        <f t="shared" si="15"/>
        <v>4.1511000000000005</v>
      </c>
      <c r="H45" s="8">
        <f t="shared" si="16"/>
        <v>4.1716499999999996</v>
      </c>
      <c r="I45" s="7">
        <f t="shared" si="17"/>
        <v>4.1922000000000006</v>
      </c>
      <c r="J45" s="8">
        <f t="shared" si="18"/>
        <v>4.2127499999999998</v>
      </c>
      <c r="K45" s="7">
        <f t="shared" si="19"/>
        <v>4.2333000000000007</v>
      </c>
      <c r="L45" s="4" t="s">
        <v>3</v>
      </c>
    </row>
    <row r="46" spans="1:12" x14ac:dyDescent="0.3">
      <c r="A46" s="8">
        <f t="shared" si="10"/>
        <v>3.9219599999999999</v>
      </c>
      <c r="B46" s="8">
        <f t="shared" si="11"/>
        <v>3.9419699999999995</v>
      </c>
      <c r="C46" s="7">
        <f t="shared" si="12"/>
        <v>3.9619799999999996</v>
      </c>
      <c r="D46" s="8">
        <f t="shared" si="13"/>
        <v>3.9819899999999997</v>
      </c>
      <c r="E46" s="9">
        <v>4.0019999999999998</v>
      </c>
      <c r="F46" s="8">
        <f t="shared" si="14"/>
        <v>4.022009999999999</v>
      </c>
      <c r="G46" s="7">
        <f t="shared" si="15"/>
        <v>4.0420199999999999</v>
      </c>
      <c r="H46" s="8">
        <f t="shared" si="16"/>
        <v>4.0620299999999991</v>
      </c>
      <c r="I46" s="7">
        <f t="shared" si="17"/>
        <v>4.0820400000000001</v>
      </c>
      <c r="J46" s="8">
        <f t="shared" si="18"/>
        <v>4.1020499999999993</v>
      </c>
      <c r="K46" s="7">
        <f t="shared" si="19"/>
        <v>4.1220600000000003</v>
      </c>
      <c r="L46" s="13" t="s">
        <v>1</v>
      </c>
    </row>
    <row r="47" spans="1:12" x14ac:dyDescent="0.3">
      <c r="A47" s="8">
        <f t="shared" si="10"/>
        <v>3.8563000000000001</v>
      </c>
      <c r="B47" s="8">
        <f t="shared" si="11"/>
        <v>3.8759749999999999</v>
      </c>
      <c r="C47" s="7">
        <f t="shared" si="12"/>
        <v>3.8956499999999998</v>
      </c>
      <c r="D47" s="8">
        <f t="shared" si="13"/>
        <v>3.9153250000000002</v>
      </c>
      <c r="E47" s="9">
        <v>3.9350000000000001</v>
      </c>
      <c r="F47" s="8">
        <f t="shared" si="14"/>
        <v>3.9546749999999995</v>
      </c>
      <c r="G47" s="7">
        <f t="shared" si="15"/>
        <v>3.9743500000000003</v>
      </c>
      <c r="H47" s="8">
        <f t="shared" si="16"/>
        <v>3.9940249999999997</v>
      </c>
      <c r="I47" s="7">
        <f t="shared" si="17"/>
        <v>4.0137</v>
      </c>
      <c r="J47" s="8">
        <f t="shared" si="18"/>
        <v>4.0333749999999995</v>
      </c>
      <c r="K47" s="7">
        <f t="shared" si="19"/>
        <v>4.0530499999999998</v>
      </c>
      <c r="L47" s="14" t="s">
        <v>0</v>
      </c>
    </row>
    <row r="48" spans="1:12" x14ac:dyDescent="0.3">
      <c r="A48" s="8">
        <f t="shared" si="10"/>
        <v>3.7043999999999997</v>
      </c>
      <c r="B48" s="8">
        <f t="shared" si="11"/>
        <v>3.7232999999999996</v>
      </c>
      <c r="C48" s="7">
        <f t="shared" si="12"/>
        <v>3.7422</v>
      </c>
      <c r="D48" s="8">
        <f t="shared" si="13"/>
        <v>3.7610999999999999</v>
      </c>
      <c r="E48" s="9">
        <v>3.78</v>
      </c>
      <c r="F48" s="8">
        <f t="shared" si="14"/>
        <v>3.7988999999999993</v>
      </c>
      <c r="G48" s="7">
        <f t="shared" si="15"/>
        <v>3.8177999999999996</v>
      </c>
      <c r="H48" s="8">
        <f t="shared" si="16"/>
        <v>3.8366999999999996</v>
      </c>
      <c r="I48" s="7">
        <f t="shared" si="17"/>
        <v>3.8555999999999999</v>
      </c>
      <c r="J48" s="8">
        <f t="shared" si="18"/>
        <v>3.8744999999999994</v>
      </c>
      <c r="K48" s="7">
        <f t="shared" si="19"/>
        <v>3.8933999999999997</v>
      </c>
      <c r="L48" s="13">
        <v>-0.01</v>
      </c>
    </row>
    <row r="49" spans="1:12" x14ac:dyDescent="0.3">
      <c r="A49" s="8">
        <f t="shared" si="10"/>
        <v>3.6632400000000001</v>
      </c>
      <c r="B49" s="8">
        <f t="shared" si="11"/>
        <v>3.6819299999999999</v>
      </c>
      <c r="C49" s="7">
        <f t="shared" si="12"/>
        <v>3.7006199999999998</v>
      </c>
      <c r="D49" s="8">
        <f t="shared" si="13"/>
        <v>3.7193100000000001</v>
      </c>
      <c r="E49" s="9">
        <v>3.738</v>
      </c>
      <c r="F49" s="8">
        <f t="shared" si="14"/>
        <v>3.7566899999999994</v>
      </c>
      <c r="G49" s="7">
        <f t="shared" si="15"/>
        <v>3.7753800000000002</v>
      </c>
      <c r="H49" s="8">
        <f t="shared" si="16"/>
        <v>3.7940699999999996</v>
      </c>
      <c r="I49" s="7">
        <f t="shared" si="17"/>
        <v>3.8127599999999999</v>
      </c>
      <c r="J49" s="8">
        <f t="shared" si="18"/>
        <v>3.8314499999999998</v>
      </c>
      <c r="K49" s="7">
        <f t="shared" si="19"/>
        <v>3.8501400000000001</v>
      </c>
      <c r="L49" s="6">
        <v>0</v>
      </c>
    </row>
    <row r="50" spans="1:12" x14ac:dyDescent="0.3">
      <c r="A50" s="8">
        <f t="shared" si="10"/>
        <v>3.6103200000000002</v>
      </c>
      <c r="B50" s="8">
        <f t="shared" si="11"/>
        <v>3.6287400000000001</v>
      </c>
      <c r="C50" s="7">
        <f t="shared" si="12"/>
        <v>3.64716</v>
      </c>
      <c r="D50" s="8">
        <f t="shared" si="13"/>
        <v>3.6655800000000003</v>
      </c>
      <c r="E50" s="9">
        <v>3.6840000000000002</v>
      </c>
      <c r="F50" s="8">
        <f t="shared" si="14"/>
        <v>3.7024199999999996</v>
      </c>
      <c r="G50" s="7">
        <f t="shared" si="15"/>
        <v>3.7208400000000004</v>
      </c>
      <c r="H50" s="8">
        <f t="shared" si="16"/>
        <v>3.7392599999999998</v>
      </c>
      <c r="I50" s="7">
        <f t="shared" si="17"/>
        <v>3.7576800000000001</v>
      </c>
      <c r="J50" s="8">
        <f t="shared" si="18"/>
        <v>3.7761</v>
      </c>
      <c r="K50" s="7">
        <f t="shared" si="19"/>
        <v>3.7945200000000003</v>
      </c>
      <c r="L50" s="6">
        <v>0</v>
      </c>
    </row>
    <row r="51" spans="1:12" x14ac:dyDescent="0.3">
      <c r="A51" s="8">
        <f t="shared" si="10"/>
        <v>3.6397200000000001</v>
      </c>
      <c r="B51" s="8">
        <f t="shared" si="11"/>
        <v>3.65829</v>
      </c>
      <c r="C51" s="7">
        <f t="shared" si="12"/>
        <v>3.67686</v>
      </c>
      <c r="D51" s="8">
        <f t="shared" si="13"/>
        <v>3.69543</v>
      </c>
      <c r="E51" s="9">
        <v>3.714</v>
      </c>
      <c r="F51" s="8">
        <f t="shared" si="14"/>
        <v>3.7325699999999995</v>
      </c>
      <c r="G51" s="7">
        <f t="shared" si="15"/>
        <v>3.7511399999999999</v>
      </c>
      <c r="H51" s="8">
        <f t="shared" si="16"/>
        <v>3.7697099999999995</v>
      </c>
      <c r="I51" s="7">
        <f t="shared" si="17"/>
        <v>3.7882799999999999</v>
      </c>
      <c r="J51" s="8">
        <f t="shared" si="18"/>
        <v>3.8068499999999998</v>
      </c>
      <c r="K51" s="7">
        <f t="shared" si="19"/>
        <v>3.8254200000000003</v>
      </c>
      <c r="L51" s="6">
        <v>0</v>
      </c>
    </row>
    <row r="52" spans="1:12" x14ac:dyDescent="0.3">
      <c r="A52" s="11">
        <f t="shared" si="10"/>
        <v>0</v>
      </c>
      <c r="B52" s="11">
        <f t="shared" si="11"/>
        <v>0</v>
      </c>
      <c r="C52" s="11">
        <f t="shared" si="12"/>
        <v>0</v>
      </c>
      <c r="D52" s="11">
        <f t="shared" si="13"/>
        <v>0</v>
      </c>
      <c r="E52" s="12">
        <v>0</v>
      </c>
      <c r="F52" s="11">
        <f t="shared" si="14"/>
        <v>0</v>
      </c>
      <c r="G52" s="11">
        <f t="shared" si="15"/>
        <v>0</v>
      </c>
      <c r="H52" s="11">
        <f t="shared" si="16"/>
        <v>0</v>
      </c>
      <c r="I52" s="11">
        <f t="shared" si="17"/>
        <v>0</v>
      </c>
      <c r="J52" s="11">
        <f t="shared" si="18"/>
        <v>0</v>
      </c>
      <c r="K52" s="11">
        <f t="shared" si="19"/>
        <v>0</v>
      </c>
      <c r="L52" s="10"/>
    </row>
    <row r="53" spans="1:12" x14ac:dyDescent="0.3">
      <c r="A53" s="8">
        <f t="shared" si="10"/>
        <v>0</v>
      </c>
      <c r="B53" s="8">
        <f t="shared" si="11"/>
        <v>0</v>
      </c>
      <c r="C53" s="7">
        <f t="shared" si="12"/>
        <v>0</v>
      </c>
      <c r="D53" s="8">
        <f t="shared" si="13"/>
        <v>0</v>
      </c>
      <c r="E53" s="9">
        <v>0</v>
      </c>
      <c r="F53" s="8">
        <f t="shared" si="14"/>
        <v>0</v>
      </c>
      <c r="G53" s="7">
        <f t="shared" si="15"/>
        <v>0</v>
      </c>
      <c r="H53" s="8">
        <f t="shared" si="16"/>
        <v>0</v>
      </c>
      <c r="I53" s="7">
        <f t="shared" si="17"/>
        <v>0</v>
      </c>
      <c r="J53" s="8">
        <f t="shared" si="18"/>
        <v>0</v>
      </c>
      <c r="K53" s="7">
        <f t="shared" si="19"/>
        <v>0</v>
      </c>
      <c r="L53" s="6"/>
    </row>
    <row r="54" spans="1:12" x14ac:dyDescent="0.3">
      <c r="A54" s="8">
        <f t="shared" si="10"/>
        <v>0</v>
      </c>
      <c r="B54" s="8">
        <f t="shared" si="11"/>
        <v>0</v>
      </c>
      <c r="C54" s="7">
        <f t="shared" si="12"/>
        <v>0</v>
      </c>
      <c r="D54" s="8">
        <f t="shared" si="13"/>
        <v>0</v>
      </c>
      <c r="E54" s="9">
        <v>0</v>
      </c>
      <c r="F54" s="8">
        <f t="shared" si="14"/>
        <v>0</v>
      </c>
      <c r="G54" s="7">
        <f t="shared" si="15"/>
        <v>0</v>
      </c>
      <c r="H54" s="8">
        <f t="shared" si="16"/>
        <v>0</v>
      </c>
      <c r="I54" s="7">
        <f t="shared" si="17"/>
        <v>0</v>
      </c>
      <c r="J54" s="8">
        <f t="shared" si="18"/>
        <v>0</v>
      </c>
      <c r="K54" s="7">
        <f t="shared" si="19"/>
        <v>0</v>
      </c>
      <c r="L54" s="6"/>
    </row>
    <row r="55" spans="1:12" x14ac:dyDescent="0.3">
      <c r="A55" s="8">
        <f t="shared" si="10"/>
        <v>0</v>
      </c>
      <c r="B55" s="8">
        <f t="shared" si="11"/>
        <v>0</v>
      </c>
      <c r="C55" s="7">
        <f t="shared" si="12"/>
        <v>0</v>
      </c>
      <c r="D55" s="8">
        <f t="shared" si="13"/>
        <v>0</v>
      </c>
      <c r="E55" s="9">
        <v>0</v>
      </c>
      <c r="F55" s="8">
        <f t="shared" si="14"/>
        <v>0</v>
      </c>
      <c r="G55" s="7">
        <f t="shared" si="15"/>
        <v>0</v>
      </c>
      <c r="H55" s="8">
        <f t="shared" si="16"/>
        <v>0</v>
      </c>
      <c r="I55" s="7">
        <f t="shared" si="17"/>
        <v>0</v>
      </c>
      <c r="J55" s="8">
        <f t="shared" si="18"/>
        <v>0</v>
      </c>
      <c r="K55" s="7">
        <f t="shared" si="19"/>
        <v>0</v>
      </c>
      <c r="L55" s="6"/>
    </row>
    <row r="56" spans="1:12" x14ac:dyDescent="0.3">
      <c r="A56" s="8">
        <f t="shared" si="10"/>
        <v>0</v>
      </c>
      <c r="B56" s="8">
        <f t="shared" si="11"/>
        <v>0</v>
      </c>
      <c r="C56" s="7">
        <f t="shared" si="12"/>
        <v>0</v>
      </c>
      <c r="D56" s="8">
        <f t="shared" si="13"/>
        <v>0</v>
      </c>
      <c r="E56" s="9">
        <v>0</v>
      </c>
      <c r="F56" s="8">
        <f t="shared" si="14"/>
        <v>0</v>
      </c>
      <c r="G56" s="7">
        <f t="shared" si="15"/>
        <v>0</v>
      </c>
      <c r="H56" s="8">
        <f t="shared" si="16"/>
        <v>0</v>
      </c>
      <c r="I56" s="7">
        <f t="shared" si="17"/>
        <v>0</v>
      </c>
      <c r="J56" s="8">
        <f t="shared" si="18"/>
        <v>0</v>
      </c>
      <c r="K56" s="7">
        <f t="shared" si="19"/>
        <v>0</v>
      </c>
      <c r="L56" s="6"/>
    </row>
    <row r="57" spans="1:12" x14ac:dyDescent="0.3">
      <c r="A57" s="8">
        <f t="shared" si="10"/>
        <v>0</v>
      </c>
      <c r="B57" s="8">
        <f t="shared" si="11"/>
        <v>0</v>
      </c>
      <c r="C57" s="7">
        <f t="shared" si="12"/>
        <v>0</v>
      </c>
      <c r="D57" s="8">
        <f t="shared" si="13"/>
        <v>0</v>
      </c>
      <c r="E57" s="9">
        <v>0</v>
      </c>
      <c r="F57" s="8">
        <f t="shared" si="14"/>
        <v>0</v>
      </c>
      <c r="G57" s="7">
        <f t="shared" si="15"/>
        <v>0</v>
      </c>
      <c r="H57" s="8">
        <f t="shared" si="16"/>
        <v>0</v>
      </c>
      <c r="I57" s="7">
        <f t="shared" si="17"/>
        <v>0</v>
      </c>
      <c r="J57" s="8">
        <f t="shared" si="18"/>
        <v>0</v>
      </c>
      <c r="K57" s="7">
        <f t="shared" si="19"/>
        <v>0</v>
      </c>
      <c r="L57" s="6"/>
    </row>
    <row r="58" spans="1:12" x14ac:dyDescent="0.3">
      <c r="A58" s="8">
        <f t="shared" si="10"/>
        <v>0</v>
      </c>
      <c r="B58" s="8">
        <f t="shared" si="11"/>
        <v>0</v>
      </c>
      <c r="C58" s="7">
        <f t="shared" si="12"/>
        <v>0</v>
      </c>
      <c r="D58" s="8">
        <f t="shared" si="13"/>
        <v>0</v>
      </c>
      <c r="E58" s="9">
        <v>0</v>
      </c>
      <c r="F58" s="8">
        <f t="shared" si="14"/>
        <v>0</v>
      </c>
      <c r="G58" s="7">
        <f t="shared" si="15"/>
        <v>0</v>
      </c>
      <c r="H58" s="8">
        <f t="shared" si="16"/>
        <v>0</v>
      </c>
      <c r="I58" s="7">
        <f t="shared" si="17"/>
        <v>0</v>
      </c>
      <c r="J58" s="8">
        <f t="shared" si="18"/>
        <v>0</v>
      </c>
      <c r="K58" s="7">
        <f t="shared" si="19"/>
        <v>0</v>
      </c>
      <c r="L58" s="6"/>
    </row>
    <row r="59" spans="1:12" x14ac:dyDescent="0.3">
      <c r="A59" s="8">
        <f t="shared" si="10"/>
        <v>0</v>
      </c>
      <c r="B59" s="8">
        <f t="shared" si="11"/>
        <v>0</v>
      </c>
      <c r="C59" s="7">
        <f t="shared" si="12"/>
        <v>0</v>
      </c>
      <c r="D59" s="8">
        <f t="shared" si="13"/>
        <v>0</v>
      </c>
      <c r="E59" s="9">
        <v>0</v>
      </c>
      <c r="F59" s="8">
        <f t="shared" si="14"/>
        <v>0</v>
      </c>
      <c r="G59" s="7">
        <f t="shared" si="15"/>
        <v>0</v>
      </c>
      <c r="H59" s="8">
        <f t="shared" si="16"/>
        <v>0</v>
      </c>
      <c r="I59" s="7">
        <f t="shared" si="17"/>
        <v>0</v>
      </c>
      <c r="J59" s="8">
        <f t="shared" si="18"/>
        <v>0</v>
      </c>
      <c r="K59" s="7">
        <f t="shared" si="19"/>
        <v>0</v>
      </c>
      <c r="L59" s="6"/>
    </row>
    <row r="60" spans="1:12" x14ac:dyDescent="0.3">
      <c r="A60" s="8">
        <f t="shared" si="10"/>
        <v>0</v>
      </c>
      <c r="B60" s="8">
        <f t="shared" si="11"/>
        <v>0</v>
      </c>
      <c r="C60" s="7">
        <f t="shared" si="12"/>
        <v>0</v>
      </c>
      <c r="D60" s="8">
        <f t="shared" si="13"/>
        <v>0</v>
      </c>
      <c r="E60" s="9">
        <v>0</v>
      </c>
      <c r="F60" s="8">
        <f t="shared" si="14"/>
        <v>0</v>
      </c>
      <c r="G60" s="7">
        <f t="shared" si="15"/>
        <v>0</v>
      </c>
      <c r="H60" s="8">
        <f t="shared" si="16"/>
        <v>0</v>
      </c>
      <c r="I60" s="7">
        <f t="shared" si="17"/>
        <v>0</v>
      </c>
      <c r="J60" s="8">
        <f t="shared" si="18"/>
        <v>0</v>
      </c>
      <c r="K60" s="7">
        <f t="shared" si="19"/>
        <v>0</v>
      </c>
      <c r="L60" s="6"/>
    </row>
    <row r="61" spans="1:12" x14ac:dyDescent="0.3">
      <c r="A61" s="8">
        <f t="shared" si="10"/>
        <v>0</v>
      </c>
      <c r="B61" s="8">
        <f t="shared" si="11"/>
        <v>0</v>
      </c>
      <c r="C61" s="7">
        <f t="shared" si="12"/>
        <v>0</v>
      </c>
      <c r="D61" s="8">
        <f t="shared" si="13"/>
        <v>0</v>
      </c>
      <c r="E61" s="9">
        <v>0</v>
      </c>
      <c r="F61" s="8">
        <f t="shared" si="14"/>
        <v>0</v>
      </c>
      <c r="G61" s="7">
        <f t="shared" si="15"/>
        <v>0</v>
      </c>
      <c r="H61" s="8">
        <f t="shared" si="16"/>
        <v>0</v>
      </c>
      <c r="I61" s="7">
        <f t="shared" si="17"/>
        <v>0</v>
      </c>
      <c r="J61" s="8">
        <f t="shared" si="18"/>
        <v>0</v>
      </c>
      <c r="K61" s="7">
        <f t="shared" si="19"/>
        <v>0</v>
      </c>
      <c r="L61" s="6"/>
    </row>
    <row r="62" spans="1:12" x14ac:dyDescent="0.3">
      <c r="A62" s="8">
        <f t="shared" si="10"/>
        <v>0</v>
      </c>
      <c r="B62" s="8">
        <f t="shared" si="11"/>
        <v>0</v>
      </c>
      <c r="C62" s="7">
        <f t="shared" si="12"/>
        <v>0</v>
      </c>
      <c r="D62" s="8">
        <f t="shared" si="13"/>
        <v>0</v>
      </c>
      <c r="E62" s="9">
        <v>0</v>
      </c>
      <c r="F62" s="8">
        <f t="shared" si="14"/>
        <v>0</v>
      </c>
      <c r="G62" s="7">
        <f t="shared" si="15"/>
        <v>0</v>
      </c>
      <c r="H62" s="8">
        <f t="shared" si="16"/>
        <v>0</v>
      </c>
      <c r="I62" s="7">
        <f t="shared" si="17"/>
        <v>0</v>
      </c>
      <c r="J62" s="8">
        <f t="shared" si="18"/>
        <v>0</v>
      </c>
      <c r="K62" s="7">
        <f t="shared" si="19"/>
        <v>0</v>
      </c>
      <c r="L62" s="6"/>
    </row>
    <row r="63" spans="1:12" x14ac:dyDescent="0.3">
      <c r="A63" s="8">
        <f t="shared" si="10"/>
        <v>0</v>
      </c>
      <c r="B63" s="8">
        <f t="shared" si="11"/>
        <v>0</v>
      </c>
      <c r="C63" s="7">
        <f t="shared" si="12"/>
        <v>0</v>
      </c>
      <c r="D63" s="8">
        <f t="shared" si="13"/>
        <v>0</v>
      </c>
      <c r="E63" s="9">
        <v>0</v>
      </c>
      <c r="F63" s="8">
        <f t="shared" si="14"/>
        <v>0</v>
      </c>
      <c r="G63" s="7">
        <f t="shared" si="15"/>
        <v>0</v>
      </c>
      <c r="H63" s="8">
        <f t="shared" si="16"/>
        <v>0</v>
      </c>
      <c r="I63" s="7">
        <f t="shared" si="17"/>
        <v>0</v>
      </c>
      <c r="J63" s="8">
        <f t="shared" si="18"/>
        <v>0</v>
      </c>
      <c r="K63" s="7">
        <f t="shared" si="19"/>
        <v>0</v>
      </c>
      <c r="L63" s="6"/>
    </row>
    <row r="64" spans="1:12" x14ac:dyDescent="0.3">
      <c r="A64" s="8">
        <f t="shared" si="10"/>
        <v>0</v>
      </c>
      <c r="B64" s="8">
        <f t="shared" si="11"/>
        <v>0</v>
      </c>
      <c r="C64" s="7">
        <f t="shared" si="12"/>
        <v>0</v>
      </c>
      <c r="D64" s="8">
        <f t="shared" si="13"/>
        <v>0</v>
      </c>
      <c r="E64" s="9">
        <v>0</v>
      </c>
      <c r="F64" s="8">
        <f t="shared" si="14"/>
        <v>0</v>
      </c>
      <c r="G64" s="7">
        <f t="shared" si="15"/>
        <v>0</v>
      </c>
      <c r="H64" s="8">
        <f t="shared" si="16"/>
        <v>0</v>
      </c>
      <c r="I64" s="7">
        <f t="shared" si="17"/>
        <v>0</v>
      </c>
      <c r="J64" s="8">
        <f t="shared" si="18"/>
        <v>0</v>
      </c>
      <c r="K64" s="7">
        <f t="shared" si="19"/>
        <v>0</v>
      </c>
      <c r="L64" s="6"/>
    </row>
    <row r="65" spans="1:12" x14ac:dyDescent="0.3">
      <c r="A65" s="8">
        <f t="shared" si="10"/>
        <v>0</v>
      </c>
      <c r="B65" s="8">
        <f t="shared" si="11"/>
        <v>0</v>
      </c>
      <c r="C65" s="7">
        <f t="shared" si="12"/>
        <v>0</v>
      </c>
      <c r="D65" s="8">
        <f t="shared" si="13"/>
        <v>0</v>
      </c>
      <c r="E65" s="9">
        <v>0</v>
      </c>
      <c r="F65" s="8">
        <f t="shared" si="14"/>
        <v>0</v>
      </c>
      <c r="G65" s="7">
        <f t="shared" si="15"/>
        <v>0</v>
      </c>
      <c r="H65" s="8">
        <f t="shared" si="16"/>
        <v>0</v>
      </c>
      <c r="I65" s="7">
        <f t="shared" si="17"/>
        <v>0</v>
      </c>
      <c r="J65" s="8">
        <f t="shared" si="18"/>
        <v>0</v>
      </c>
      <c r="K65" s="7">
        <f t="shared" si="19"/>
        <v>0</v>
      </c>
      <c r="L65" s="6"/>
    </row>
    <row r="66" spans="1:12" x14ac:dyDescent="0.3">
      <c r="A66" s="8">
        <f t="shared" si="10"/>
        <v>0</v>
      </c>
      <c r="B66" s="8">
        <f t="shared" si="11"/>
        <v>0</v>
      </c>
      <c r="C66" s="7">
        <f t="shared" si="12"/>
        <v>0</v>
      </c>
      <c r="D66" s="8">
        <f t="shared" si="13"/>
        <v>0</v>
      </c>
      <c r="E66" s="9">
        <v>0</v>
      </c>
      <c r="F66" s="8">
        <f t="shared" si="14"/>
        <v>0</v>
      </c>
      <c r="G66" s="7">
        <f t="shared" si="15"/>
        <v>0</v>
      </c>
      <c r="H66" s="8">
        <f t="shared" si="16"/>
        <v>0</v>
      </c>
      <c r="I66" s="7">
        <f t="shared" si="17"/>
        <v>0</v>
      </c>
      <c r="J66" s="8">
        <f t="shared" si="18"/>
        <v>0</v>
      </c>
      <c r="K66" s="7">
        <f t="shared" si="19"/>
        <v>0</v>
      </c>
      <c r="L66" s="6"/>
    </row>
    <row r="67" spans="1:12" x14ac:dyDescent="0.3">
      <c r="A67" s="8">
        <f t="shared" si="10"/>
        <v>0</v>
      </c>
      <c r="B67" s="8">
        <f t="shared" si="11"/>
        <v>0</v>
      </c>
      <c r="C67" s="7">
        <f t="shared" si="12"/>
        <v>0</v>
      </c>
      <c r="D67" s="8">
        <f t="shared" si="13"/>
        <v>0</v>
      </c>
      <c r="E67" s="9">
        <v>0</v>
      </c>
      <c r="F67" s="8">
        <f t="shared" si="14"/>
        <v>0</v>
      </c>
      <c r="G67" s="7">
        <f t="shared" si="15"/>
        <v>0</v>
      </c>
      <c r="H67" s="8">
        <f t="shared" si="16"/>
        <v>0</v>
      </c>
      <c r="I67" s="7">
        <f t="shared" si="17"/>
        <v>0</v>
      </c>
      <c r="J67" s="8">
        <f t="shared" si="18"/>
        <v>0</v>
      </c>
      <c r="K67" s="7">
        <f t="shared" si="19"/>
        <v>0</v>
      </c>
      <c r="L67" s="6"/>
    </row>
    <row r="68" spans="1:12" x14ac:dyDescent="0.3">
      <c r="A68" s="8">
        <f t="shared" ref="A68:A99" si="20">E68*0.98</f>
        <v>0</v>
      </c>
      <c r="B68" s="8">
        <f t="shared" ref="B68:B99" si="21">E68*0.985</f>
        <v>0</v>
      </c>
      <c r="C68" s="7">
        <f t="shared" ref="C68:C99" si="22">E68*0.99</f>
        <v>0</v>
      </c>
      <c r="D68" s="8">
        <f t="shared" ref="D68:D99" si="23">E68*0.995</f>
        <v>0</v>
      </c>
      <c r="E68" s="9">
        <v>0</v>
      </c>
      <c r="F68" s="8">
        <f t="shared" ref="F68:F99" si="24">E68*1.005</f>
        <v>0</v>
      </c>
      <c r="G68" s="7">
        <f t="shared" ref="G68:G99" si="25">E68*1.01</f>
        <v>0</v>
      </c>
      <c r="H68" s="8">
        <f t="shared" ref="H68:H99" si="26">E68*1.015</f>
        <v>0</v>
      </c>
      <c r="I68" s="7">
        <f t="shared" ref="I68:I99" si="27">E68*1.02</f>
        <v>0</v>
      </c>
      <c r="J68" s="8">
        <f t="shared" ref="J68:J99" si="28">E68*1.025</f>
        <v>0</v>
      </c>
      <c r="K68" s="7">
        <f t="shared" ref="K68:K99" si="29">E68*1.03</f>
        <v>0</v>
      </c>
      <c r="L68" s="6"/>
    </row>
    <row r="69" spans="1:12" x14ac:dyDescent="0.3">
      <c r="A69" s="8">
        <f t="shared" si="20"/>
        <v>0</v>
      </c>
      <c r="B69" s="8">
        <f t="shared" si="21"/>
        <v>0</v>
      </c>
      <c r="C69" s="7">
        <f t="shared" si="22"/>
        <v>0</v>
      </c>
      <c r="D69" s="8">
        <f t="shared" si="23"/>
        <v>0</v>
      </c>
      <c r="E69" s="9">
        <v>0</v>
      </c>
      <c r="F69" s="8">
        <f t="shared" si="24"/>
        <v>0</v>
      </c>
      <c r="G69" s="7">
        <f t="shared" si="25"/>
        <v>0</v>
      </c>
      <c r="H69" s="8">
        <f t="shared" si="26"/>
        <v>0</v>
      </c>
      <c r="I69" s="7">
        <f t="shared" si="27"/>
        <v>0</v>
      </c>
      <c r="J69" s="8">
        <f t="shared" si="28"/>
        <v>0</v>
      </c>
      <c r="K69" s="7">
        <f t="shared" si="29"/>
        <v>0</v>
      </c>
      <c r="L69" s="6"/>
    </row>
    <row r="70" spans="1:12" x14ac:dyDescent="0.3">
      <c r="A70" s="8">
        <f t="shared" si="20"/>
        <v>0</v>
      </c>
      <c r="B70" s="8">
        <f t="shared" si="21"/>
        <v>0</v>
      </c>
      <c r="C70" s="7">
        <f t="shared" si="22"/>
        <v>0</v>
      </c>
      <c r="D70" s="8">
        <f t="shared" si="23"/>
        <v>0</v>
      </c>
      <c r="E70" s="9">
        <v>0</v>
      </c>
      <c r="F70" s="8">
        <f t="shared" si="24"/>
        <v>0</v>
      </c>
      <c r="G70" s="7">
        <f t="shared" si="25"/>
        <v>0</v>
      </c>
      <c r="H70" s="8">
        <f t="shared" si="26"/>
        <v>0</v>
      </c>
      <c r="I70" s="7">
        <f t="shared" si="27"/>
        <v>0</v>
      </c>
      <c r="J70" s="8">
        <f t="shared" si="28"/>
        <v>0</v>
      </c>
      <c r="K70" s="7">
        <f t="shared" si="29"/>
        <v>0</v>
      </c>
      <c r="L70" s="6"/>
    </row>
    <row r="71" spans="1:12" x14ac:dyDescent="0.3">
      <c r="A71" s="8">
        <f t="shared" si="20"/>
        <v>0</v>
      </c>
      <c r="B71" s="8">
        <f t="shared" si="21"/>
        <v>0</v>
      </c>
      <c r="C71" s="7">
        <f t="shared" si="22"/>
        <v>0</v>
      </c>
      <c r="D71" s="8">
        <f t="shared" si="23"/>
        <v>0</v>
      </c>
      <c r="E71" s="9">
        <v>0</v>
      </c>
      <c r="F71" s="8">
        <f t="shared" si="24"/>
        <v>0</v>
      </c>
      <c r="G71" s="7">
        <f t="shared" si="25"/>
        <v>0</v>
      </c>
      <c r="H71" s="8">
        <f t="shared" si="26"/>
        <v>0</v>
      </c>
      <c r="I71" s="7">
        <f t="shared" si="27"/>
        <v>0</v>
      </c>
      <c r="J71" s="8">
        <f t="shared" si="28"/>
        <v>0</v>
      </c>
      <c r="K71" s="7">
        <f t="shared" si="29"/>
        <v>0</v>
      </c>
      <c r="L71" s="6"/>
    </row>
    <row r="72" spans="1:12" x14ac:dyDescent="0.3">
      <c r="A72" s="8">
        <f t="shared" si="20"/>
        <v>0</v>
      </c>
      <c r="B72" s="8">
        <f t="shared" si="21"/>
        <v>0</v>
      </c>
      <c r="C72" s="7">
        <f t="shared" si="22"/>
        <v>0</v>
      </c>
      <c r="D72" s="8">
        <f t="shared" si="23"/>
        <v>0</v>
      </c>
      <c r="E72" s="9">
        <v>0</v>
      </c>
      <c r="F72" s="8">
        <f t="shared" si="24"/>
        <v>0</v>
      </c>
      <c r="G72" s="7">
        <f t="shared" si="25"/>
        <v>0</v>
      </c>
      <c r="H72" s="8">
        <f t="shared" si="26"/>
        <v>0</v>
      </c>
      <c r="I72" s="7">
        <f t="shared" si="27"/>
        <v>0</v>
      </c>
      <c r="J72" s="8">
        <f t="shared" si="28"/>
        <v>0</v>
      </c>
      <c r="K72" s="7">
        <f t="shared" si="29"/>
        <v>0</v>
      </c>
      <c r="L72" s="6"/>
    </row>
    <row r="73" spans="1:12" x14ac:dyDescent="0.3">
      <c r="A73" s="8">
        <f t="shared" si="20"/>
        <v>0</v>
      </c>
      <c r="B73" s="8">
        <f t="shared" si="21"/>
        <v>0</v>
      </c>
      <c r="C73" s="7">
        <f t="shared" si="22"/>
        <v>0</v>
      </c>
      <c r="D73" s="8">
        <f t="shared" si="23"/>
        <v>0</v>
      </c>
      <c r="E73" s="9">
        <v>0</v>
      </c>
      <c r="F73" s="8">
        <f t="shared" si="24"/>
        <v>0</v>
      </c>
      <c r="G73" s="7">
        <f t="shared" si="25"/>
        <v>0</v>
      </c>
      <c r="H73" s="8">
        <f t="shared" si="26"/>
        <v>0</v>
      </c>
      <c r="I73" s="7">
        <f t="shared" si="27"/>
        <v>0</v>
      </c>
      <c r="J73" s="8">
        <f t="shared" si="28"/>
        <v>0</v>
      </c>
      <c r="K73" s="7">
        <f t="shared" si="29"/>
        <v>0</v>
      </c>
      <c r="L73" s="6"/>
    </row>
    <row r="74" spans="1:12" x14ac:dyDescent="0.3">
      <c r="A74" s="8">
        <f t="shared" si="20"/>
        <v>0</v>
      </c>
      <c r="B74" s="8">
        <f t="shared" si="21"/>
        <v>0</v>
      </c>
      <c r="C74" s="7">
        <f t="shared" si="22"/>
        <v>0</v>
      </c>
      <c r="D74" s="8">
        <f t="shared" si="23"/>
        <v>0</v>
      </c>
      <c r="E74" s="9">
        <v>0</v>
      </c>
      <c r="F74" s="8">
        <f t="shared" si="24"/>
        <v>0</v>
      </c>
      <c r="G74" s="7">
        <f t="shared" si="25"/>
        <v>0</v>
      </c>
      <c r="H74" s="8">
        <f t="shared" si="26"/>
        <v>0</v>
      </c>
      <c r="I74" s="7">
        <f t="shared" si="27"/>
        <v>0</v>
      </c>
      <c r="J74" s="8">
        <f t="shared" si="28"/>
        <v>0</v>
      </c>
      <c r="K74" s="7">
        <f t="shared" si="29"/>
        <v>0</v>
      </c>
      <c r="L74" s="6"/>
    </row>
    <row r="75" spans="1:12" x14ac:dyDescent="0.3">
      <c r="A75" s="8">
        <f t="shared" si="20"/>
        <v>0</v>
      </c>
      <c r="B75" s="8">
        <f t="shared" si="21"/>
        <v>0</v>
      </c>
      <c r="C75" s="7">
        <f t="shared" si="22"/>
        <v>0</v>
      </c>
      <c r="D75" s="8">
        <f t="shared" si="23"/>
        <v>0</v>
      </c>
      <c r="E75" s="9">
        <v>0</v>
      </c>
      <c r="F75" s="8">
        <f t="shared" si="24"/>
        <v>0</v>
      </c>
      <c r="G75" s="7">
        <f t="shared" si="25"/>
        <v>0</v>
      </c>
      <c r="H75" s="8">
        <f t="shared" si="26"/>
        <v>0</v>
      </c>
      <c r="I75" s="7">
        <f t="shared" si="27"/>
        <v>0</v>
      </c>
      <c r="J75" s="8">
        <f t="shared" si="28"/>
        <v>0</v>
      </c>
      <c r="K75" s="7">
        <f t="shared" si="29"/>
        <v>0</v>
      </c>
      <c r="L75" s="6"/>
    </row>
    <row r="76" spans="1:12" x14ac:dyDescent="0.3">
      <c r="A76" s="8">
        <f t="shared" si="20"/>
        <v>0</v>
      </c>
      <c r="B76" s="8">
        <f t="shared" si="21"/>
        <v>0</v>
      </c>
      <c r="C76" s="7">
        <f t="shared" si="22"/>
        <v>0</v>
      </c>
      <c r="D76" s="8">
        <f t="shared" si="23"/>
        <v>0</v>
      </c>
      <c r="E76" s="9">
        <v>0</v>
      </c>
      <c r="F76" s="8">
        <f t="shared" si="24"/>
        <v>0</v>
      </c>
      <c r="G76" s="7">
        <f t="shared" si="25"/>
        <v>0</v>
      </c>
      <c r="H76" s="8">
        <f t="shared" si="26"/>
        <v>0</v>
      </c>
      <c r="I76" s="7">
        <f t="shared" si="27"/>
        <v>0</v>
      </c>
      <c r="J76" s="8">
        <f t="shared" si="28"/>
        <v>0</v>
      </c>
      <c r="K76" s="7">
        <f t="shared" si="29"/>
        <v>0</v>
      </c>
      <c r="L76" s="6"/>
    </row>
    <row r="77" spans="1:12" x14ac:dyDescent="0.3">
      <c r="A77" s="8">
        <f t="shared" si="20"/>
        <v>0</v>
      </c>
      <c r="B77" s="8">
        <f t="shared" si="21"/>
        <v>0</v>
      </c>
      <c r="C77" s="7">
        <f t="shared" si="22"/>
        <v>0</v>
      </c>
      <c r="D77" s="8">
        <f t="shared" si="23"/>
        <v>0</v>
      </c>
      <c r="E77" s="9">
        <v>0</v>
      </c>
      <c r="F77" s="8">
        <f t="shared" si="24"/>
        <v>0</v>
      </c>
      <c r="G77" s="7">
        <f t="shared" si="25"/>
        <v>0</v>
      </c>
      <c r="H77" s="8">
        <f t="shared" si="26"/>
        <v>0</v>
      </c>
      <c r="I77" s="7">
        <f t="shared" si="27"/>
        <v>0</v>
      </c>
      <c r="J77" s="8">
        <f t="shared" si="28"/>
        <v>0</v>
      </c>
      <c r="K77" s="7">
        <f t="shared" si="29"/>
        <v>0</v>
      </c>
      <c r="L77" s="6"/>
    </row>
    <row r="78" spans="1:12" x14ac:dyDescent="0.3">
      <c r="A78" s="8">
        <f t="shared" si="20"/>
        <v>0</v>
      </c>
      <c r="B78" s="8">
        <f t="shared" si="21"/>
        <v>0</v>
      </c>
      <c r="C78" s="7">
        <f t="shared" si="22"/>
        <v>0</v>
      </c>
      <c r="D78" s="8">
        <f t="shared" si="23"/>
        <v>0</v>
      </c>
      <c r="E78" s="9">
        <v>0</v>
      </c>
      <c r="F78" s="8">
        <f t="shared" si="24"/>
        <v>0</v>
      </c>
      <c r="G78" s="7">
        <f t="shared" si="25"/>
        <v>0</v>
      </c>
      <c r="H78" s="8">
        <f t="shared" si="26"/>
        <v>0</v>
      </c>
      <c r="I78" s="7">
        <f t="shared" si="27"/>
        <v>0</v>
      </c>
      <c r="J78" s="8">
        <f t="shared" si="28"/>
        <v>0</v>
      </c>
      <c r="K78" s="7">
        <f t="shared" si="29"/>
        <v>0</v>
      </c>
      <c r="L78" s="6"/>
    </row>
    <row r="79" spans="1:12" x14ac:dyDescent="0.3">
      <c r="A79" s="8">
        <f t="shared" si="20"/>
        <v>0</v>
      </c>
      <c r="B79" s="8">
        <f t="shared" si="21"/>
        <v>0</v>
      </c>
      <c r="C79" s="7">
        <f t="shared" si="22"/>
        <v>0</v>
      </c>
      <c r="D79" s="8">
        <f t="shared" si="23"/>
        <v>0</v>
      </c>
      <c r="E79" s="9">
        <v>0</v>
      </c>
      <c r="F79" s="8">
        <f t="shared" si="24"/>
        <v>0</v>
      </c>
      <c r="G79" s="7">
        <f t="shared" si="25"/>
        <v>0</v>
      </c>
      <c r="H79" s="8">
        <f t="shared" si="26"/>
        <v>0</v>
      </c>
      <c r="I79" s="7">
        <f t="shared" si="27"/>
        <v>0</v>
      </c>
      <c r="J79" s="8">
        <f t="shared" si="28"/>
        <v>0</v>
      </c>
      <c r="K79" s="7">
        <f t="shared" si="29"/>
        <v>0</v>
      </c>
      <c r="L79" s="6"/>
    </row>
    <row r="80" spans="1:12" x14ac:dyDescent="0.3">
      <c r="A80" s="8">
        <f t="shared" si="20"/>
        <v>0</v>
      </c>
      <c r="B80" s="8">
        <f t="shared" si="21"/>
        <v>0</v>
      </c>
      <c r="C80" s="7">
        <f t="shared" si="22"/>
        <v>0</v>
      </c>
      <c r="D80" s="8">
        <f t="shared" si="23"/>
        <v>0</v>
      </c>
      <c r="E80" s="9">
        <v>0</v>
      </c>
      <c r="F80" s="8">
        <f t="shared" si="24"/>
        <v>0</v>
      </c>
      <c r="G80" s="7">
        <f t="shared" si="25"/>
        <v>0</v>
      </c>
      <c r="H80" s="8">
        <f t="shared" si="26"/>
        <v>0</v>
      </c>
      <c r="I80" s="7">
        <f t="shared" si="27"/>
        <v>0</v>
      </c>
      <c r="J80" s="8">
        <f t="shared" si="28"/>
        <v>0</v>
      </c>
      <c r="K80" s="7">
        <f t="shared" si="29"/>
        <v>0</v>
      </c>
      <c r="L80" s="6"/>
    </row>
    <row r="81" spans="1:12" x14ac:dyDescent="0.3">
      <c r="A81" s="8">
        <f t="shared" si="20"/>
        <v>0</v>
      </c>
      <c r="B81" s="8">
        <f t="shared" si="21"/>
        <v>0</v>
      </c>
      <c r="C81" s="7">
        <f t="shared" si="22"/>
        <v>0</v>
      </c>
      <c r="D81" s="8">
        <f t="shared" si="23"/>
        <v>0</v>
      </c>
      <c r="E81" s="9">
        <v>0</v>
      </c>
      <c r="F81" s="8">
        <f t="shared" si="24"/>
        <v>0</v>
      </c>
      <c r="G81" s="7">
        <f t="shared" si="25"/>
        <v>0</v>
      </c>
      <c r="H81" s="8">
        <f t="shared" si="26"/>
        <v>0</v>
      </c>
      <c r="I81" s="7">
        <f t="shared" si="27"/>
        <v>0</v>
      </c>
      <c r="J81" s="8">
        <f t="shared" si="28"/>
        <v>0</v>
      </c>
      <c r="K81" s="7">
        <f t="shared" si="29"/>
        <v>0</v>
      </c>
      <c r="L81" s="6"/>
    </row>
    <row r="82" spans="1:12" x14ac:dyDescent="0.3">
      <c r="A82" s="8">
        <f t="shared" si="20"/>
        <v>0</v>
      </c>
      <c r="B82" s="8">
        <f t="shared" si="21"/>
        <v>0</v>
      </c>
      <c r="C82" s="7">
        <f t="shared" si="22"/>
        <v>0</v>
      </c>
      <c r="D82" s="8">
        <f t="shared" si="23"/>
        <v>0</v>
      </c>
      <c r="E82" s="9">
        <v>0</v>
      </c>
      <c r="F82" s="8">
        <f t="shared" si="24"/>
        <v>0</v>
      </c>
      <c r="G82" s="7">
        <f t="shared" si="25"/>
        <v>0</v>
      </c>
      <c r="H82" s="8">
        <f t="shared" si="26"/>
        <v>0</v>
      </c>
      <c r="I82" s="7">
        <f t="shared" si="27"/>
        <v>0</v>
      </c>
      <c r="J82" s="8">
        <f t="shared" si="28"/>
        <v>0</v>
      </c>
      <c r="K82" s="7">
        <f t="shared" si="29"/>
        <v>0</v>
      </c>
      <c r="L82" s="6"/>
    </row>
    <row r="83" spans="1:12" x14ac:dyDescent="0.3">
      <c r="A83" s="8">
        <f t="shared" si="20"/>
        <v>0</v>
      </c>
      <c r="B83" s="8">
        <f t="shared" si="21"/>
        <v>0</v>
      </c>
      <c r="C83" s="7">
        <f t="shared" si="22"/>
        <v>0</v>
      </c>
      <c r="D83" s="8">
        <f t="shared" si="23"/>
        <v>0</v>
      </c>
      <c r="E83" s="9">
        <v>0</v>
      </c>
      <c r="F83" s="8">
        <f t="shared" si="24"/>
        <v>0</v>
      </c>
      <c r="G83" s="7">
        <f t="shared" si="25"/>
        <v>0</v>
      </c>
      <c r="H83" s="8">
        <f t="shared" si="26"/>
        <v>0</v>
      </c>
      <c r="I83" s="7">
        <f t="shared" si="27"/>
        <v>0</v>
      </c>
      <c r="J83" s="8">
        <f t="shared" si="28"/>
        <v>0</v>
      </c>
      <c r="K83" s="7">
        <f t="shared" si="29"/>
        <v>0</v>
      </c>
      <c r="L83" s="6"/>
    </row>
    <row r="84" spans="1:12" x14ac:dyDescent="0.3">
      <c r="A84" s="8">
        <f t="shared" si="20"/>
        <v>0</v>
      </c>
      <c r="B84" s="8">
        <f t="shared" si="21"/>
        <v>0</v>
      </c>
      <c r="C84" s="7">
        <f t="shared" si="22"/>
        <v>0</v>
      </c>
      <c r="D84" s="8">
        <f t="shared" si="23"/>
        <v>0</v>
      </c>
      <c r="E84" s="9">
        <v>0</v>
      </c>
      <c r="F84" s="8">
        <f t="shared" si="24"/>
        <v>0</v>
      </c>
      <c r="G84" s="7">
        <f t="shared" si="25"/>
        <v>0</v>
      </c>
      <c r="H84" s="8">
        <f t="shared" si="26"/>
        <v>0</v>
      </c>
      <c r="I84" s="7">
        <f t="shared" si="27"/>
        <v>0</v>
      </c>
      <c r="J84" s="8">
        <f t="shared" si="28"/>
        <v>0</v>
      </c>
      <c r="K84" s="7">
        <f t="shared" si="29"/>
        <v>0</v>
      </c>
      <c r="L84" s="6"/>
    </row>
    <row r="85" spans="1:12" x14ac:dyDescent="0.3">
      <c r="A85" s="8">
        <f t="shared" si="20"/>
        <v>0</v>
      </c>
      <c r="B85" s="8">
        <f t="shared" si="21"/>
        <v>0</v>
      </c>
      <c r="C85" s="7">
        <f t="shared" si="22"/>
        <v>0</v>
      </c>
      <c r="D85" s="8">
        <f t="shared" si="23"/>
        <v>0</v>
      </c>
      <c r="E85" s="9">
        <v>0</v>
      </c>
      <c r="F85" s="8">
        <f t="shared" si="24"/>
        <v>0</v>
      </c>
      <c r="G85" s="7">
        <f t="shared" si="25"/>
        <v>0</v>
      </c>
      <c r="H85" s="8">
        <f t="shared" si="26"/>
        <v>0</v>
      </c>
      <c r="I85" s="7">
        <f t="shared" si="27"/>
        <v>0</v>
      </c>
      <c r="J85" s="8">
        <f t="shared" si="28"/>
        <v>0</v>
      </c>
      <c r="K85" s="7">
        <f t="shared" si="29"/>
        <v>0</v>
      </c>
      <c r="L85" s="6"/>
    </row>
    <row r="86" spans="1:12" x14ac:dyDescent="0.3">
      <c r="A86" s="8">
        <f t="shared" si="20"/>
        <v>0</v>
      </c>
      <c r="B86" s="8">
        <f t="shared" si="21"/>
        <v>0</v>
      </c>
      <c r="C86" s="7">
        <f t="shared" si="22"/>
        <v>0</v>
      </c>
      <c r="D86" s="8">
        <f t="shared" si="23"/>
        <v>0</v>
      </c>
      <c r="E86" s="9">
        <v>0</v>
      </c>
      <c r="F86" s="8">
        <f t="shared" si="24"/>
        <v>0</v>
      </c>
      <c r="G86" s="7">
        <f t="shared" si="25"/>
        <v>0</v>
      </c>
      <c r="H86" s="8">
        <f t="shared" si="26"/>
        <v>0</v>
      </c>
      <c r="I86" s="7">
        <f t="shared" si="27"/>
        <v>0</v>
      </c>
      <c r="J86" s="8">
        <f t="shared" si="28"/>
        <v>0</v>
      </c>
      <c r="K86" s="7">
        <f t="shared" si="29"/>
        <v>0</v>
      </c>
      <c r="L86" s="6"/>
    </row>
    <row r="87" spans="1:12" x14ac:dyDescent="0.3">
      <c r="A87" s="8">
        <f t="shared" si="20"/>
        <v>0</v>
      </c>
      <c r="B87" s="8">
        <f t="shared" si="21"/>
        <v>0</v>
      </c>
      <c r="C87" s="7">
        <f t="shared" si="22"/>
        <v>0</v>
      </c>
      <c r="D87" s="8">
        <f t="shared" si="23"/>
        <v>0</v>
      </c>
      <c r="E87" s="9">
        <v>0</v>
      </c>
      <c r="F87" s="8">
        <f t="shared" si="24"/>
        <v>0</v>
      </c>
      <c r="G87" s="7">
        <f t="shared" si="25"/>
        <v>0</v>
      </c>
      <c r="H87" s="8">
        <f t="shared" si="26"/>
        <v>0</v>
      </c>
      <c r="I87" s="7">
        <f t="shared" si="27"/>
        <v>0</v>
      </c>
      <c r="J87" s="8">
        <f t="shared" si="28"/>
        <v>0</v>
      </c>
      <c r="K87" s="7">
        <f t="shared" si="29"/>
        <v>0</v>
      </c>
      <c r="L87" s="6"/>
    </row>
    <row r="88" spans="1:12" x14ac:dyDescent="0.3">
      <c r="A88" s="8">
        <f t="shared" si="20"/>
        <v>0</v>
      </c>
      <c r="B88" s="8">
        <f t="shared" si="21"/>
        <v>0</v>
      </c>
      <c r="C88" s="7">
        <f t="shared" si="22"/>
        <v>0</v>
      </c>
      <c r="D88" s="8">
        <f t="shared" si="23"/>
        <v>0</v>
      </c>
      <c r="E88" s="9">
        <v>0</v>
      </c>
      <c r="F88" s="8">
        <f t="shared" si="24"/>
        <v>0</v>
      </c>
      <c r="G88" s="7">
        <f t="shared" si="25"/>
        <v>0</v>
      </c>
      <c r="H88" s="8">
        <f t="shared" si="26"/>
        <v>0</v>
      </c>
      <c r="I88" s="7">
        <f t="shared" si="27"/>
        <v>0</v>
      </c>
      <c r="J88" s="8">
        <f t="shared" si="28"/>
        <v>0</v>
      </c>
      <c r="K88" s="7">
        <f t="shared" si="29"/>
        <v>0</v>
      </c>
      <c r="L88" s="6"/>
    </row>
    <row r="89" spans="1:12" x14ac:dyDescent="0.3">
      <c r="A89" s="8">
        <f t="shared" si="20"/>
        <v>0</v>
      </c>
      <c r="B89" s="8">
        <f t="shared" si="21"/>
        <v>0</v>
      </c>
      <c r="C89" s="7">
        <f t="shared" si="22"/>
        <v>0</v>
      </c>
      <c r="D89" s="8">
        <f t="shared" si="23"/>
        <v>0</v>
      </c>
      <c r="E89" s="9">
        <v>0</v>
      </c>
      <c r="F89" s="8">
        <f t="shared" si="24"/>
        <v>0</v>
      </c>
      <c r="G89" s="7">
        <f t="shared" si="25"/>
        <v>0</v>
      </c>
      <c r="H89" s="8">
        <f t="shared" si="26"/>
        <v>0</v>
      </c>
      <c r="I89" s="7">
        <f t="shared" si="27"/>
        <v>0</v>
      </c>
      <c r="J89" s="8">
        <f t="shared" si="28"/>
        <v>0</v>
      </c>
      <c r="K89" s="7">
        <f t="shared" si="29"/>
        <v>0</v>
      </c>
      <c r="L89" s="6"/>
    </row>
    <row r="90" spans="1:12" x14ac:dyDescent="0.3">
      <c r="A90" s="8">
        <f t="shared" si="20"/>
        <v>0</v>
      </c>
      <c r="B90" s="8">
        <f t="shared" si="21"/>
        <v>0</v>
      </c>
      <c r="C90" s="7">
        <f t="shared" si="22"/>
        <v>0</v>
      </c>
      <c r="D90" s="8">
        <f t="shared" si="23"/>
        <v>0</v>
      </c>
      <c r="E90" s="9">
        <v>0</v>
      </c>
      <c r="F90" s="8">
        <f t="shared" si="24"/>
        <v>0</v>
      </c>
      <c r="G90" s="7">
        <f t="shared" si="25"/>
        <v>0</v>
      </c>
      <c r="H90" s="8">
        <f t="shared" si="26"/>
        <v>0</v>
      </c>
      <c r="I90" s="7">
        <f t="shared" si="27"/>
        <v>0</v>
      </c>
      <c r="J90" s="8">
        <f t="shared" si="28"/>
        <v>0</v>
      </c>
      <c r="K90" s="7">
        <f t="shared" si="29"/>
        <v>0</v>
      </c>
      <c r="L90" s="6"/>
    </row>
    <row r="91" spans="1:12" x14ac:dyDescent="0.3">
      <c r="A91" s="8">
        <f t="shared" si="20"/>
        <v>0</v>
      </c>
      <c r="B91" s="8">
        <f t="shared" si="21"/>
        <v>0</v>
      </c>
      <c r="C91" s="7">
        <f t="shared" si="22"/>
        <v>0</v>
      </c>
      <c r="D91" s="8">
        <f t="shared" si="23"/>
        <v>0</v>
      </c>
      <c r="E91" s="9">
        <v>0</v>
      </c>
      <c r="F91" s="8">
        <f t="shared" si="24"/>
        <v>0</v>
      </c>
      <c r="G91" s="7">
        <f t="shared" si="25"/>
        <v>0</v>
      </c>
      <c r="H91" s="8">
        <f t="shared" si="26"/>
        <v>0</v>
      </c>
      <c r="I91" s="7">
        <f t="shared" si="27"/>
        <v>0</v>
      </c>
      <c r="J91" s="8">
        <f t="shared" si="28"/>
        <v>0</v>
      </c>
      <c r="K91" s="7">
        <f t="shared" si="29"/>
        <v>0</v>
      </c>
      <c r="L91" s="6"/>
    </row>
    <row r="92" spans="1:12" x14ac:dyDescent="0.3">
      <c r="A92" s="8">
        <f t="shared" si="20"/>
        <v>0</v>
      </c>
      <c r="B92" s="8">
        <f t="shared" si="21"/>
        <v>0</v>
      </c>
      <c r="C92" s="7">
        <f t="shared" si="22"/>
        <v>0</v>
      </c>
      <c r="D92" s="8">
        <f t="shared" si="23"/>
        <v>0</v>
      </c>
      <c r="E92" s="9">
        <v>0</v>
      </c>
      <c r="F92" s="8">
        <f t="shared" si="24"/>
        <v>0</v>
      </c>
      <c r="G92" s="7">
        <f t="shared" si="25"/>
        <v>0</v>
      </c>
      <c r="H92" s="8">
        <f t="shared" si="26"/>
        <v>0</v>
      </c>
      <c r="I92" s="7">
        <f t="shared" si="27"/>
        <v>0</v>
      </c>
      <c r="J92" s="8">
        <f t="shared" si="28"/>
        <v>0</v>
      </c>
      <c r="K92" s="7">
        <f t="shared" si="29"/>
        <v>0</v>
      </c>
      <c r="L92" s="6"/>
    </row>
    <row r="93" spans="1:12" x14ac:dyDescent="0.3">
      <c r="A93" s="8">
        <f t="shared" si="20"/>
        <v>0</v>
      </c>
      <c r="B93" s="8">
        <f t="shared" si="21"/>
        <v>0</v>
      </c>
      <c r="C93" s="7">
        <f t="shared" si="22"/>
        <v>0</v>
      </c>
      <c r="D93" s="8">
        <f t="shared" si="23"/>
        <v>0</v>
      </c>
      <c r="E93" s="9">
        <v>0</v>
      </c>
      <c r="F93" s="8">
        <f t="shared" si="24"/>
        <v>0</v>
      </c>
      <c r="G93" s="7">
        <f t="shared" si="25"/>
        <v>0</v>
      </c>
      <c r="H93" s="8">
        <f t="shared" si="26"/>
        <v>0</v>
      </c>
      <c r="I93" s="7">
        <f t="shared" si="27"/>
        <v>0</v>
      </c>
      <c r="J93" s="8">
        <f t="shared" si="28"/>
        <v>0</v>
      </c>
      <c r="K93" s="7">
        <f t="shared" si="29"/>
        <v>0</v>
      </c>
      <c r="L93" s="6"/>
    </row>
    <row r="94" spans="1:12" x14ac:dyDescent="0.3">
      <c r="A94" s="8">
        <f t="shared" si="20"/>
        <v>0</v>
      </c>
      <c r="B94" s="8">
        <f t="shared" si="21"/>
        <v>0</v>
      </c>
      <c r="C94" s="7">
        <f t="shared" si="22"/>
        <v>0</v>
      </c>
      <c r="D94" s="8">
        <f t="shared" si="23"/>
        <v>0</v>
      </c>
      <c r="E94" s="9">
        <v>0</v>
      </c>
      <c r="F94" s="8">
        <f t="shared" si="24"/>
        <v>0</v>
      </c>
      <c r="G94" s="7">
        <f t="shared" si="25"/>
        <v>0</v>
      </c>
      <c r="H94" s="8">
        <f t="shared" si="26"/>
        <v>0</v>
      </c>
      <c r="I94" s="7">
        <f t="shared" si="27"/>
        <v>0</v>
      </c>
      <c r="J94" s="8">
        <f t="shared" si="28"/>
        <v>0</v>
      </c>
      <c r="K94" s="7">
        <f t="shared" si="29"/>
        <v>0</v>
      </c>
      <c r="L94" s="6"/>
    </row>
    <row r="95" spans="1:12" x14ac:dyDescent="0.3">
      <c r="A95" s="8">
        <f t="shared" si="20"/>
        <v>0</v>
      </c>
      <c r="B95" s="8">
        <f t="shared" si="21"/>
        <v>0</v>
      </c>
      <c r="C95" s="7">
        <f t="shared" si="22"/>
        <v>0</v>
      </c>
      <c r="D95" s="8">
        <f t="shared" si="23"/>
        <v>0</v>
      </c>
      <c r="E95" s="9">
        <v>0</v>
      </c>
      <c r="F95" s="8">
        <f t="shared" si="24"/>
        <v>0</v>
      </c>
      <c r="G95" s="7">
        <f t="shared" si="25"/>
        <v>0</v>
      </c>
      <c r="H95" s="8">
        <f t="shared" si="26"/>
        <v>0</v>
      </c>
      <c r="I95" s="7">
        <f t="shared" si="27"/>
        <v>0</v>
      </c>
      <c r="J95" s="8">
        <f t="shared" si="28"/>
        <v>0</v>
      </c>
      <c r="K95" s="7">
        <f t="shared" si="29"/>
        <v>0</v>
      </c>
      <c r="L95" s="6"/>
    </row>
    <row r="96" spans="1:12" x14ac:dyDescent="0.3">
      <c r="A96" s="8">
        <f t="shared" si="20"/>
        <v>0</v>
      </c>
      <c r="B96" s="8">
        <f t="shared" si="21"/>
        <v>0</v>
      </c>
      <c r="C96" s="7">
        <f t="shared" si="22"/>
        <v>0</v>
      </c>
      <c r="D96" s="8">
        <f t="shared" si="23"/>
        <v>0</v>
      </c>
      <c r="E96" s="9">
        <v>0</v>
      </c>
      <c r="F96" s="8">
        <f t="shared" si="24"/>
        <v>0</v>
      </c>
      <c r="G96" s="7">
        <f t="shared" si="25"/>
        <v>0</v>
      </c>
      <c r="H96" s="8">
        <f t="shared" si="26"/>
        <v>0</v>
      </c>
      <c r="I96" s="7">
        <f t="shared" si="27"/>
        <v>0</v>
      </c>
      <c r="J96" s="8">
        <f t="shared" si="28"/>
        <v>0</v>
      </c>
      <c r="K96" s="7">
        <f t="shared" si="29"/>
        <v>0</v>
      </c>
      <c r="L96" s="6"/>
    </row>
    <row r="97" spans="1:12" x14ac:dyDescent="0.3">
      <c r="A97" s="8">
        <f t="shared" si="20"/>
        <v>0</v>
      </c>
      <c r="B97" s="8">
        <f t="shared" si="21"/>
        <v>0</v>
      </c>
      <c r="C97" s="7">
        <f t="shared" si="22"/>
        <v>0</v>
      </c>
      <c r="D97" s="8">
        <f t="shared" si="23"/>
        <v>0</v>
      </c>
      <c r="E97" s="9">
        <v>0</v>
      </c>
      <c r="F97" s="8">
        <f t="shared" si="24"/>
        <v>0</v>
      </c>
      <c r="G97" s="7">
        <f t="shared" si="25"/>
        <v>0</v>
      </c>
      <c r="H97" s="8">
        <f t="shared" si="26"/>
        <v>0</v>
      </c>
      <c r="I97" s="7">
        <f t="shared" si="27"/>
        <v>0</v>
      </c>
      <c r="J97" s="8">
        <f t="shared" si="28"/>
        <v>0</v>
      </c>
      <c r="K97" s="7">
        <f t="shared" si="29"/>
        <v>0</v>
      </c>
      <c r="L97" s="6"/>
    </row>
    <row r="98" spans="1:12" x14ac:dyDescent="0.3">
      <c r="A98" s="8">
        <f t="shared" si="20"/>
        <v>0</v>
      </c>
      <c r="B98" s="8">
        <f t="shared" si="21"/>
        <v>0</v>
      </c>
      <c r="C98" s="7">
        <f t="shared" si="22"/>
        <v>0</v>
      </c>
      <c r="D98" s="8">
        <f t="shared" si="23"/>
        <v>0</v>
      </c>
      <c r="E98" s="9">
        <v>0</v>
      </c>
      <c r="F98" s="8">
        <f t="shared" si="24"/>
        <v>0</v>
      </c>
      <c r="G98" s="7">
        <f t="shared" si="25"/>
        <v>0</v>
      </c>
      <c r="H98" s="8">
        <f t="shared" si="26"/>
        <v>0</v>
      </c>
      <c r="I98" s="7">
        <f t="shared" si="27"/>
        <v>0</v>
      </c>
      <c r="J98" s="8">
        <f t="shared" si="28"/>
        <v>0</v>
      </c>
      <c r="K98" s="7">
        <f t="shared" si="29"/>
        <v>0</v>
      </c>
      <c r="L98" s="6"/>
    </row>
    <row r="99" spans="1:12" x14ac:dyDescent="0.3">
      <c r="A99" s="8">
        <f t="shared" si="20"/>
        <v>0</v>
      </c>
      <c r="B99" s="8">
        <f t="shared" si="21"/>
        <v>0</v>
      </c>
      <c r="C99" s="7">
        <f t="shared" si="22"/>
        <v>0</v>
      </c>
      <c r="D99" s="8">
        <f t="shared" si="23"/>
        <v>0</v>
      </c>
      <c r="E99" s="9">
        <v>0</v>
      </c>
      <c r="F99" s="8">
        <f t="shared" si="24"/>
        <v>0</v>
      </c>
      <c r="G99" s="7">
        <f t="shared" si="25"/>
        <v>0</v>
      </c>
      <c r="H99" s="8">
        <f t="shared" si="26"/>
        <v>0</v>
      </c>
      <c r="I99" s="7">
        <f t="shared" si="27"/>
        <v>0</v>
      </c>
      <c r="J99" s="8">
        <f t="shared" si="28"/>
        <v>0</v>
      </c>
      <c r="K99" s="7">
        <f t="shared" si="29"/>
        <v>0</v>
      </c>
      <c r="L99" s="6"/>
    </row>
    <row r="100" spans="1:12" x14ac:dyDescent="0.3">
      <c r="A100" s="8">
        <f t="shared" ref="A100:A131" si="30">E100*0.98</f>
        <v>0</v>
      </c>
      <c r="B100" s="8">
        <f t="shared" ref="B100:B131" si="31">E100*0.985</f>
        <v>0</v>
      </c>
      <c r="C100" s="7">
        <f t="shared" ref="C100:C131" si="32">E100*0.99</f>
        <v>0</v>
      </c>
      <c r="D100" s="8">
        <f t="shared" ref="D100:D131" si="33">E100*0.995</f>
        <v>0</v>
      </c>
      <c r="E100" s="9">
        <v>0</v>
      </c>
      <c r="F100" s="8">
        <f t="shared" ref="F100:F131" si="34">E100*1.005</f>
        <v>0</v>
      </c>
      <c r="G100" s="7">
        <f t="shared" ref="G100:G131" si="35">E100*1.01</f>
        <v>0</v>
      </c>
      <c r="H100" s="8">
        <f t="shared" ref="H100:H131" si="36">E100*1.015</f>
        <v>0</v>
      </c>
      <c r="I100" s="7">
        <f t="shared" ref="I100:I131" si="37">E100*1.02</f>
        <v>0</v>
      </c>
      <c r="J100" s="8">
        <f t="shared" ref="J100:J131" si="38">E100*1.025</f>
        <v>0</v>
      </c>
      <c r="K100" s="7">
        <f t="shared" ref="K100:K131" si="39">E100*1.03</f>
        <v>0</v>
      </c>
      <c r="L100" s="6"/>
    </row>
    <row r="101" spans="1:12" x14ac:dyDescent="0.3">
      <c r="A101" s="8">
        <f t="shared" si="30"/>
        <v>0</v>
      </c>
      <c r="B101" s="8">
        <f t="shared" si="31"/>
        <v>0</v>
      </c>
      <c r="C101" s="7">
        <f t="shared" si="32"/>
        <v>0</v>
      </c>
      <c r="D101" s="8">
        <f t="shared" si="33"/>
        <v>0</v>
      </c>
      <c r="E101" s="9">
        <v>0</v>
      </c>
      <c r="F101" s="8">
        <f t="shared" si="34"/>
        <v>0</v>
      </c>
      <c r="G101" s="7">
        <f t="shared" si="35"/>
        <v>0</v>
      </c>
      <c r="H101" s="8">
        <f t="shared" si="36"/>
        <v>0</v>
      </c>
      <c r="I101" s="7">
        <f t="shared" si="37"/>
        <v>0</v>
      </c>
      <c r="J101" s="8">
        <f t="shared" si="38"/>
        <v>0</v>
      </c>
      <c r="K101" s="7">
        <f t="shared" si="39"/>
        <v>0</v>
      </c>
      <c r="L101" s="6"/>
    </row>
    <row r="102" spans="1:12" x14ac:dyDescent="0.3">
      <c r="A102" s="8">
        <f t="shared" si="30"/>
        <v>0</v>
      </c>
      <c r="B102" s="8">
        <f t="shared" si="31"/>
        <v>0</v>
      </c>
      <c r="C102" s="7">
        <f t="shared" si="32"/>
        <v>0</v>
      </c>
      <c r="D102" s="8">
        <f t="shared" si="33"/>
        <v>0</v>
      </c>
      <c r="E102" s="9">
        <v>0</v>
      </c>
      <c r="F102" s="8">
        <f t="shared" si="34"/>
        <v>0</v>
      </c>
      <c r="G102" s="7">
        <f t="shared" si="35"/>
        <v>0</v>
      </c>
      <c r="H102" s="8">
        <f t="shared" si="36"/>
        <v>0</v>
      </c>
      <c r="I102" s="7">
        <f t="shared" si="37"/>
        <v>0</v>
      </c>
      <c r="J102" s="8">
        <f t="shared" si="38"/>
        <v>0</v>
      </c>
      <c r="K102" s="7">
        <f t="shared" si="39"/>
        <v>0</v>
      </c>
      <c r="L102" s="6"/>
    </row>
    <row r="103" spans="1:12" x14ac:dyDescent="0.3">
      <c r="A103" s="8">
        <f t="shared" si="30"/>
        <v>0</v>
      </c>
      <c r="B103" s="8">
        <f t="shared" si="31"/>
        <v>0</v>
      </c>
      <c r="C103" s="7">
        <f t="shared" si="32"/>
        <v>0</v>
      </c>
      <c r="D103" s="8">
        <f t="shared" si="33"/>
        <v>0</v>
      </c>
      <c r="E103" s="9">
        <v>0</v>
      </c>
      <c r="F103" s="8">
        <f t="shared" si="34"/>
        <v>0</v>
      </c>
      <c r="G103" s="7">
        <f t="shared" si="35"/>
        <v>0</v>
      </c>
      <c r="H103" s="8">
        <f t="shared" si="36"/>
        <v>0</v>
      </c>
      <c r="I103" s="7">
        <f t="shared" si="37"/>
        <v>0</v>
      </c>
      <c r="J103" s="8">
        <f t="shared" si="38"/>
        <v>0</v>
      </c>
      <c r="K103" s="7">
        <f t="shared" si="39"/>
        <v>0</v>
      </c>
      <c r="L103" s="6"/>
    </row>
    <row r="104" spans="1:12" x14ac:dyDescent="0.3">
      <c r="A104" s="8">
        <f t="shared" si="30"/>
        <v>0</v>
      </c>
      <c r="B104" s="8">
        <f t="shared" si="31"/>
        <v>0</v>
      </c>
      <c r="C104" s="7">
        <f t="shared" si="32"/>
        <v>0</v>
      </c>
      <c r="D104" s="8">
        <f t="shared" si="33"/>
        <v>0</v>
      </c>
      <c r="E104" s="9">
        <v>0</v>
      </c>
      <c r="F104" s="8">
        <f t="shared" si="34"/>
        <v>0</v>
      </c>
      <c r="G104" s="7">
        <f t="shared" si="35"/>
        <v>0</v>
      </c>
      <c r="H104" s="8">
        <f t="shared" si="36"/>
        <v>0</v>
      </c>
      <c r="I104" s="7">
        <f t="shared" si="37"/>
        <v>0</v>
      </c>
      <c r="J104" s="8">
        <f t="shared" si="38"/>
        <v>0</v>
      </c>
      <c r="K104" s="7">
        <f t="shared" si="39"/>
        <v>0</v>
      </c>
      <c r="L104" s="6"/>
    </row>
    <row r="105" spans="1:12" x14ac:dyDescent="0.3">
      <c r="A105" s="8">
        <f t="shared" si="30"/>
        <v>0</v>
      </c>
      <c r="B105" s="8">
        <f t="shared" si="31"/>
        <v>0</v>
      </c>
      <c r="C105" s="7">
        <f t="shared" si="32"/>
        <v>0</v>
      </c>
      <c r="D105" s="8">
        <f t="shared" si="33"/>
        <v>0</v>
      </c>
      <c r="E105" s="9">
        <v>0</v>
      </c>
      <c r="F105" s="8">
        <f t="shared" si="34"/>
        <v>0</v>
      </c>
      <c r="G105" s="7">
        <f t="shared" si="35"/>
        <v>0</v>
      </c>
      <c r="H105" s="8">
        <f t="shared" si="36"/>
        <v>0</v>
      </c>
      <c r="I105" s="7">
        <f t="shared" si="37"/>
        <v>0</v>
      </c>
      <c r="J105" s="8">
        <f t="shared" si="38"/>
        <v>0</v>
      </c>
      <c r="K105" s="7">
        <f t="shared" si="39"/>
        <v>0</v>
      </c>
      <c r="L105" s="6"/>
    </row>
    <row r="106" spans="1:12" x14ac:dyDescent="0.3">
      <c r="A106" s="8">
        <f t="shared" si="30"/>
        <v>0</v>
      </c>
      <c r="B106" s="8">
        <f t="shared" si="31"/>
        <v>0</v>
      </c>
      <c r="C106" s="7">
        <f t="shared" si="32"/>
        <v>0</v>
      </c>
      <c r="D106" s="8">
        <f t="shared" si="33"/>
        <v>0</v>
      </c>
      <c r="E106" s="9">
        <v>0</v>
      </c>
      <c r="F106" s="8">
        <f t="shared" si="34"/>
        <v>0</v>
      </c>
      <c r="G106" s="7">
        <f t="shared" si="35"/>
        <v>0</v>
      </c>
      <c r="H106" s="8">
        <f t="shared" si="36"/>
        <v>0</v>
      </c>
      <c r="I106" s="7">
        <f t="shared" si="37"/>
        <v>0</v>
      </c>
      <c r="J106" s="8">
        <f t="shared" si="38"/>
        <v>0</v>
      </c>
      <c r="K106" s="7">
        <f t="shared" si="39"/>
        <v>0</v>
      </c>
      <c r="L106" s="6"/>
    </row>
    <row r="107" spans="1:12" x14ac:dyDescent="0.3">
      <c r="A107" s="8">
        <f t="shared" si="30"/>
        <v>0</v>
      </c>
      <c r="B107" s="8">
        <f t="shared" si="31"/>
        <v>0</v>
      </c>
      <c r="C107" s="7">
        <f t="shared" si="32"/>
        <v>0</v>
      </c>
      <c r="D107" s="8">
        <f t="shared" si="33"/>
        <v>0</v>
      </c>
      <c r="E107" s="9">
        <v>0</v>
      </c>
      <c r="F107" s="8">
        <f t="shared" si="34"/>
        <v>0</v>
      </c>
      <c r="G107" s="7">
        <f t="shared" si="35"/>
        <v>0</v>
      </c>
      <c r="H107" s="8">
        <f t="shared" si="36"/>
        <v>0</v>
      </c>
      <c r="I107" s="7">
        <f t="shared" si="37"/>
        <v>0</v>
      </c>
      <c r="J107" s="8">
        <f t="shared" si="38"/>
        <v>0</v>
      </c>
      <c r="K107" s="7">
        <f t="shared" si="39"/>
        <v>0</v>
      </c>
      <c r="L107" s="6"/>
    </row>
    <row r="108" spans="1:12" x14ac:dyDescent="0.3">
      <c r="A108" s="8">
        <f t="shared" si="30"/>
        <v>0</v>
      </c>
      <c r="B108" s="8">
        <f t="shared" si="31"/>
        <v>0</v>
      </c>
      <c r="C108" s="7">
        <f t="shared" si="32"/>
        <v>0</v>
      </c>
      <c r="D108" s="8">
        <f t="shared" si="33"/>
        <v>0</v>
      </c>
      <c r="E108" s="9">
        <v>0</v>
      </c>
      <c r="F108" s="8">
        <f t="shared" si="34"/>
        <v>0</v>
      </c>
      <c r="G108" s="7">
        <f t="shared" si="35"/>
        <v>0</v>
      </c>
      <c r="H108" s="8">
        <f t="shared" si="36"/>
        <v>0</v>
      </c>
      <c r="I108" s="7">
        <f t="shared" si="37"/>
        <v>0</v>
      </c>
      <c r="J108" s="8">
        <f t="shared" si="38"/>
        <v>0</v>
      </c>
      <c r="K108" s="7">
        <f t="shared" si="39"/>
        <v>0</v>
      </c>
      <c r="L108" s="6"/>
    </row>
    <row r="109" spans="1:12" x14ac:dyDescent="0.3">
      <c r="A109" s="8">
        <f t="shared" si="30"/>
        <v>0</v>
      </c>
      <c r="B109" s="8">
        <f t="shared" si="31"/>
        <v>0</v>
      </c>
      <c r="C109" s="7">
        <f t="shared" si="32"/>
        <v>0</v>
      </c>
      <c r="D109" s="8">
        <f t="shared" si="33"/>
        <v>0</v>
      </c>
      <c r="E109" s="9">
        <v>0</v>
      </c>
      <c r="F109" s="8">
        <f t="shared" si="34"/>
        <v>0</v>
      </c>
      <c r="G109" s="7">
        <f t="shared" si="35"/>
        <v>0</v>
      </c>
      <c r="H109" s="8">
        <f t="shared" si="36"/>
        <v>0</v>
      </c>
      <c r="I109" s="7">
        <f t="shared" si="37"/>
        <v>0</v>
      </c>
      <c r="J109" s="8">
        <f t="shared" si="38"/>
        <v>0</v>
      </c>
      <c r="K109" s="7">
        <f t="shared" si="39"/>
        <v>0</v>
      </c>
      <c r="L109" s="6"/>
    </row>
    <row r="110" spans="1:12" x14ac:dyDescent="0.3">
      <c r="A110" s="8">
        <f t="shared" si="30"/>
        <v>0</v>
      </c>
      <c r="B110" s="8">
        <f t="shared" si="31"/>
        <v>0</v>
      </c>
      <c r="C110" s="7">
        <f t="shared" si="32"/>
        <v>0</v>
      </c>
      <c r="D110" s="8">
        <f t="shared" si="33"/>
        <v>0</v>
      </c>
      <c r="E110" s="9">
        <v>0</v>
      </c>
      <c r="F110" s="8">
        <f t="shared" si="34"/>
        <v>0</v>
      </c>
      <c r="G110" s="7">
        <f t="shared" si="35"/>
        <v>0</v>
      </c>
      <c r="H110" s="8">
        <f t="shared" si="36"/>
        <v>0</v>
      </c>
      <c r="I110" s="7">
        <f t="shared" si="37"/>
        <v>0</v>
      </c>
      <c r="J110" s="8">
        <f t="shared" si="38"/>
        <v>0</v>
      </c>
      <c r="K110" s="7">
        <f t="shared" si="39"/>
        <v>0</v>
      </c>
      <c r="L110" s="6"/>
    </row>
    <row r="111" spans="1:12" x14ac:dyDescent="0.3">
      <c r="A111" s="8">
        <f t="shared" si="30"/>
        <v>0</v>
      </c>
      <c r="B111" s="8">
        <f t="shared" si="31"/>
        <v>0</v>
      </c>
      <c r="C111" s="7">
        <f t="shared" si="32"/>
        <v>0</v>
      </c>
      <c r="D111" s="8">
        <f t="shared" si="33"/>
        <v>0</v>
      </c>
      <c r="E111" s="9">
        <v>0</v>
      </c>
      <c r="F111" s="8">
        <f t="shared" si="34"/>
        <v>0</v>
      </c>
      <c r="G111" s="7">
        <f t="shared" si="35"/>
        <v>0</v>
      </c>
      <c r="H111" s="8">
        <f t="shared" si="36"/>
        <v>0</v>
      </c>
      <c r="I111" s="7">
        <f t="shared" si="37"/>
        <v>0</v>
      </c>
      <c r="J111" s="8">
        <f t="shared" si="38"/>
        <v>0</v>
      </c>
      <c r="K111" s="7">
        <f t="shared" si="39"/>
        <v>0</v>
      </c>
      <c r="L111" s="6"/>
    </row>
    <row r="112" spans="1:12" x14ac:dyDescent="0.3">
      <c r="A112" s="8">
        <f t="shared" si="30"/>
        <v>0</v>
      </c>
      <c r="B112" s="8">
        <f t="shared" si="31"/>
        <v>0</v>
      </c>
      <c r="C112" s="7">
        <f t="shared" si="32"/>
        <v>0</v>
      </c>
      <c r="D112" s="8">
        <f t="shared" si="33"/>
        <v>0</v>
      </c>
      <c r="E112" s="9">
        <v>0</v>
      </c>
      <c r="F112" s="8">
        <f t="shared" si="34"/>
        <v>0</v>
      </c>
      <c r="G112" s="7">
        <f t="shared" si="35"/>
        <v>0</v>
      </c>
      <c r="H112" s="8">
        <f t="shared" si="36"/>
        <v>0</v>
      </c>
      <c r="I112" s="7">
        <f t="shared" si="37"/>
        <v>0</v>
      </c>
      <c r="J112" s="8">
        <f t="shared" si="38"/>
        <v>0</v>
      </c>
      <c r="K112" s="7">
        <f t="shared" si="39"/>
        <v>0</v>
      </c>
      <c r="L112" s="6"/>
    </row>
    <row r="113" spans="1:12" x14ac:dyDescent="0.3">
      <c r="A113" s="8">
        <f t="shared" si="30"/>
        <v>0</v>
      </c>
      <c r="B113" s="8">
        <f t="shared" si="31"/>
        <v>0</v>
      </c>
      <c r="C113" s="7">
        <f t="shared" si="32"/>
        <v>0</v>
      </c>
      <c r="D113" s="8">
        <f t="shared" si="33"/>
        <v>0</v>
      </c>
      <c r="E113" s="9">
        <v>0</v>
      </c>
      <c r="F113" s="8">
        <f t="shared" si="34"/>
        <v>0</v>
      </c>
      <c r="G113" s="7">
        <f t="shared" si="35"/>
        <v>0</v>
      </c>
      <c r="H113" s="8">
        <f t="shared" si="36"/>
        <v>0</v>
      </c>
      <c r="I113" s="7">
        <f t="shared" si="37"/>
        <v>0</v>
      </c>
      <c r="J113" s="8">
        <f t="shared" si="38"/>
        <v>0</v>
      </c>
      <c r="K113" s="7">
        <f t="shared" si="39"/>
        <v>0</v>
      </c>
      <c r="L113" s="6"/>
    </row>
    <row r="114" spans="1:12" x14ac:dyDescent="0.3">
      <c r="A114" s="8">
        <f t="shared" si="30"/>
        <v>0</v>
      </c>
      <c r="B114" s="8">
        <f t="shared" si="31"/>
        <v>0</v>
      </c>
      <c r="C114" s="7">
        <f t="shared" si="32"/>
        <v>0</v>
      </c>
      <c r="D114" s="8">
        <f t="shared" si="33"/>
        <v>0</v>
      </c>
      <c r="E114" s="9">
        <v>0</v>
      </c>
      <c r="F114" s="8">
        <f t="shared" si="34"/>
        <v>0</v>
      </c>
      <c r="G114" s="7">
        <f t="shared" si="35"/>
        <v>0</v>
      </c>
      <c r="H114" s="8">
        <f t="shared" si="36"/>
        <v>0</v>
      </c>
      <c r="I114" s="7">
        <f t="shared" si="37"/>
        <v>0</v>
      </c>
      <c r="J114" s="8">
        <f t="shared" si="38"/>
        <v>0</v>
      </c>
      <c r="K114" s="7">
        <f t="shared" si="39"/>
        <v>0</v>
      </c>
      <c r="L114" s="6"/>
    </row>
    <row r="115" spans="1:12" x14ac:dyDescent="0.3">
      <c r="A115" s="8">
        <f t="shared" si="30"/>
        <v>0</v>
      </c>
      <c r="B115" s="8">
        <f t="shared" si="31"/>
        <v>0</v>
      </c>
      <c r="C115" s="7">
        <f t="shared" si="32"/>
        <v>0</v>
      </c>
      <c r="D115" s="8">
        <f t="shared" si="33"/>
        <v>0</v>
      </c>
      <c r="E115" s="9">
        <v>0</v>
      </c>
      <c r="F115" s="8">
        <f t="shared" si="34"/>
        <v>0</v>
      </c>
      <c r="G115" s="7">
        <f t="shared" si="35"/>
        <v>0</v>
      </c>
      <c r="H115" s="8">
        <f t="shared" si="36"/>
        <v>0</v>
      </c>
      <c r="I115" s="7">
        <f t="shared" si="37"/>
        <v>0</v>
      </c>
      <c r="J115" s="8">
        <f t="shared" si="38"/>
        <v>0</v>
      </c>
      <c r="K115" s="7">
        <f t="shared" si="39"/>
        <v>0</v>
      </c>
      <c r="L115" s="6"/>
    </row>
    <row r="116" spans="1:12" x14ac:dyDescent="0.3">
      <c r="A116" s="8">
        <f t="shared" si="30"/>
        <v>0</v>
      </c>
      <c r="B116" s="8">
        <f t="shared" si="31"/>
        <v>0</v>
      </c>
      <c r="C116" s="7">
        <f t="shared" si="32"/>
        <v>0</v>
      </c>
      <c r="D116" s="8">
        <f t="shared" si="33"/>
        <v>0</v>
      </c>
      <c r="E116" s="9">
        <v>0</v>
      </c>
      <c r="F116" s="8">
        <f t="shared" si="34"/>
        <v>0</v>
      </c>
      <c r="G116" s="7">
        <f t="shared" si="35"/>
        <v>0</v>
      </c>
      <c r="H116" s="8">
        <f t="shared" si="36"/>
        <v>0</v>
      </c>
      <c r="I116" s="7">
        <f t="shared" si="37"/>
        <v>0</v>
      </c>
      <c r="J116" s="8">
        <f t="shared" si="38"/>
        <v>0</v>
      </c>
      <c r="K116" s="7">
        <f t="shared" si="39"/>
        <v>0</v>
      </c>
      <c r="L116" s="6"/>
    </row>
    <row r="117" spans="1:12" x14ac:dyDescent="0.3">
      <c r="A117" s="8">
        <f t="shared" si="30"/>
        <v>0</v>
      </c>
      <c r="B117" s="8">
        <f t="shared" si="31"/>
        <v>0</v>
      </c>
      <c r="C117" s="7">
        <f t="shared" si="32"/>
        <v>0</v>
      </c>
      <c r="D117" s="8">
        <f t="shared" si="33"/>
        <v>0</v>
      </c>
      <c r="E117" s="9">
        <v>0</v>
      </c>
      <c r="F117" s="8">
        <f t="shared" si="34"/>
        <v>0</v>
      </c>
      <c r="G117" s="7">
        <f t="shared" si="35"/>
        <v>0</v>
      </c>
      <c r="H117" s="8">
        <f t="shared" si="36"/>
        <v>0</v>
      </c>
      <c r="I117" s="7">
        <f t="shared" si="37"/>
        <v>0</v>
      </c>
      <c r="J117" s="8">
        <f t="shared" si="38"/>
        <v>0</v>
      </c>
      <c r="K117" s="7">
        <f t="shared" si="39"/>
        <v>0</v>
      </c>
      <c r="L117" s="6"/>
    </row>
    <row r="118" spans="1:12" x14ac:dyDescent="0.3">
      <c r="A118" s="8">
        <f t="shared" si="30"/>
        <v>0</v>
      </c>
      <c r="B118" s="8">
        <f t="shared" si="31"/>
        <v>0</v>
      </c>
      <c r="C118" s="7">
        <f t="shared" si="32"/>
        <v>0</v>
      </c>
      <c r="D118" s="8">
        <f t="shared" si="33"/>
        <v>0</v>
      </c>
      <c r="E118" s="9">
        <v>0</v>
      </c>
      <c r="F118" s="8">
        <f t="shared" si="34"/>
        <v>0</v>
      </c>
      <c r="G118" s="7">
        <f t="shared" si="35"/>
        <v>0</v>
      </c>
      <c r="H118" s="8">
        <f t="shared" si="36"/>
        <v>0</v>
      </c>
      <c r="I118" s="7">
        <f t="shared" si="37"/>
        <v>0</v>
      </c>
      <c r="J118" s="8">
        <f t="shared" si="38"/>
        <v>0</v>
      </c>
      <c r="K118" s="7">
        <f t="shared" si="39"/>
        <v>0</v>
      </c>
      <c r="L118" s="6"/>
    </row>
    <row r="119" spans="1:12" x14ac:dyDescent="0.3">
      <c r="A119" s="8">
        <f t="shared" si="30"/>
        <v>0</v>
      </c>
      <c r="B119" s="8">
        <f t="shared" si="31"/>
        <v>0</v>
      </c>
      <c r="C119" s="7">
        <f t="shared" si="32"/>
        <v>0</v>
      </c>
      <c r="D119" s="8">
        <f t="shared" si="33"/>
        <v>0</v>
      </c>
      <c r="E119" s="9">
        <v>0</v>
      </c>
      <c r="F119" s="8">
        <f t="shared" si="34"/>
        <v>0</v>
      </c>
      <c r="G119" s="7">
        <f t="shared" si="35"/>
        <v>0</v>
      </c>
      <c r="H119" s="8">
        <f t="shared" si="36"/>
        <v>0</v>
      </c>
      <c r="I119" s="7">
        <f t="shared" si="37"/>
        <v>0</v>
      </c>
      <c r="J119" s="8">
        <f t="shared" si="38"/>
        <v>0</v>
      </c>
      <c r="K119" s="7">
        <f t="shared" si="39"/>
        <v>0</v>
      </c>
      <c r="L119" s="6"/>
    </row>
    <row r="120" spans="1:12" x14ac:dyDescent="0.3">
      <c r="A120" s="8">
        <f t="shared" si="30"/>
        <v>0</v>
      </c>
      <c r="B120" s="8">
        <f t="shared" si="31"/>
        <v>0</v>
      </c>
      <c r="C120" s="7">
        <f t="shared" si="32"/>
        <v>0</v>
      </c>
      <c r="D120" s="8">
        <f t="shared" si="33"/>
        <v>0</v>
      </c>
      <c r="E120" s="9">
        <v>0</v>
      </c>
      <c r="F120" s="8">
        <f t="shared" si="34"/>
        <v>0</v>
      </c>
      <c r="G120" s="7">
        <f t="shared" si="35"/>
        <v>0</v>
      </c>
      <c r="H120" s="8">
        <f t="shared" si="36"/>
        <v>0</v>
      </c>
      <c r="I120" s="7">
        <f t="shared" si="37"/>
        <v>0</v>
      </c>
      <c r="J120" s="8">
        <f t="shared" si="38"/>
        <v>0</v>
      </c>
      <c r="K120" s="7">
        <f t="shared" si="39"/>
        <v>0</v>
      </c>
      <c r="L120" s="6"/>
    </row>
    <row r="121" spans="1:12" x14ac:dyDescent="0.3">
      <c r="A121" s="8">
        <f t="shared" si="30"/>
        <v>0</v>
      </c>
      <c r="B121" s="8">
        <f t="shared" si="31"/>
        <v>0</v>
      </c>
      <c r="C121" s="7">
        <f t="shared" si="32"/>
        <v>0</v>
      </c>
      <c r="D121" s="8">
        <f t="shared" si="33"/>
        <v>0</v>
      </c>
      <c r="E121" s="9">
        <v>0</v>
      </c>
      <c r="F121" s="8">
        <f t="shared" si="34"/>
        <v>0</v>
      </c>
      <c r="G121" s="7">
        <f t="shared" si="35"/>
        <v>0</v>
      </c>
      <c r="H121" s="8">
        <f t="shared" si="36"/>
        <v>0</v>
      </c>
      <c r="I121" s="7">
        <f t="shared" si="37"/>
        <v>0</v>
      </c>
      <c r="J121" s="8">
        <f t="shared" si="38"/>
        <v>0</v>
      </c>
      <c r="K121" s="7">
        <f t="shared" si="39"/>
        <v>0</v>
      </c>
      <c r="L121" s="6"/>
    </row>
    <row r="122" spans="1:12" x14ac:dyDescent="0.3">
      <c r="A122" s="8">
        <f t="shared" si="30"/>
        <v>0</v>
      </c>
      <c r="B122" s="8">
        <f t="shared" si="31"/>
        <v>0</v>
      </c>
      <c r="C122" s="7">
        <f t="shared" si="32"/>
        <v>0</v>
      </c>
      <c r="D122" s="8">
        <f t="shared" si="33"/>
        <v>0</v>
      </c>
      <c r="E122" s="9">
        <v>0</v>
      </c>
      <c r="F122" s="8">
        <f t="shared" si="34"/>
        <v>0</v>
      </c>
      <c r="G122" s="7">
        <f t="shared" si="35"/>
        <v>0</v>
      </c>
      <c r="H122" s="8">
        <f t="shared" si="36"/>
        <v>0</v>
      </c>
      <c r="I122" s="7">
        <f t="shared" si="37"/>
        <v>0</v>
      </c>
      <c r="J122" s="8">
        <f t="shared" si="38"/>
        <v>0</v>
      </c>
      <c r="K122" s="7">
        <f t="shared" si="39"/>
        <v>0</v>
      </c>
      <c r="L122" s="6"/>
    </row>
    <row r="123" spans="1:12" x14ac:dyDescent="0.3">
      <c r="A123" s="8">
        <f t="shared" si="30"/>
        <v>0</v>
      </c>
      <c r="B123" s="8">
        <f t="shared" si="31"/>
        <v>0</v>
      </c>
      <c r="C123" s="7">
        <f t="shared" si="32"/>
        <v>0</v>
      </c>
      <c r="D123" s="8">
        <f t="shared" si="33"/>
        <v>0</v>
      </c>
      <c r="E123" s="9">
        <v>0</v>
      </c>
      <c r="F123" s="8">
        <f t="shared" si="34"/>
        <v>0</v>
      </c>
      <c r="G123" s="7">
        <f t="shared" si="35"/>
        <v>0</v>
      </c>
      <c r="H123" s="8">
        <f t="shared" si="36"/>
        <v>0</v>
      </c>
      <c r="I123" s="7">
        <f t="shared" si="37"/>
        <v>0</v>
      </c>
      <c r="J123" s="8">
        <f t="shared" si="38"/>
        <v>0</v>
      </c>
      <c r="K123" s="7">
        <f t="shared" si="39"/>
        <v>0</v>
      </c>
      <c r="L123" s="6"/>
    </row>
    <row r="124" spans="1:12" x14ac:dyDescent="0.3">
      <c r="A124" s="8">
        <f t="shared" si="30"/>
        <v>0</v>
      </c>
      <c r="B124" s="8">
        <f t="shared" si="31"/>
        <v>0</v>
      </c>
      <c r="C124" s="7">
        <f t="shared" si="32"/>
        <v>0</v>
      </c>
      <c r="D124" s="8">
        <f t="shared" si="33"/>
        <v>0</v>
      </c>
      <c r="E124" s="9">
        <v>0</v>
      </c>
      <c r="F124" s="8">
        <f t="shared" si="34"/>
        <v>0</v>
      </c>
      <c r="G124" s="7">
        <f t="shared" si="35"/>
        <v>0</v>
      </c>
      <c r="H124" s="8">
        <f t="shared" si="36"/>
        <v>0</v>
      </c>
      <c r="I124" s="7">
        <f t="shared" si="37"/>
        <v>0</v>
      </c>
      <c r="J124" s="8">
        <f t="shared" si="38"/>
        <v>0</v>
      </c>
      <c r="K124" s="7">
        <f t="shared" si="39"/>
        <v>0</v>
      </c>
      <c r="L124" s="6"/>
    </row>
    <row r="125" spans="1:12" x14ac:dyDescent="0.3">
      <c r="A125" s="8">
        <f t="shared" si="30"/>
        <v>0</v>
      </c>
      <c r="B125" s="8">
        <f t="shared" si="31"/>
        <v>0</v>
      </c>
      <c r="C125" s="7">
        <f t="shared" si="32"/>
        <v>0</v>
      </c>
      <c r="D125" s="8">
        <f t="shared" si="33"/>
        <v>0</v>
      </c>
      <c r="E125" s="9">
        <v>0</v>
      </c>
      <c r="F125" s="8">
        <f t="shared" si="34"/>
        <v>0</v>
      </c>
      <c r="G125" s="7">
        <f t="shared" si="35"/>
        <v>0</v>
      </c>
      <c r="H125" s="8">
        <f t="shared" si="36"/>
        <v>0</v>
      </c>
      <c r="I125" s="7">
        <f t="shared" si="37"/>
        <v>0</v>
      </c>
      <c r="J125" s="8">
        <f t="shared" si="38"/>
        <v>0</v>
      </c>
      <c r="K125" s="7">
        <f t="shared" si="39"/>
        <v>0</v>
      </c>
      <c r="L125" s="6"/>
    </row>
    <row r="126" spans="1:12" x14ac:dyDescent="0.3">
      <c r="A126" s="8">
        <f t="shared" si="30"/>
        <v>0</v>
      </c>
      <c r="B126" s="8">
        <f t="shared" si="31"/>
        <v>0</v>
      </c>
      <c r="C126" s="7">
        <f t="shared" si="32"/>
        <v>0</v>
      </c>
      <c r="D126" s="8">
        <f t="shared" si="33"/>
        <v>0</v>
      </c>
      <c r="E126" s="9">
        <v>0</v>
      </c>
      <c r="F126" s="8">
        <f t="shared" si="34"/>
        <v>0</v>
      </c>
      <c r="G126" s="7">
        <f t="shared" si="35"/>
        <v>0</v>
      </c>
      <c r="H126" s="8">
        <f t="shared" si="36"/>
        <v>0</v>
      </c>
      <c r="I126" s="7">
        <f t="shared" si="37"/>
        <v>0</v>
      </c>
      <c r="J126" s="8">
        <f t="shared" si="38"/>
        <v>0</v>
      </c>
      <c r="K126" s="7">
        <f t="shared" si="39"/>
        <v>0</v>
      </c>
      <c r="L126" s="6"/>
    </row>
    <row r="127" spans="1:12" x14ac:dyDescent="0.3">
      <c r="A127" s="8">
        <f t="shared" si="30"/>
        <v>0</v>
      </c>
      <c r="B127" s="8">
        <f t="shared" si="31"/>
        <v>0</v>
      </c>
      <c r="C127" s="7">
        <f t="shared" si="32"/>
        <v>0</v>
      </c>
      <c r="D127" s="8">
        <f t="shared" si="33"/>
        <v>0</v>
      </c>
      <c r="E127" s="9">
        <v>0</v>
      </c>
      <c r="F127" s="8">
        <f t="shared" si="34"/>
        <v>0</v>
      </c>
      <c r="G127" s="7">
        <f t="shared" si="35"/>
        <v>0</v>
      </c>
      <c r="H127" s="8">
        <f t="shared" si="36"/>
        <v>0</v>
      </c>
      <c r="I127" s="7">
        <f t="shared" si="37"/>
        <v>0</v>
      </c>
      <c r="J127" s="8">
        <f t="shared" si="38"/>
        <v>0</v>
      </c>
      <c r="K127" s="7">
        <f t="shared" si="39"/>
        <v>0</v>
      </c>
      <c r="L127" s="6"/>
    </row>
    <row r="128" spans="1:12" x14ac:dyDescent="0.3">
      <c r="A128" s="8">
        <f t="shared" si="30"/>
        <v>0</v>
      </c>
      <c r="B128" s="8">
        <f t="shared" si="31"/>
        <v>0</v>
      </c>
      <c r="C128" s="7">
        <f t="shared" si="32"/>
        <v>0</v>
      </c>
      <c r="D128" s="8">
        <f t="shared" si="33"/>
        <v>0</v>
      </c>
      <c r="E128" s="9">
        <v>0</v>
      </c>
      <c r="F128" s="8">
        <f t="shared" si="34"/>
        <v>0</v>
      </c>
      <c r="G128" s="7">
        <f t="shared" si="35"/>
        <v>0</v>
      </c>
      <c r="H128" s="8">
        <f t="shared" si="36"/>
        <v>0</v>
      </c>
      <c r="I128" s="7">
        <f t="shared" si="37"/>
        <v>0</v>
      </c>
      <c r="J128" s="8">
        <f t="shared" si="38"/>
        <v>0</v>
      </c>
      <c r="K128" s="7">
        <f t="shared" si="39"/>
        <v>0</v>
      </c>
      <c r="L128" s="6"/>
    </row>
    <row r="129" spans="1:12" x14ac:dyDescent="0.3">
      <c r="A129" s="8">
        <f t="shared" si="30"/>
        <v>0</v>
      </c>
      <c r="B129" s="8">
        <f t="shared" si="31"/>
        <v>0</v>
      </c>
      <c r="C129" s="7">
        <f t="shared" si="32"/>
        <v>0</v>
      </c>
      <c r="D129" s="8">
        <f t="shared" si="33"/>
        <v>0</v>
      </c>
      <c r="E129" s="9">
        <v>0</v>
      </c>
      <c r="F129" s="8">
        <f t="shared" si="34"/>
        <v>0</v>
      </c>
      <c r="G129" s="7">
        <f t="shared" si="35"/>
        <v>0</v>
      </c>
      <c r="H129" s="8">
        <f t="shared" si="36"/>
        <v>0</v>
      </c>
      <c r="I129" s="7">
        <f t="shared" si="37"/>
        <v>0</v>
      </c>
      <c r="J129" s="8">
        <f t="shared" si="38"/>
        <v>0</v>
      </c>
      <c r="K129" s="7">
        <f t="shared" si="39"/>
        <v>0</v>
      </c>
      <c r="L129" s="6"/>
    </row>
    <row r="130" spans="1:12" x14ac:dyDescent="0.3">
      <c r="A130" s="8">
        <f t="shared" si="30"/>
        <v>0</v>
      </c>
      <c r="B130" s="8">
        <f t="shared" si="31"/>
        <v>0</v>
      </c>
      <c r="C130" s="7">
        <f t="shared" si="32"/>
        <v>0</v>
      </c>
      <c r="D130" s="8">
        <f t="shared" si="33"/>
        <v>0</v>
      </c>
      <c r="E130" s="9">
        <v>0</v>
      </c>
      <c r="F130" s="8">
        <f t="shared" si="34"/>
        <v>0</v>
      </c>
      <c r="G130" s="7">
        <f t="shared" si="35"/>
        <v>0</v>
      </c>
      <c r="H130" s="8">
        <f t="shared" si="36"/>
        <v>0</v>
      </c>
      <c r="I130" s="7">
        <f t="shared" si="37"/>
        <v>0</v>
      </c>
      <c r="J130" s="8">
        <f t="shared" si="38"/>
        <v>0</v>
      </c>
      <c r="K130" s="7">
        <f t="shared" si="39"/>
        <v>0</v>
      </c>
      <c r="L130" s="6"/>
    </row>
    <row r="131" spans="1:12" x14ac:dyDescent="0.3">
      <c r="A131" s="8">
        <f t="shared" si="30"/>
        <v>0</v>
      </c>
      <c r="B131" s="8">
        <f t="shared" si="31"/>
        <v>0</v>
      </c>
      <c r="C131" s="7">
        <f t="shared" si="32"/>
        <v>0</v>
      </c>
      <c r="D131" s="8">
        <f t="shared" si="33"/>
        <v>0</v>
      </c>
      <c r="E131" s="9">
        <v>0</v>
      </c>
      <c r="F131" s="8">
        <f t="shared" si="34"/>
        <v>0</v>
      </c>
      <c r="G131" s="7">
        <f t="shared" si="35"/>
        <v>0</v>
      </c>
      <c r="H131" s="8">
        <f t="shared" si="36"/>
        <v>0</v>
      </c>
      <c r="I131" s="7">
        <f t="shared" si="37"/>
        <v>0</v>
      </c>
      <c r="J131" s="8">
        <f t="shared" si="38"/>
        <v>0</v>
      </c>
      <c r="K131" s="7">
        <f t="shared" si="39"/>
        <v>0</v>
      </c>
      <c r="L131" s="6"/>
    </row>
    <row r="132" spans="1:12" x14ac:dyDescent="0.3">
      <c r="A132" s="8">
        <f t="shared" ref="A132:A163" si="40">E132*0.98</f>
        <v>0</v>
      </c>
      <c r="B132" s="8">
        <f t="shared" ref="B132:B163" si="41">E132*0.985</f>
        <v>0</v>
      </c>
      <c r="C132" s="7">
        <f t="shared" ref="C132:C163" si="42">E132*0.99</f>
        <v>0</v>
      </c>
      <c r="D132" s="8">
        <f t="shared" ref="D132:D163" si="43">E132*0.995</f>
        <v>0</v>
      </c>
      <c r="E132" s="9">
        <v>0</v>
      </c>
      <c r="F132" s="8">
        <f t="shared" ref="F132:F163" si="44">E132*1.005</f>
        <v>0</v>
      </c>
      <c r="G132" s="7">
        <f t="shared" ref="G132:G163" si="45">E132*1.01</f>
        <v>0</v>
      </c>
      <c r="H132" s="8">
        <f t="shared" ref="H132:H163" si="46">E132*1.015</f>
        <v>0</v>
      </c>
      <c r="I132" s="7">
        <f t="shared" ref="I132:I163" si="47">E132*1.02</f>
        <v>0</v>
      </c>
      <c r="J132" s="8">
        <f t="shared" ref="J132:J163" si="48">E132*1.025</f>
        <v>0</v>
      </c>
      <c r="K132" s="7">
        <f t="shared" ref="K132:K163" si="49">E132*1.03</f>
        <v>0</v>
      </c>
      <c r="L132" s="6"/>
    </row>
    <row r="133" spans="1:12" x14ac:dyDescent="0.3">
      <c r="A133" s="8">
        <f t="shared" si="40"/>
        <v>0</v>
      </c>
      <c r="B133" s="8">
        <f t="shared" si="41"/>
        <v>0</v>
      </c>
      <c r="C133" s="7">
        <f t="shared" si="42"/>
        <v>0</v>
      </c>
      <c r="D133" s="8">
        <f t="shared" si="43"/>
        <v>0</v>
      </c>
      <c r="E133" s="9">
        <v>0</v>
      </c>
      <c r="F133" s="8">
        <f t="shared" si="44"/>
        <v>0</v>
      </c>
      <c r="G133" s="7">
        <f t="shared" si="45"/>
        <v>0</v>
      </c>
      <c r="H133" s="8">
        <f t="shared" si="46"/>
        <v>0</v>
      </c>
      <c r="I133" s="7">
        <f t="shared" si="47"/>
        <v>0</v>
      </c>
      <c r="J133" s="8">
        <f t="shared" si="48"/>
        <v>0</v>
      </c>
      <c r="K133" s="7">
        <f t="shared" si="49"/>
        <v>0</v>
      </c>
      <c r="L133" s="6"/>
    </row>
    <row r="134" spans="1:12" x14ac:dyDescent="0.3">
      <c r="A134" s="8">
        <f t="shared" si="40"/>
        <v>0</v>
      </c>
      <c r="B134" s="8">
        <f t="shared" si="41"/>
        <v>0</v>
      </c>
      <c r="C134" s="7">
        <f t="shared" si="42"/>
        <v>0</v>
      </c>
      <c r="D134" s="8">
        <f t="shared" si="43"/>
        <v>0</v>
      </c>
      <c r="E134" s="9">
        <v>0</v>
      </c>
      <c r="F134" s="8">
        <f t="shared" si="44"/>
        <v>0</v>
      </c>
      <c r="G134" s="7">
        <f t="shared" si="45"/>
        <v>0</v>
      </c>
      <c r="H134" s="8">
        <f t="shared" si="46"/>
        <v>0</v>
      </c>
      <c r="I134" s="7">
        <f t="shared" si="47"/>
        <v>0</v>
      </c>
      <c r="J134" s="8">
        <f t="shared" si="48"/>
        <v>0</v>
      </c>
      <c r="K134" s="7">
        <f t="shared" si="49"/>
        <v>0</v>
      </c>
      <c r="L134" s="6"/>
    </row>
    <row r="135" spans="1:12" x14ac:dyDescent="0.3">
      <c r="A135" s="8">
        <f t="shared" si="40"/>
        <v>0</v>
      </c>
      <c r="B135" s="8">
        <f t="shared" si="41"/>
        <v>0</v>
      </c>
      <c r="C135" s="7">
        <f t="shared" si="42"/>
        <v>0</v>
      </c>
      <c r="D135" s="8">
        <f t="shared" si="43"/>
        <v>0</v>
      </c>
      <c r="E135" s="9">
        <v>0</v>
      </c>
      <c r="F135" s="8">
        <f t="shared" si="44"/>
        <v>0</v>
      </c>
      <c r="G135" s="7">
        <f t="shared" si="45"/>
        <v>0</v>
      </c>
      <c r="H135" s="8">
        <f t="shared" si="46"/>
        <v>0</v>
      </c>
      <c r="I135" s="7">
        <f t="shared" si="47"/>
        <v>0</v>
      </c>
      <c r="J135" s="8">
        <f t="shared" si="48"/>
        <v>0</v>
      </c>
      <c r="K135" s="7">
        <f t="shared" si="49"/>
        <v>0</v>
      </c>
      <c r="L135" s="6"/>
    </row>
    <row r="136" spans="1:12" x14ac:dyDescent="0.3">
      <c r="A136" s="8">
        <f t="shared" si="40"/>
        <v>0</v>
      </c>
      <c r="B136" s="8">
        <f t="shared" si="41"/>
        <v>0</v>
      </c>
      <c r="C136" s="7">
        <f t="shared" si="42"/>
        <v>0</v>
      </c>
      <c r="D136" s="8">
        <f t="shared" si="43"/>
        <v>0</v>
      </c>
      <c r="E136" s="9">
        <v>0</v>
      </c>
      <c r="F136" s="8">
        <f t="shared" si="44"/>
        <v>0</v>
      </c>
      <c r="G136" s="7">
        <f t="shared" si="45"/>
        <v>0</v>
      </c>
      <c r="H136" s="8">
        <f t="shared" si="46"/>
        <v>0</v>
      </c>
      <c r="I136" s="7">
        <f t="shared" si="47"/>
        <v>0</v>
      </c>
      <c r="J136" s="8">
        <f t="shared" si="48"/>
        <v>0</v>
      </c>
      <c r="K136" s="7">
        <f t="shared" si="49"/>
        <v>0</v>
      </c>
      <c r="L136" s="6"/>
    </row>
    <row r="137" spans="1:12" x14ac:dyDescent="0.3">
      <c r="A137" s="8">
        <f t="shared" si="40"/>
        <v>0</v>
      </c>
      <c r="B137" s="8">
        <f t="shared" si="41"/>
        <v>0</v>
      </c>
      <c r="C137" s="7">
        <f t="shared" si="42"/>
        <v>0</v>
      </c>
      <c r="D137" s="8">
        <f t="shared" si="43"/>
        <v>0</v>
      </c>
      <c r="E137" s="9">
        <v>0</v>
      </c>
      <c r="F137" s="8">
        <f t="shared" si="44"/>
        <v>0</v>
      </c>
      <c r="G137" s="7">
        <f t="shared" si="45"/>
        <v>0</v>
      </c>
      <c r="H137" s="8">
        <f t="shared" si="46"/>
        <v>0</v>
      </c>
      <c r="I137" s="7">
        <f t="shared" si="47"/>
        <v>0</v>
      </c>
      <c r="J137" s="8">
        <f t="shared" si="48"/>
        <v>0</v>
      </c>
      <c r="K137" s="7">
        <f t="shared" si="49"/>
        <v>0</v>
      </c>
      <c r="L137" s="6"/>
    </row>
    <row r="138" spans="1:12" x14ac:dyDescent="0.3">
      <c r="A138" s="8">
        <f t="shared" si="40"/>
        <v>0</v>
      </c>
      <c r="B138" s="8">
        <f t="shared" si="41"/>
        <v>0</v>
      </c>
      <c r="C138" s="7">
        <f t="shared" si="42"/>
        <v>0</v>
      </c>
      <c r="D138" s="8">
        <f t="shared" si="43"/>
        <v>0</v>
      </c>
      <c r="E138" s="9">
        <v>0</v>
      </c>
      <c r="F138" s="8">
        <f t="shared" si="44"/>
        <v>0</v>
      </c>
      <c r="G138" s="7">
        <f t="shared" si="45"/>
        <v>0</v>
      </c>
      <c r="H138" s="8">
        <f t="shared" si="46"/>
        <v>0</v>
      </c>
      <c r="I138" s="7">
        <f t="shared" si="47"/>
        <v>0</v>
      </c>
      <c r="J138" s="8">
        <f t="shared" si="48"/>
        <v>0</v>
      </c>
      <c r="K138" s="7">
        <f t="shared" si="49"/>
        <v>0</v>
      </c>
      <c r="L138" s="6"/>
    </row>
    <row r="139" spans="1:12" x14ac:dyDescent="0.3">
      <c r="A139" s="8">
        <f t="shared" si="40"/>
        <v>0</v>
      </c>
      <c r="B139" s="8">
        <f t="shared" si="41"/>
        <v>0</v>
      </c>
      <c r="C139" s="7">
        <f t="shared" si="42"/>
        <v>0</v>
      </c>
      <c r="D139" s="8">
        <f t="shared" si="43"/>
        <v>0</v>
      </c>
      <c r="E139" s="9">
        <v>0</v>
      </c>
      <c r="F139" s="8">
        <f t="shared" si="44"/>
        <v>0</v>
      </c>
      <c r="G139" s="7">
        <f t="shared" si="45"/>
        <v>0</v>
      </c>
      <c r="H139" s="8">
        <f t="shared" si="46"/>
        <v>0</v>
      </c>
      <c r="I139" s="7">
        <f t="shared" si="47"/>
        <v>0</v>
      </c>
      <c r="J139" s="8">
        <f t="shared" si="48"/>
        <v>0</v>
      </c>
      <c r="K139" s="7">
        <f t="shared" si="49"/>
        <v>0</v>
      </c>
      <c r="L139" s="6"/>
    </row>
    <row r="140" spans="1:12" x14ac:dyDescent="0.3">
      <c r="A140" s="8">
        <f t="shared" si="40"/>
        <v>0</v>
      </c>
      <c r="B140" s="8">
        <f t="shared" si="41"/>
        <v>0</v>
      </c>
      <c r="C140" s="7">
        <f t="shared" si="42"/>
        <v>0</v>
      </c>
      <c r="D140" s="8">
        <f t="shared" si="43"/>
        <v>0</v>
      </c>
      <c r="E140" s="9">
        <v>0</v>
      </c>
      <c r="F140" s="8">
        <f t="shared" si="44"/>
        <v>0</v>
      </c>
      <c r="G140" s="7">
        <f t="shared" si="45"/>
        <v>0</v>
      </c>
      <c r="H140" s="8">
        <f t="shared" si="46"/>
        <v>0</v>
      </c>
      <c r="I140" s="7">
        <f t="shared" si="47"/>
        <v>0</v>
      </c>
      <c r="J140" s="8">
        <f t="shared" si="48"/>
        <v>0</v>
      </c>
      <c r="K140" s="7">
        <f t="shared" si="49"/>
        <v>0</v>
      </c>
      <c r="L140" s="6"/>
    </row>
    <row r="141" spans="1:12" x14ac:dyDescent="0.3">
      <c r="A141" s="8">
        <f t="shared" si="40"/>
        <v>0</v>
      </c>
      <c r="B141" s="8">
        <f t="shared" si="41"/>
        <v>0</v>
      </c>
      <c r="C141" s="7">
        <f t="shared" si="42"/>
        <v>0</v>
      </c>
      <c r="D141" s="8">
        <f t="shared" si="43"/>
        <v>0</v>
      </c>
      <c r="E141" s="9">
        <v>0</v>
      </c>
      <c r="F141" s="8">
        <f t="shared" si="44"/>
        <v>0</v>
      </c>
      <c r="G141" s="7">
        <f t="shared" si="45"/>
        <v>0</v>
      </c>
      <c r="H141" s="8">
        <f t="shared" si="46"/>
        <v>0</v>
      </c>
      <c r="I141" s="7">
        <f t="shared" si="47"/>
        <v>0</v>
      </c>
      <c r="J141" s="8">
        <f t="shared" si="48"/>
        <v>0</v>
      </c>
      <c r="K141" s="7">
        <f t="shared" si="49"/>
        <v>0</v>
      </c>
      <c r="L141" s="6"/>
    </row>
    <row r="142" spans="1:12" x14ac:dyDescent="0.3">
      <c r="A142" s="8">
        <f t="shared" si="40"/>
        <v>0</v>
      </c>
      <c r="B142" s="8">
        <f t="shared" si="41"/>
        <v>0</v>
      </c>
      <c r="C142" s="7">
        <f t="shared" si="42"/>
        <v>0</v>
      </c>
      <c r="D142" s="8">
        <f t="shared" si="43"/>
        <v>0</v>
      </c>
      <c r="E142" s="9">
        <v>0</v>
      </c>
      <c r="F142" s="8">
        <f t="shared" si="44"/>
        <v>0</v>
      </c>
      <c r="G142" s="7">
        <f t="shared" si="45"/>
        <v>0</v>
      </c>
      <c r="H142" s="8">
        <f t="shared" si="46"/>
        <v>0</v>
      </c>
      <c r="I142" s="7">
        <f t="shared" si="47"/>
        <v>0</v>
      </c>
      <c r="J142" s="8">
        <f t="shared" si="48"/>
        <v>0</v>
      </c>
      <c r="K142" s="7">
        <f t="shared" si="49"/>
        <v>0</v>
      </c>
      <c r="L142" s="6"/>
    </row>
    <row r="143" spans="1:12" x14ac:dyDescent="0.3">
      <c r="A143" s="8">
        <f t="shared" si="40"/>
        <v>0</v>
      </c>
      <c r="B143" s="8">
        <f t="shared" si="41"/>
        <v>0</v>
      </c>
      <c r="C143" s="7">
        <f t="shared" si="42"/>
        <v>0</v>
      </c>
      <c r="D143" s="8">
        <f t="shared" si="43"/>
        <v>0</v>
      </c>
      <c r="E143" s="9">
        <v>0</v>
      </c>
      <c r="F143" s="8">
        <f t="shared" si="44"/>
        <v>0</v>
      </c>
      <c r="G143" s="7">
        <f t="shared" si="45"/>
        <v>0</v>
      </c>
      <c r="H143" s="8">
        <f t="shared" si="46"/>
        <v>0</v>
      </c>
      <c r="I143" s="7">
        <f t="shared" si="47"/>
        <v>0</v>
      </c>
      <c r="J143" s="8">
        <f t="shared" si="48"/>
        <v>0</v>
      </c>
      <c r="K143" s="7">
        <f t="shared" si="49"/>
        <v>0</v>
      </c>
      <c r="L143" s="6"/>
    </row>
    <row r="144" spans="1:12" x14ac:dyDescent="0.3">
      <c r="A144" s="8">
        <f t="shared" si="40"/>
        <v>0</v>
      </c>
      <c r="B144" s="8">
        <f t="shared" si="41"/>
        <v>0</v>
      </c>
      <c r="C144" s="7">
        <f t="shared" si="42"/>
        <v>0</v>
      </c>
      <c r="D144" s="8">
        <f t="shared" si="43"/>
        <v>0</v>
      </c>
      <c r="E144" s="9">
        <v>0</v>
      </c>
      <c r="F144" s="8">
        <f t="shared" si="44"/>
        <v>0</v>
      </c>
      <c r="G144" s="7">
        <f t="shared" si="45"/>
        <v>0</v>
      </c>
      <c r="H144" s="8">
        <f t="shared" si="46"/>
        <v>0</v>
      </c>
      <c r="I144" s="7">
        <f t="shared" si="47"/>
        <v>0</v>
      </c>
      <c r="J144" s="8">
        <f t="shared" si="48"/>
        <v>0</v>
      </c>
      <c r="K144" s="7">
        <f t="shared" si="49"/>
        <v>0</v>
      </c>
      <c r="L144" s="6"/>
    </row>
    <row r="145" spans="1:12" x14ac:dyDescent="0.3">
      <c r="A145" s="8">
        <f t="shared" si="40"/>
        <v>0</v>
      </c>
      <c r="B145" s="8">
        <f t="shared" si="41"/>
        <v>0</v>
      </c>
      <c r="C145" s="7">
        <f t="shared" si="42"/>
        <v>0</v>
      </c>
      <c r="D145" s="8">
        <f t="shared" si="43"/>
        <v>0</v>
      </c>
      <c r="E145" s="9">
        <v>0</v>
      </c>
      <c r="F145" s="8">
        <f t="shared" si="44"/>
        <v>0</v>
      </c>
      <c r="G145" s="7">
        <f t="shared" si="45"/>
        <v>0</v>
      </c>
      <c r="H145" s="8">
        <f t="shared" si="46"/>
        <v>0</v>
      </c>
      <c r="I145" s="7">
        <f t="shared" si="47"/>
        <v>0</v>
      </c>
      <c r="J145" s="8">
        <f t="shared" si="48"/>
        <v>0</v>
      </c>
      <c r="K145" s="7">
        <f t="shared" si="49"/>
        <v>0</v>
      </c>
      <c r="L145" s="6"/>
    </row>
    <row r="146" spans="1:12" x14ac:dyDescent="0.3">
      <c r="A146" s="8">
        <f t="shared" si="40"/>
        <v>0</v>
      </c>
      <c r="B146" s="8">
        <f t="shared" si="41"/>
        <v>0</v>
      </c>
      <c r="C146" s="7">
        <f t="shared" si="42"/>
        <v>0</v>
      </c>
      <c r="D146" s="8">
        <f t="shared" si="43"/>
        <v>0</v>
      </c>
      <c r="E146" s="9">
        <v>0</v>
      </c>
      <c r="F146" s="8">
        <f t="shared" si="44"/>
        <v>0</v>
      </c>
      <c r="G146" s="7">
        <f t="shared" si="45"/>
        <v>0</v>
      </c>
      <c r="H146" s="8">
        <f t="shared" si="46"/>
        <v>0</v>
      </c>
      <c r="I146" s="7">
        <f t="shared" si="47"/>
        <v>0</v>
      </c>
      <c r="J146" s="8">
        <f t="shared" si="48"/>
        <v>0</v>
      </c>
      <c r="K146" s="7">
        <f t="shared" si="49"/>
        <v>0</v>
      </c>
      <c r="L146" s="6"/>
    </row>
    <row r="147" spans="1:12" x14ac:dyDescent="0.3">
      <c r="A147" s="8">
        <f t="shared" si="40"/>
        <v>0</v>
      </c>
      <c r="B147" s="8">
        <f t="shared" si="41"/>
        <v>0</v>
      </c>
      <c r="C147" s="7">
        <f t="shared" si="42"/>
        <v>0</v>
      </c>
      <c r="D147" s="8">
        <f t="shared" si="43"/>
        <v>0</v>
      </c>
      <c r="E147" s="9">
        <v>0</v>
      </c>
      <c r="F147" s="8">
        <f t="shared" si="44"/>
        <v>0</v>
      </c>
      <c r="G147" s="7">
        <f t="shared" si="45"/>
        <v>0</v>
      </c>
      <c r="H147" s="8">
        <f t="shared" si="46"/>
        <v>0</v>
      </c>
      <c r="I147" s="7">
        <f t="shared" si="47"/>
        <v>0</v>
      </c>
      <c r="J147" s="8">
        <f t="shared" si="48"/>
        <v>0</v>
      </c>
      <c r="K147" s="7">
        <f t="shared" si="49"/>
        <v>0</v>
      </c>
      <c r="L147" s="6"/>
    </row>
    <row r="148" spans="1:12" x14ac:dyDescent="0.3">
      <c r="A148" s="8">
        <f t="shared" si="40"/>
        <v>0</v>
      </c>
      <c r="B148" s="8">
        <f t="shared" si="41"/>
        <v>0</v>
      </c>
      <c r="C148" s="7">
        <f t="shared" si="42"/>
        <v>0</v>
      </c>
      <c r="D148" s="8">
        <f t="shared" si="43"/>
        <v>0</v>
      </c>
      <c r="E148" s="9">
        <v>0</v>
      </c>
      <c r="F148" s="8">
        <f t="shared" si="44"/>
        <v>0</v>
      </c>
      <c r="G148" s="7">
        <f t="shared" si="45"/>
        <v>0</v>
      </c>
      <c r="H148" s="8">
        <f t="shared" si="46"/>
        <v>0</v>
      </c>
      <c r="I148" s="7">
        <f t="shared" si="47"/>
        <v>0</v>
      </c>
      <c r="J148" s="8">
        <f t="shared" si="48"/>
        <v>0</v>
      </c>
      <c r="K148" s="7">
        <f t="shared" si="49"/>
        <v>0</v>
      </c>
      <c r="L148" s="6"/>
    </row>
    <row r="149" spans="1:12" x14ac:dyDescent="0.3">
      <c r="A149" s="8">
        <f t="shared" si="40"/>
        <v>0</v>
      </c>
      <c r="B149" s="8">
        <f t="shared" si="41"/>
        <v>0</v>
      </c>
      <c r="C149" s="7">
        <f t="shared" si="42"/>
        <v>0</v>
      </c>
      <c r="D149" s="8">
        <f t="shared" si="43"/>
        <v>0</v>
      </c>
      <c r="E149" s="9">
        <v>0</v>
      </c>
      <c r="F149" s="8">
        <f t="shared" si="44"/>
        <v>0</v>
      </c>
      <c r="G149" s="7">
        <f t="shared" si="45"/>
        <v>0</v>
      </c>
      <c r="H149" s="8">
        <f t="shared" si="46"/>
        <v>0</v>
      </c>
      <c r="I149" s="7">
        <f t="shared" si="47"/>
        <v>0</v>
      </c>
      <c r="J149" s="8">
        <f t="shared" si="48"/>
        <v>0</v>
      </c>
      <c r="K149" s="7">
        <f t="shared" si="49"/>
        <v>0</v>
      </c>
      <c r="L149" s="6"/>
    </row>
    <row r="150" spans="1:12" x14ac:dyDescent="0.3">
      <c r="A150" s="8">
        <f t="shared" si="40"/>
        <v>0</v>
      </c>
      <c r="B150" s="8">
        <f t="shared" si="41"/>
        <v>0</v>
      </c>
      <c r="C150" s="7">
        <f t="shared" si="42"/>
        <v>0</v>
      </c>
      <c r="D150" s="8">
        <f t="shared" si="43"/>
        <v>0</v>
      </c>
      <c r="E150" s="9">
        <v>0</v>
      </c>
      <c r="F150" s="8">
        <f t="shared" si="44"/>
        <v>0</v>
      </c>
      <c r="G150" s="7">
        <f t="shared" si="45"/>
        <v>0</v>
      </c>
      <c r="H150" s="8">
        <f t="shared" si="46"/>
        <v>0</v>
      </c>
      <c r="I150" s="7">
        <f t="shared" si="47"/>
        <v>0</v>
      </c>
      <c r="J150" s="8">
        <f t="shared" si="48"/>
        <v>0</v>
      </c>
      <c r="K150" s="7">
        <f t="shared" si="49"/>
        <v>0</v>
      </c>
      <c r="L150" s="6"/>
    </row>
    <row r="151" spans="1:12" x14ac:dyDescent="0.3">
      <c r="A151" s="8">
        <f t="shared" si="40"/>
        <v>0</v>
      </c>
      <c r="B151" s="8">
        <f t="shared" si="41"/>
        <v>0</v>
      </c>
      <c r="C151" s="7">
        <f t="shared" si="42"/>
        <v>0</v>
      </c>
      <c r="D151" s="8">
        <f t="shared" si="43"/>
        <v>0</v>
      </c>
      <c r="E151" s="9">
        <v>0</v>
      </c>
      <c r="F151" s="8">
        <f t="shared" si="44"/>
        <v>0</v>
      </c>
      <c r="G151" s="7">
        <f t="shared" si="45"/>
        <v>0</v>
      </c>
      <c r="H151" s="8">
        <f t="shared" si="46"/>
        <v>0</v>
      </c>
      <c r="I151" s="7">
        <f t="shared" si="47"/>
        <v>0</v>
      </c>
      <c r="J151" s="8">
        <f t="shared" si="48"/>
        <v>0</v>
      </c>
      <c r="K151" s="7">
        <f t="shared" si="49"/>
        <v>0</v>
      </c>
      <c r="L151" s="6"/>
    </row>
    <row r="152" spans="1:12" x14ac:dyDescent="0.3">
      <c r="A152" s="8">
        <f t="shared" si="40"/>
        <v>0</v>
      </c>
      <c r="B152" s="8">
        <f t="shared" si="41"/>
        <v>0</v>
      </c>
      <c r="C152" s="7">
        <f t="shared" si="42"/>
        <v>0</v>
      </c>
      <c r="D152" s="8">
        <f t="shared" si="43"/>
        <v>0</v>
      </c>
      <c r="E152" s="9">
        <v>0</v>
      </c>
      <c r="F152" s="8">
        <f t="shared" si="44"/>
        <v>0</v>
      </c>
      <c r="G152" s="7">
        <f t="shared" si="45"/>
        <v>0</v>
      </c>
      <c r="H152" s="8">
        <f t="shared" si="46"/>
        <v>0</v>
      </c>
      <c r="I152" s="7">
        <f t="shared" si="47"/>
        <v>0</v>
      </c>
      <c r="J152" s="8">
        <f t="shared" si="48"/>
        <v>0</v>
      </c>
      <c r="K152" s="7">
        <f t="shared" si="49"/>
        <v>0</v>
      </c>
      <c r="L152" s="6"/>
    </row>
    <row r="153" spans="1:12" x14ac:dyDescent="0.3">
      <c r="A153" s="8">
        <f t="shared" si="40"/>
        <v>0</v>
      </c>
      <c r="B153" s="8">
        <f t="shared" si="41"/>
        <v>0</v>
      </c>
      <c r="C153" s="7">
        <f t="shared" si="42"/>
        <v>0</v>
      </c>
      <c r="D153" s="8">
        <f t="shared" si="43"/>
        <v>0</v>
      </c>
      <c r="E153" s="9">
        <v>0</v>
      </c>
      <c r="F153" s="8">
        <f t="shared" si="44"/>
        <v>0</v>
      </c>
      <c r="G153" s="7">
        <f t="shared" si="45"/>
        <v>0</v>
      </c>
      <c r="H153" s="8">
        <f t="shared" si="46"/>
        <v>0</v>
      </c>
      <c r="I153" s="7">
        <f t="shared" si="47"/>
        <v>0</v>
      </c>
      <c r="J153" s="8">
        <f t="shared" si="48"/>
        <v>0</v>
      </c>
      <c r="K153" s="7">
        <f t="shared" si="49"/>
        <v>0</v>
      </c>
      <c r="L153" s="6"/>
    </row>
    <row r="154" spans="1:12" x14ac:dyDescent="0.3">
      <c r="A154" s="8">
        <f t="shared" si="40"/>
        <v>0</v>
      </c>
      <c r="B154" s="8">
        <f t="shared" si="41"/>
        <v>0</v>
      </c>
      <c r="C154" s="7">
        <f t="shared" si="42"/>
        <v>0</v>
      </c>
      <c r="D154" s="8">
        <f t="shared" si="43"/>
        <v>0</v>
      </c>
      <c r="E154" s="9">
        <v>0</v>
      </c>
      <c r="F154" s="8">
        <f t="shared" si="44"/>
        <v>0</v>
      </c>
      <c r="G154" s="7">
        <f t="shared" si="45"/>
        <v>0</v>
      </c>
      <c r="H154" s="8">
        <f t="shared" si="46"/>
        <v>0</v>
      </c>
      <c r="I154" s="7">
        <f t="shared" si="47"/>
        <v>0</v>
      </c>
      <c r="J154" s="8">
        <f t="shared" si="48"/>
        <v>0</v>
      </c>
      <c r="K154" s="7">
        <f t="shared" si="49"/>
        <v>0</v>
      </c>
      <c r="L154" s="6"/>
    </row>
    <row r="155" spans="1:12" x14ac:dyDescent="0.3">
      <c r="A155" s="8">
        <f t="shared" si="40"/>
        <v>0</v>
      </c>
      <c r="B155" s="8">
        <f t="shared" si="41"/>
        <v>0</v>
      </c>
      <c r="C155" s="7">
        <f t="shared" si="42"/>
        <v>0</v>
      </c>
      <c r="D155" s="8">
        <f t="shared" si="43"/>
        <v>0</v>
      </c>
      <c r="E155" s="9">
        <v>0</v>
      </c>
      <c r="F155" s="8">
        <f t="shared" si="44"/>
        <v>0</v>
      </c>
      <c r="G155" s="7">
        <f t="shared" si="45"/>
        <v>0</v>
      </c>
      <c r="H155" s="8">
        <f t="shared" si="46"/>
        <v>0</v>
      </c>
      <c r="I155" s="7">
        <f t="shared" si="47"/>
        <v>0</v>
      </c>
      <c r="J155" s="8">
        <f t="shared" si="48"/>
        <v>0</v>
      </c>
      <c r="K155" s="7">
        <f t="shared" si="49"/>
        <v>0</v>
      </c>
      <c r="L155" s="6"/>
    </row>
    <row r="156" spans="1:12" x14ac:dyDescent="0.3">
      <c r="A156" s="8">
        <f t="shared" si="40"/>
        <v>0</v>
      </c>
      <c r="B156" s="8">
        <f t="shared" si="41"/>
        <v>0</v>
      </c>
      <c r="C156" s="7">
        <f t="shared" si="42"/>
        <v>0</v>
      </c>
      <c r="D156" s="8">
        <f t="shared" si="43"/>
        <v>0</v>
      </c>
      <c r="E156" s="9">
        <v>0</v>
      </c>
      <c r="F156" s="8">
        <f t="shared" si="44"/>
        <v>0</v>
      </c>
      <c r="G156" s="7">
        <f t="shared" si="45"/>
        <v>0</v>
      </c>
      <c r="H156" s="8">
        <f t="shared" si="46"/>
        <v>0</v>
      </c>
      <c r="I156" s="7">
        <f t="shared" si="47"/>
        <v>0</v>
      </c>
      <c r="J156" s="8">
        <f t="shared" si="48"/>
        <v>0</v>
      </c>
      <c r="K156" s="7">
        <f t="shared" si="49"/>
        <v>0</v>
      </c>
      <c r="L156" s="6"/>
    </row>
    <row r="157" spans="1:12" x14ac:dyDescent="0.3">
      <c r="A157" s="8">
        <f t="shared" si="40"/>
        <v>0</v>
      </c>
      <c r="B157" s="8">
        <f t="shared" si="41"/>
        <v>0</v>
      </c>
      <c r="C157" s="7">
        <f t="shared" si="42"/>
        <v>0</v>
      </c>
      <c r="D157" s="8">
        <f t="shared" si="43"/>
        <v>0</v>
      </c>
      <c r="E157" s="9">
        <v>0</v>
      </c>
      <c r="F157" s="8">
        <f t="shared" si="44"/>
        <v>0</v>
      </c>
      <c r="G157" s="7">
        <f t="shared" si="45"/>
        <v>0</v>
      </c>
      <c r="H157" s="8">
        <f t="shared" si="46"/>
        <v>0</v>
      </c>
      <c r="I157" s="7">
        <f t="shared" si="47"/>
        <v>0</v>
      </c>
      <c r="J157" s="8">
        <f t="shared" si="48"/>
        <v>0</v>
      </c>
      <c r="K157" s="7">
        <f t="shared" si="49"/>
        <v>0</v>
      </c>
      <c r="L157" s="6"/>
    </row>
    <row r="158" spans="1:12" x14ac:dyDescent="0.3">
      <c r="A158" s="8">
        <f t="shared" si="40"/>
        <v>0</v>
      </c>
      <c r="B158" s="8">
        <f t="shared" si="41"/>
        <v>0</v>
      </c>
      <c r="C158" s="7">
        <f t="shared" si="42"/>
        <v>0</v>
      </c>
      <c r="D158" s="8">
        <f t="shared" si="43"/>
        <v>0</v>
      </c>
      <c r="E158" s="9">
        <v>0</v>
      </c>
      <c r="F158" s="8">
        <f t="shared" si="44"/>
        <v>0</v>
      </c>
      <c r="G158" s="7">
        <f t="shared" si="45"/>
        <v>0</v>
      </c>
      <c r="H158" s="8">
        <f t="shared" si="46"/>
        <v>0</v>
      </c>
      <c r="I158" s="7">
        <f t="shared" si="47"/>
        <v>0</v>
      </c>
      <c r="J158" s="8">
        <f t="shared" si="48"/>
        <v>0</v>
      </c>
      <c r="K158" s="7">
        <f t="shared" si="49"/>
        <v>0</v>
      </c>
      <c r="L158" s="6"/>
    </row>
    <row r="159" spans="1:12" x14ac:dyDescent="0.3">
      <c r="A159" s="8">
        <f t="shared" si="40"/>
        <v>0</v>
      </c>
      <c r="B159" s="8">
        <f t="shared" si="41"/>
        <v>0</v>
      </c>
      <c r="C159" s="7">
        <f t="shared" si="42"/>
        <v>0</v>
      </c>
      <c r="D159" s="8">
        <f t="shared" si="43"/>
        <v>0</v>
      </c>
      <c r="E159" s="9">
        <v>0</v>
      </c>
      <c r="F159" s="8">
        <f t="shared" si="44"/>
        <v>0</v>
      </c>
      <c r="G159" s="7">
        <f t="shared" si="45"/>
        <v>0</v>
      </c>
      <c r="H159" s="8">
        <f t="shared" si="46"/>
        <v>0</v>
      </c>
      <c r="I159" s="7">
        <f t="shared" si="47"/>
        <v>0</v>
      </c>
      <c r="J159" s="8">
        <f t="shared" si="48"/>
        <v>0</v>
      </c>
      <c r="K159" s="7">
        <f t="shared" si="49"/>
        <v>0</v>
      </c>
      <c r="L159" s="6"/>
    </row>
    <row r="160" spans="1:12" x14ac:dyDescent="0.3">
      <c r="A160" s="8">
        <f t="shared" si="40"/>
        <v>0</v>
      </c>
      <c r="B160" s="8">
        <f t="shared" si="41"/>
        <v>0</v>
      </c>
      <c r="C160" s="7">
        <f t="shared" si="42"/>
        <v>0</v>
      </c>
      <c r="D160" s="8">
        <f t="shared" si="43"/>
        <v>0</v>
      </c>
      <c r="E160" s="9">
        <v>0</v>
      </c>
      <c r="F160" s="8">
        <f t="shared" si="44"/>
        <v>0</v>
      </c>
      <c r="G160" s="7">
        <f t="shared" si="45"/>
        <v>0</v>
      </c>
      <c r="H160" s="8">
        <f t="shared" si="46"/>
        <v>0</v>
      </c>
      <c r="I160" s="7">
        <f t="shared" si="47"/>
        <v>0</v>
      </c>
      <c r="J160" s="8">
        <f t="shared" si="48"/>
        <v>0</v>
      </c>
      <c r="K160" s="7">
        <f t="shared" si="49"/>
        <v>0</v>
      </c>
      <c r="L160" s="6"/>
    </row>
    <row r="161" spans="1:12" x14ac:dyDescent="0.3">
      <c r="A161" s="8">
        <f t="shared" si="40"/>
        <v>0</v>
      </c>
      <c r="B161" s="8">
        <f t="shared" si="41"/>
        <v>0</v>
      </c>
      <c r="C161" s="7">
        <f t="shared" si="42"/>
        <v>0</v>
      </c>
      <c r="D161" s="8">
        <f t="shared" si="43"/>
        <v>0</v>
      </c>
      <c r="E161" s="9">
        <v>0</v>
      </c>
      <c r="F161" s="8">
        <f t="shared" si="44"/>
        <v>0</v>
      </c>
      <c r="G161" s="7">
        <f t="shared" si="45"/>
        <v>0</v>
      </c>
      <c r="H161" s="8">
        <f t="shared" si="46"/>
        <v>0</v>
      </c>
      <c r="I161" s="7">
        <f t="shared" si="47"/>
        <v>0</v>
      </c>
      <c r="J161" s="8">
        <f t="shared" si="48"/>
        <v>0</v>
      </c>
      <c r="K161" s="7">
        <f t="shared" si="49"/>
        <v>0</v>
      </c>
      <c r="L161" s="6"/>
    </row>
    <row r="162" spans="1:12" x14ac:dyDescent="0.3">
      <c r="A162" s="8">
        <f t="shared" si="40"/>
        <v>0</v>
      </c>
      <c r="B162" s="8">
        <f t="shared" si="41"/>
        <v>0</v>
      </c>
      <c r="C162" s="7">
        <f t="shared" si="42"/>
        <v>0</v>
      </c>
      <c r="D162" s="8">
        <f t="shared" si="43"/>
        <v>0</v>
      </c>
      <c r="E162" s="9">
        <v>0</v>
      </c>
      <c r="F162" s="8">
        <f t="shared" si="44"/>
        <v>0</v>
      </c>
      <c r="G162" s="7">
        <f t="shared" si="45"/>
        <v>0</v>
      </c>
      <c r="H162" s="8">
        <f t="shared" si="46"/>
        <v>0</v>
      </c>
      <c r="I162" s="7">
        <f t="shared" si="47"/>
        <v>0</v>
      </c>
      <c r="J162" s="8">
        <f t="shared" si="48"/>
        <v>0</v>
      </c>
      <c r="K162" s="7">
        <f t="shared" si="49"/>
        <v>0</v>
      </c>
      <c r="L162" s="6"/>
    </row>
    <row r="163" spans="1:12" x14ac:dyDescent="0.3">
      <c r="A163" s="8">
        <f t="shared" si="40"/>
        <v>0</v>
      </c>
      <c r="B163" s="8">
        <f t="shared" si="41"/>
        <v>0</v>
      </c>
      <c r="C163" s="7">
        <f t="shared" si="42"/>
        <v>0</v>
      </c>
      <c r="D163" s="8">
        <f t="shared" si="43"/>
        <v>0</v>
      </c>
      <c r="E163" s="9">
        <v>0</v>
      </c>
      <c r="F163" s="8">
        <f t="shared" si="44"/>
        <v>0</v>
      </c>
      <c r="G163" s="7">
        <f t="shared" si="45"/>
        <v>0</v>
      </c>
      <c r="H163" s="8">
        <f t="shared" si="46"/>
        <v>0</v>
      </c>
      <c r="I163" s="7">
        <f t="shared" si="47"/>
        <v>0</v>
      </c>
      <c r="J163" s="8">
        <f t="shared" si="48"/>
        <v>0</v>
      </c>
      <c r="K163" s="7">
        <f t="shared" si="49"/>
        <v>0</v>
      </c>
      <c r="L163" s="6"/>
    </row>
    <row r="164" spans="1:12" x14ac:dyDescent="0.3">
      <c r="A164" s="8">
        <f t="shared" ref="A164:A195" si="50">E164*0.98</f>
        <v>0</v>
      </c>
      <c r="B164" s="8">
        <f t="shared" ref="B164:B195" si="51">E164*0.985</f>
        <v>0</v>
      </c>
      <c r="C164" s="7">
        <f t="shared" ref="C164:C195" si="52">E164*0.99</f>
        <v>0</v>
      </c>
      <c r="D164" s="8">
        <f t="shared" ref="D164:D195" si="53">E164*0.995</f>
        <v>0</v>
      </c>
      <c r="E164" s="9">
        <v>0</v>
      </c>
      <c r="F164" s="8">
        <f t="shared" ref="F164:F195" si="54">E164*1.005</f>
        <v>0</v>
      </c>
      <c r="G164" s="7">
        <f t="shared" ref="G164:G195" si="55">E164*1.01</f>
        <v>0</v>
      </c>
      <c r="H164" s="8">
        <f t="shared" ref="H164:H195" si="56">E164*1.015</f>
        <v>0</v>
      </c>
      <c r="I164" s="7">
        <f t="shared" ref="I164:I195" si="57">E164*1.02</f>
        <v>0</v>
      </c>
      <c r="J164" s="8">
        <f t="shared" ref="J164:J195" si="58">E164*1.025</f>
        <v>0</v>
      </c>
      <c r="K164" s="7">
        <f t="shared" ref="K164:K195" si="59">E164*1.03</f>
        <v>0</v>
      </c>
      <c r="L164" s="6"/>
    </row>
    <row r="165" spans="1:12" x14ac:dyDescent="0.3">
      <c r="A165" s="8">
        <f t="shared" si="50"/>
        <v>0</v>
      </c>
      <c r="B165" s="8">
        <f t="shared" si="51"/>
        <v>0</v>
      </c>
      <c r="C165" s="7">
        <f t="shared" si="52"/>
        <v>0</v>
      </c>
      <c r="D165" s="8">
        <f t="shared" si="53"/>
        <v>0</v>
      </c>
      <c r="E165" s="9">
        <v>0</v>
      </c>
      <c r="F165" s="8">
        <f t="shared" si="54"/>
        <v>0</v>
      </c>
      <c r="G165" s="7">
        <f t="shared" si="55"/>
        <v>0</v>
      </c>
      <c r="H165" s="8">
        <f t="shared" si="56"/>
        <v>0</v>
      </c>
      <c r="I165" s="7">
        <f t="shared" si="57"/>
        <v>0</v>
      </c>
      <c r="J165" s="8">
        <f t="shared" si="58"/>
        <v>0</v>
      </c>
      <c r="K165" s="7">
        <f t="shared" si="59"/>
        <v>0</v>
      </c>
      <c r="L165" s="6"/>
    </row>
    <row r="166" spans="1:12" x14ac:dyDescent="0.3">
      <c r="A166" s="8">
        <f t="shared" si="50"/>
        <v>0</v>
      </c>
      <c r="B166" s="8">
        <f t="shared" si="51"/>
        <v>0</v>
      </c>
      <c r="C166" s="7">
        <f t="shared" si="52"/>
        <v>0</v>
      </c>
      <c r="D166" s="8">
        <f t="shared" si="53"/>
        <v>0</v>
      </c>
      <c r="E166" s="9">
        <v>0</v>
      </c>
      <c r="F166" s="8">
        <f t="shared" si="54"/>
        <v>0</v>
      </c>
      <c r="G166" s="7">
        <f t="shared" si="55"/>
        <v>0</v>
      </c>
      <c r="H166" s="8">
        <f t="shared" si="56"/>
        <v>0</v>
      </c>
      <c r="I166" s="7">
        <f t="shared" si="57"/>
        <v>0</v>
      </c>
      <c r="J166" s="8">
        <f t="shared" si="58"/>
        <v>0</v>
      </c>
      <c r="K166" s="7">
        <f t="shared" si="59"/>
        <v>0</v>
      </c>
      <c r="L166" s="6"/>
    </row>
    <row r="167" spans="1:12" x14ac:dyDescent="0.3">
      <c r="A167" s="8">
        <f t="shared" si="50"/>
        <v>0</v>
      </c>
      <c r="B167" s="8">
        <f t="shared" si="51"/>
        <v>0</v>
      </c>
      <c r="C167" s="7">
        <f t="shared" si="52"/>
        <v>0</v>
      </c>
      <c r="D167" s="8">
        <f t="shared" si="53"/>
        <v>0</v>
      </c>
      <c r="E167" s="9">
        <v>0</v>
      </c>
      <c r="F167" s="8">
        <f t="shared" si="54"/>
        <v>0</v>
      </c>
      <c r="G167" s="7">
        <f t="shared" si="55"/>
        <v>0</v>
      </c>
      <c r="H167" s="8">
        <f t="shared" si="56"/>
        <v>0</v>
      </c>
      <c r="I167" s="7">
        <f t="shared" si="57"/>
        <v>0</v>
      </c>
      <c r="J167" s="8">
        <f t="shared" si="58"/>
        <v>0</v>
      </c>
      <c r="K167" s="7">
        <f t="shared" si="59"/>
        <v>0</v>
      </c>
      <c r="L167" s="6"/>
    </row>
    <row r="168" spans="1:12" x14ac:dyDescent="0.3">
      <c r="A168" s="8">
        <f t="shared" si="50"/>
        <v>0</v>
      </c>
      <c r="B168" s="8">
        <f t="shared" si="51"/>
        <v>0</v>
      </c>
      <c r="C168" s="7">
        <f t="shared" si="52"/>
        <v>0</v>
      </c>
      <c r="D168" s="8">
        <f t="shared" si="53"/>
        <v>0</v>
      </c>
      <c r="E168" s="9">
        <v>0</v>
      </c>
      <c r="F168" s="8">
        <f t="shared" si="54"/>
        <v>0</v>
      </c>
      <c r="G168" s="7">
        <f t="shared" si="55"/>
        <v>0</v>
      </c>
      <c r="H168" s="8">
        <f t="shared" si="56"/>
        <v>0</v>
      </c>
      <c r="I168" s="7">
        <f t="shared" si="57"/>
        <v>0</v>
      </c>
      <c r="J168" s="8">
        <f t="shared" si="58"/>
        <v>0</v>
      </c>
      <c r="K168" s="7">
        <f t="shared" si="59"/>
        <v>0</v>
      </c>
      <c r="L168" s="6"/>
    </row>
    <row r="169" spans="1:12" x14ac:dyDescent="0.3">
      <c r="A169" s="8">
        <f t="shared" si="50"/>
        <v>0</v>
      </c>
      <c r="B169" s="8">
        <f t="shared" si="51"/>
        <v>0</v>
      </c>
      <c r="C169" s="7">
        <f t="shared" si="52"/>
        <v>0</v>
      </c>
      <c r="D169" s="8">
        <f t="shared" si="53"/>
        <v>0</v>
      </c>
      <c r="E169" s="9">
        <v>0</v>
      </c>
      <c r="F169" s="8">
        <f t="shared" si="54"/>
        <v>0</v>
      </c>
      <c r="G169" s="7">
        <f t="shared" si="55"/>
        <v>0</v>
      </c>
      <c r="H169" s="8">
        <f t="shared" si="56"/>
        <v>0</v>
      </c>
      <c r="I169" s="7">
        <f t="shared" si="57"/>
        <v>0</v>
      </c>
      <c r="J169" s="8">
        <f t="shared" si="58"/>
        <v>0</v>
      </c>
      <c r="K169" s="7">
        <f t="shared" si="59"/>
        <v>0</v>
      </c>
      <c r="L169" s="6"/>
    </row>
    <row r="170" spans="1:12" x14ac:dyDescent="0.3">
      <c r="A170" s="8">
        <f t="shared" si="50"/>
        <v>0</v>
      </c>
      <c r="B170" s="8">
        <f t="shared" si="51"/>
        <v>0</v>
      </c>
      <c r="C170" s="7">
        <f t="shared" si="52"/>
        <v>0</v>
      </c>
      <c r="D170" s="8">
        <f t="shared" si="53"/>
        <v>0</v>
      </c>
      <c r="E170" s="9">
        <v>0</v>
      </c>
      <c r="F170" s="8">
        <f t="shared" si="54"/>
        <v>0</v>
      </c>
      <c r="G170" s="7">
        <f t="shared" si="55"/>
        <v>0</v>
      </c>
      <c r="H170" s="8">
        <f t="shared" si="56"/>
        <v>0</v>
      </c>
      <c r="I170" s="7">
        <f t="shared" si="57"/>
        <v>0</v>
      </c>
      <c r="J170" s="8">
        <f t="shared" si="58"/>
        <v>0</v>
      </c>
      <c r="K170" s="7">
        <f t="shared" si="59"/>
        <v>0</v>
      </c>
      <c r="L170" s="6"/>
    </row>
    <row r="171" spans="1:12" x14ac:dyDescent="0.3">
      <c r="A171" s="8">
        <f t="shared" si="50"/>
        <v>0</v>
      </c>
      <c r="B171" s="8">
        <f t="shared" si="51"/>
        <v>0</v>
      </c>
      <c r="C171" s="7">
        <f t="shared" si="52"/>
        <v>0</v>
      </c>
      <c r="D171" s="8">
        <f t="shared" si="53"/>
        <v>0</v>
      </c>
      <c r="E171" s="9">
        <v>0</v>
      </c>
      <c r="F171" s="8">
        <f t="shared" si="54"/>
        <v>0</v>
      </c>
      <c r="G171" s="7">
        <f t="shared" si="55"/>
        <v>0</v>
      </c>
      <c r="H171" s="8">
        <f t="shared" si="56"/>
        <v>0</v>
      </c>
      <c r="I171" s="7">
        <f t="shared" si="57"/>
        <v>0</v>
      </c>
      <c r="J171" s="8">
        <f t="shared" si="58"/>
        <v>0</v>
      </c>
      <c r="K171" s="7">
        <f t="shared" si="59"/>
        <v>0</v>
      </c>
      <c r="L171" s="6"/>
    </row>
    <row r="172" spans="1:12" x14ac:dyDescent="0.3">
      <c r="A172" s="8">
        <f t="shared" si="50"/>
        <v>0</v>
      </c>
      <c r="B172" s="8">
        <f t="shared" si="51"/>
        <v>0</v>
      </c>
      <c r="C172" s="7">
        <f t="shared" si="52"/>
        <v>0</v>
      </c>
      <c r="D172" s="8">
        <f t="shared" si="53"/>
        <v>0</v>
      </c>
      <c r="E172" s="9">
        <v>0</v>
      </c>
      <c r="F172" s="8">
        <f t="shared" si="54"/>
        <v>0</v>
      </c>
      <c r="G172" s="7">
        <f t="shared" si="55"/>
        <v>0</v>
      </c>
      <c r="H172" s="8">
        <f t="shared" si="56"/>
        <v>0</v>
      </c>
      <c r="I172" s="7">
        <f t="shared" si="57"/>
        <v>0</v>
      </c>
      <c r="J172" s="8">
        <f t="shared" si="58"/>
        <v>0</v>
      </c>
      <c r="K172" s="7">
        <f t="shared" si="59"/>
        <v>0</v>
      </c>
      <c r="L172" s="6"/>
    </row>
    <row r="173" spans="1:12" x14ac:dyDescent="0.3">
      <c r="A173" s="8">
        <f t="shared" si="50"/>
        <v>0</v>
      </c>
      <c r="B173" s="8">
        <f t="shared" si="51"/>
        <v>0</v>
      </c>
      <c r="C173" s="7">
        <f t="shared" si="52"/>
        <v>0</v>
      </c>
      <c r="D173" s="8">
        <f t="shared" si="53"/>
        <v>0</v>
      </c>
      <c r="E173" s="9">
        <v>0</v>
      </c>
      <c r="F173" s="8">
        <f t="shared" si="54"/>
        <v>0</v>
      </c>
      <c r="G173" s="7">
        <f t="shared" si="55"/>
        <v>0</v>
      </c>
      <c r="H173" s="8">
        <f t="shared" si="56"/>
        <v>0</v>
      </c>
      <c r="I173" s="7">
        <f t="shared" si="57"/>
        <v>0</v>
      </c>
      <c r="J173" s="8">
        <f t="shared" si="58"/>
        <v>0</v>
      </c>
      <c r="K173" s="7">
        <f t="shared" si="59"/>
        <v>0</v>
      </c>
      <c r="L173" s="6"/>
    </row>
    <row r="174" spans="1:12" x14ac:dyDescent="0.3">
      <c r="A174" s="8">
        <f t="shared" si="50"/>
        <v>0</v>
      </c>
      <c r="B174" s="8">
        <f t="shared" si="51"/>
        <v>0</v>
      </c>
      <c r="C174" s="7">
        <f t="shared" si="52"/>
        <v>0</v>
      </c>
      <c r="D174" s="8">
        <f t="shared" si="53"/>
        <v>0</v>
      </c>
      <c r="E174" s="9">
        <v>0</v>
      </c>
      <c r="F174" s="8">
        <f t="shared" si="54"/>
        <v>0</v>
      </c>
      <c r="G174" s="7">
        <f t="shared" si="55"/>
        <v>0</v>
      </c>
      <c r="H174" s="8">
        <f t="shared" si="56"/>
        <v>0</v>
      </c>
      <c r="I174" s="7">
        <f t="shared" si="57"/>
        <v>0</v>
      </c>
      <c r="J174" s="8">
        <f t="shared" si="58"/>
        <v>0</v>
      </c>
      <c r="K174" s="7">
        <f t="shared" si="59"/>
        <v>0</v>
      </c>
      <c r="L174" s="6"/>
    </row>
    <row r="175" spans="1:12" x14ac:dyDescent="0.3">
      <c r="A175" s="8">
        <f t="shared" si="50"/>
        <v>0</v>
      </c>
      <c r="B175" s="8">
        <f t="shared" si="51"/>
        <v>0</v>
      </c>
      <c r="C175" s="7">
        <f t="shared" si="52"/>
        <v>0</v>
      </c>
      <c r="D175" s="8">
        <f t="shared" si="53"/>
        <v>0</v>
      </c>
      <c r="E175" s="9">
        <v>0</v>
      </c>
      <c r="F175" s="8">
        <f t="shared" si="54"/>
        <v>0</v>
      </c>
      <c r="G175" s="7">
        <f t="shared" si="55"/>
        <v>0</v>
      </c>
      <c r="H175" s="8">
        <f t="shared" si="56"/>
        <v>0</v>
      </c>
      <c r="I175" s="7">
        <f t="shared" si="57"/>
        <v>0</v>
      </c>
      <c r="J175" s="8">
        <f t="shared" si="58"/>
        <v>0</v>
      </c>
      <c r="K175" s="7">
        <f t="shared" si="59"/>
        <v>0</v>
      </c>
      <c r="L175" s="6"/>
    </row>
    <row r="176" spans="1:12" x14ac:dyDescent="0.3">
      <c r="A176" s="8">
        <f t="shared" si="50"/>
        <v>0</v>
      </c>
      <c r="B176" s="8">
        <f t="shared" si="51"/>
        <v>0</v>
      </c>
      <c r="C176" s="7">
        <f t="shared" si="52"/>
        <v>0</v>
      </c>
      <c r="D176" s="8">
        <f t="shared" si="53"/>
        <v>0</v>
      </c>
      <c r="E176" s="9">
        <v>0</v>
      </c>
      <c r="F176" s="8">
        <f t="shared" si="54"/>
        <v>0</v>
      </c>
      <c r="G176" s="7">
        <f t="shared" si="55"/>
        <v>0</v>
      </c>
      <c r="H176" s="8">
        <f t="shared" si="56"/>
        <v>0</v>
      </c>
      <c r="I176" s="7">
        <f t="shared" si="57"/>
        <v>0</v>
      </c>
      <c r="J176" s="8">
        <f t="shared" si="58"/>
        <v>0</v>
      </c>
      <c r="K176" s="7">
        <f t="shared" si="59"/>
        <v>0</v>
      </c>
      <c r="L176" s="6"/>
    </row>
    <row r="177" spans="1:12" x14ac:dyDescent="0.3">
      <c r="A177" s="8">
        <f t="shared" si="50"/>
        <v>0</v>
      </c>
      <c r="B177" s="8">
        <f t="shared" si="51"/>
        <v>0</v>
      </c>
      <c r="C177" s="7">
        <f t="shared" si="52"/>
        <v>0</v>
      </c>
      <c r="D177" s="8">
        <f t="shared" si="53"/>
        <v>0</v>
      </c>
      <c r="E177" s="9">
        <v>0</v>
      </c>
      <c r="F177" s="8">
        <f t="shared" si="54"/>
        <v>0</v>
      </c>
      <c r="G177" s="7">
        <f t="shared" si="55"/>
        <v>0</v>
      </c>
      <c r="H177" s="8">
        <f t="shared" si="56"/>
        <v>0</v>
      </c>
      <c r="I177" s="7">
        <f t="shared" si="57"/>
        <v>0</v>
      </c>
      <c r="J177" s="8">
        <f t="shared" si="58"/>
        <v>0</v>
      </c>
      <c r="K177" s="7">
        <f t="shared" si="59"/>
        <v>0</v>
      </c>
      <c r="L177" s="6"/>
    </row>
    <row r="178" spans="1:12" x14ac:dyDescent="0.3">
      <c r="A178" s="8">
        <f t="shared" si="50"/>
        <v>0</v>
      </c>
      <c r="B178" s="8">
        <f t="shared" si="51"/>
        <v>0</v>
      </c>
      <c r="C178" s="7">
        <f t="shared" si="52"/>
        <v>0</v>
      </c>
      <c r="D178" s="8">
        <f t="shared" si="53"/>
        <v>0</v>
      </c>
      <c r="E178" s="9">
        <v>0</v>
      </c>
      <c r="F178" s="8">
        <f t="shared" si="54"/>
        <v>0</v>
      </c>
      <c r="G178" s="7">
        <f t="shared" si="55"/>
        <v>0</v>
      </c>
      <c r="H178" s="8">
        <f t="shared" si="56"/>
        <v>0</v>
      </c>
      <c r="I178" s="7">
        <f t="shared" si="57"/>
        <v>0</v>
      </c>
      <c r="J178" s="8">
        <f t="shared" si="58"/>
        <v>0</v>
      </c>
      <c r="K178" s="7">
        <f t="shared" si="59"/>
        <v>0</v>
      </c>
      <c r="L178" s="6"/>
    </row>
    <row r="179" spans="1:12" x14ac:dyDescent="0.3">
      <c r="A179" s="8">
        <f t="shared" si="50"/>
        <v>0</v>
      </c>
      <c r="B179" s="8">
        <f t="shared" si="51"/>
        <v>0</v>
      </c>
      <c r="C179" s="7">
        <f t="shared" si="52"/>
        <v>0</v>
      </c>
      <c r="D179" s="8">
        <f t="shared" si="53"/>
        <v>0</v>
      </c>
      <c r="E179" s="9">
        <v>0</v>
      </c>
      <c r="F179" s="8">
        <f t="shared" si="54"/>
        <v>0</v>
      </c>
      <c r="G179" s="7">
        <f t="shared" si="55"/>
        <v>0</v>
      </c>
      <c r="H179" s="8">
        <f t="shared" si="56"/>
        <v>0</v>
      </c>
      <c r="I179" s="7">
        <f t="shared" si="57"/>
        <v>0</v>
      </c>
      <c r="J179" s="8">
        <f t="shared" si="58"/>
        <v>0</v>
      </c>
      <c r="K179" s="7">
        <f t="shared" si="59"/>
        <v>0</v>
      </c>
      <c r="L179" s="6"/>
    </row>
    <row r="180" spans="1:12" x14ac:dyDescent="0.3">
      <c r="A180" s="8">
        <f t="shared" si="50"/>
        <v>0</v>
      </c>
      <c r="B180" s="8">
        <f t="shared" si="51"/>
        <v>0</v>
      </c>
      <c r="C180" s="7">
        <f t="shared" si="52"/>
        <v>0</v>
      </c>
      <c r="D180" s="8">
        <f t="shared" si="53"/>
        <v>0</v>
      </c>
      <c r="E180" s="9">
        <v>0</v>
      </c>
      <c r="F180" s="8">
        <f t="shared" si="54"/>
        <v>0</v>
      </c>
      <c r="G180" s="7">
        <f t="shared" si="55"/>
        <v>0</v>
      </c>
      <c r="H180" s="8">
        <f t="shared" si="56"/>
        <v>0</v>
      </c>
      <c r="I180" s="7">
        <f t="shared" si="57"/>
        <v>0</v>
      </c>
      <c r="J180" s="8">
        <f t="shared" si="58"/>
        <v>0</v>
      </c>
      <c r="K180" s="7">
        <f t="shared" si="59"/>
        <v>0</v>
      </c>
      <c r="L180" s="6"/>
    </row>
    <row r="181" spans="1:12" x14ac:dyDescent="0.3">
      <c r="A181" s="8">
        <f t="shared" si="50"/>
        <v>0</v>
      </c>
      <c r="B181" s="8">
        <f t="shared" si="51"/>
        <v>0</v>
      </c>
      <c r="C181" s="7">
        <f t="shared" si="52"/>
        <v>0</v>
      </c>
      <c r="D181" s="8">
        <f t="shared" si="53"/>
        <v>0</v>
      </c>
      <c r="E181" s="9">
        <v>0</v>
      </c>
      <c r="F181" s="8">
        <f t="shared" si="54"/>
        <v>0</v>
      </c>
      <c r="G181" s="7">
        <f t="shared" si="55"/>
        <v>0</v>
      </c>
      <c r="H181" s="8">
        <f t="shared" si="56"/>
        <v>0</v>
      </c>
      <c r="I181" s="7">
        <f t="shared" si="57"/>
        <v>0</v>
      </c>
      <c r="J181" s="8">
        <f t="shared" si="58"/>
        <v>0</v>
      </c>
      <c r="K181" s="7">
        <f t="shared" si="59"/>
        <v>0</v>
      </c>
      <c r="L181" s="6"/>
    </row>
    <row r="182" spans="1:12" x14ac:dyDescent="0.3">
      <c r="A182" s="8">
        <f t="shared" si="50"/>
        <v>0</v>
      </c>
      <c r="B182" s="8">
        <f t="shared" si="51"/>
        <v>0</v>
      </c>
      <c r="C182" s="7">
        <f t="shared" si="52"/>
        <v>0</v>
      </c>
      <c r="D182" s="8">
        <f t="shared" si="53"/>
        <v>0</v>
      </c>
      <c r="E182" s="9">
        <v>0</v>
      </c>
      <c r="F182" s="8">
        <f t="shared" si="54"/>
        <v>0</v>
      </c>
      <c r="G182" s="7">
        <f t="shared" si="55"/>
        <v>0</v>
      </c>
      <c r="H182" s="8">
        <f t="shared" si="56"/>
        <v>0</v>
      </c>
      <c r="I182" s="7">
        <f t="shared" si="57"/>
        <v>0</v>
      </c>
      <c r="J182" s="8">
        <f t="shared" si="58"/>
        <v>0</v>
      </c>
      <c r="K182" s="7">
        <f t="shared" si="59"/>
        <v>0</v>
      </c>
      <c r="L182" s="6"/>
    </row>
    <row r="183" spans="1:12" x14ac:dyDescent="0.3">
      <c r="A183" s="8">
        <f t="shared" si="50"/>
        <v>0</v>
      </c>
      <c r="B183" s="8">
        <f t="shared" si="51"/>
        <v>0</v>
      </c>
      <c r="C183" s="7">
        <f t="shared" si="52"/>
        <v>0</v>
      </c>
      <c r="D183" s="8">
        <f t="shared" si="53"/>
        <v>0</v>
      </c>
      <c r="E183" s="9">
        <v>0</v>
      </c>
      <c r="F183" s="8">
        <f t="shared" si="54"/>
        <v>0</v>
      </c>
      <c r="G183" s="7">
        <f t="shared" si="55"/>
        <v>0</v>
      </c>
      <c r="H183" s="8">
        <f t="shared" si="56"/>
        <v>0</v>
      </c>
      <c r="I183" s="7">
        <f t="shared" si="57"/>
        <v>0</v>
      </c>
      <c r="J183" s="8">
        <f t="shared" si="58"/>
        <v>0</v>
      </c>
      <c r="K183" s="7">
        <f t="shared" si="59"/>
        <v>0</v>
      </c>
      <c r="L183" s="6"/>
    </row>
    <row r="184" spans="1:12" x14ac:dyDescent="0.3">
      <c r="A184" s="8">
        <f t="shared" si="50"/>
        <v>0</v>
      </c>
      <c r="B184" s="8">
        <f t="shared" si="51"/>
        <v>0</v>
      </c>
      <c r="C184" s="7">
        <f t="shared" si="52"/>
        <v>0</v>
      </c>
      <c r="D184" s="8">
        <f t="shared" si="53"/>
        <v>0</v>
      </c>
      <c r="E184" s="9">
        <v>0</v>
      </c>
      <c r="F184" s="8">
        <f t="shared" si="54"/>
        <v>0</v>
      </c>
      <c r="G184" s="7">
        <f t="shared" si="55"/>
        <v>0</v>
      </c>
      <c r="H184" s="8">
        <f t="shared" si="56"/>
        <v>0</v>
      </c>
      <c r="I184" s="7">
        <f t="shared" si="57"/>
        <v>0</v>
      </c>
      <c r="J184" s="8">
        <f t="shared" si="58"/>
        <v>0</v>
      </c>
      <c r="K184" s="7">
        <f t="shared" si="59"/>
        <v>0</v>
      </c>
      <c r="L184" s="6"/>
    </row>
    <row r="185" spans="1:12" x14ac:dyDescent="0.3">
      <c r="A185" s="8">
        <f t="shared" si="50"/>
        <v>0</v>
      </c>
      <c r="B185" s="8">
        <f t="shared" si="51"/>
        <v>0</v>
      </c>
      <c r="C185" s="7">
        <f t="shared" si="52"/>
        <v>0</v>
      </c>
      <c r="D185" s="8">
        <f t="shared" si="53"/>
        <v>0</v>
      </c>
      <c r="E185" s="9">
        <v>0</v>
      </c>
      <c r="F185" s="8">
        <f t="shared" si="54"/>
        <v>0</v>
      </c>
      <c r="G185" s="7">
        <f t="shared" si="55"/>
        <v>0</v>
      </c>
      <c r="H185" s="8">
        <f t="shared" si="56"/>
        <v>0</v>
      </c>
      <c r="I185" s="7">
        <f t="shared" si="57"/>
        <v>0</v>
      </c>
      <c r="J185" s="8">
        <f t="shared" si="58"/>
        <v>0</v>
      </c>
      <c r="K185" s="7">
        <f t="shared" si="59"/>
        <v>0</v>
      </c>
      <c r="L185" s="6"/>
    </row>
    <row r="186" spans="1:12" x14ac:dyDescent="0.3">
      <c r="A186" s="8">
        <f t="shared" si="50"/>
        <v>0</v>
      </c>
      <c r="B186" s="8">
        <f t="shared" si="51"/>
        <v>0</v>
      </c>
      <c r="C186" s="7">
        <f t="shared" si="52"/>
        <v>0</v>
      </c>
      <c r="D186" s="8">
        <f t="shared" si="53"/>
        <v>0</v>
      </c>
      <c r="E186" s="9">
        <v>0</v>
      </c>
      <c r="F186" s="8">
        <f t="shared" si="54"/>
        <v>0</v>
      </c>
      <c r="G186" s="7">
        <f t="shared" si="55"/>
        <v>0</v>
      </c>
      <c r="H186" s="8">
        <f t="shared" si="56"/>
        <v>0</v>
      </c>
      <c r="I186" s="7">
        <f t="shared" si="57"/>
        <v>0</v>
      </c>
      <c r="J186" s="8">
        <f t="shared" si="58"/>
        <v>0</v>
      </c>
      <c r="K186" s="7">
        <f t="shared" si="59"/>
        <v>0</v>
      </c>
      <c r="L186" s="6"/>
    </row>
    <row r="187" spans="1:12" x14ac:dyDescent="0.3">
      <c r="A187" s="8">
        <f t="shared" si="50"/>
        <v>0</v>
      </c>
      <c r="B187" s="8">
        <f t="shared" si="51"/>
        <v>0</v>
      </c>
      <c r="C187" s="7">
        <f t="shared" si="52"/>
        <v>0</v>
      </c>
      <c r="D187" s="8">
        <f t="shared" si="53"/>
        <v>0</v>
      </c>
      <c r="E187" s="9">
        <v>0</v>
      </c>
      <c r="F187" s="8">
        <f t="shared" si="54"/>
        <v>0</v>
      </c>
      <c r="G187" s="7">
        <f t="shared" si="55"/>
        <v>0</v>
      </c>
      <c r="H187" s="8">
        <f t="shared" si="56"/>
        <v>0</v>
      </c>
      <c r="I187" s="7">
        <f t="shared" si="57"/>
        <v>0</v>
      </c>
      <c r="J187" s="8">
        <f t="shared" si="58"/>
        <v>0</v>
      </c>
      <c r="K187" s="7">
        <f t="shared" si="59"/>
        <v>0</v>
      </c>
      <c r="L187" s="6"/>
    </row>
    <row r="188" spans="1:12" x14ac:dyDescent="0.3">
      <c r="A188" s="8">
        <f t="shared" si="50"/>
        <v>0</v>
      </c>
      <c r="B188" s="8">
        <f t="shared" si="51"/>
        <v>0</v>
      </c>
      <c r="C188" s="7">
        <f t="shared" si="52"/>
        <v>0</v>
      </c>
      <c r="D188" s="8">
        <f t="shared" si="53"/>
        <v>0</v>
      </c>
      <c r="E188" s="9">
        <v>0</v>
      </c>
      <c r="F188" s="8">
        <f t="shared" si="54"/>
        <v>0</v>
      </c>
      <c r="G188" s="7">
        <f t="shared" si="55"/>
        <v>0</v>
      </c>
      <c r="H188" s="8">
        <f t="shared" si="56"/>
        <v>0</v>
      </c>
      <c r="I188" s="7">
        <f t="shared" si="57"/>
        <v>0</v>
      </c>
      <c r="J188" s="8">
        <f t="shared" si="58"/>
        <v>0</v>
      </c>
      <c r="K188" s="7">
        <f t="shared" si="59"/>
        <v>0</v>
      </c>
      <c r="L188" s="6"/>
    </row>
    <row r="189" spans="1:12" x14ac:dyDescent="0.3">
      <c r="A189" s="8">
        <f t="shared" si="50"/>
        <v>0</v>
      </c>
      <c r="B189" s="8">
        <f t="shared" si="51"/>
        <v>0</v>
      </c>
      <c r="C189" s="7">
        <f t="shared" si="52"/>
        <v>0</v>
      </c>
      <c r="D189" s="8">
        <f t="shared" si="53"/>
        <v>0</v>
      </c>
      <c r="E189" s="9">
        <v>0</v>
      </c>
      <c r="F189" s="8">
        <f t="shared" si="54"/>
        <v>0</v>
      </c>
      <c r="G189" s="7">
        <f t="shared" si="55"/>
        <v>0</v>
      </c>
      <c r="H189" s="8">
        <f t="shared" si="56"/>
        <v>0</v>
      </c>
      <c r="I189" s="7">
        <f t="shared" si="57"/>
        <v>0</v>
      </c>
      <c r="J189" s="8">
        <f t="shared" si="58"/>
        <v>0</v>
      </c>
      <c r="K189" s="7">
        <f t="shared" si="59"/>
        <v>0</v>
      </c>
      <c r="L189" s="6"/>
    </row>
    <row r="190" spans="1:12" x14ac:dyDescent="0.3">
      <c r="A190" s="8">
        <f t="shared" si="50"/>
        <v>0</v>
      </c>
      <c r="B190" s="8">
        <f t="shared" si="51"/>
        <v>0</v>
      </c>
      <c r="C190" s="7">
        <f t="shared" si="52"/>
        <v>0</v>
      </c>
      <c r="D190" s="8">
        <f t="shared" si="53"/>
        <v>0</v>
      </c>
      <c r="E190" s="9">
        <v>0</v>
      </c>
      <c r="F190" s="8">
        <f t="shared" si="54"/>
        <v>0</v>
      </c>
      <c r="G190" s="7">
        <f t="shared" si="55"/>
        <v>0</v>
      </c>
      <c r="H190" s="8">
        <f t="shared" si="56"/>
        <v>0</v>
      </c>
      <c r="I190" s="7">
        <f t="shared" si="57"/>
        <v>0</v>
      </c>
      <c r="J190" s="8">
        <f t="shared" si="58"/>
        <v>0</v>
      </c>
      <c r="K190" s="7">
        <f t="shared" si="59"/>
        <v>0</v>
      </c>
      <c r="L190" s="6"/>
    </row>
    <row r="191" spans="1:12" x14ac:dyDescent="0.3">
      <c r="A191" s="8">
        <f t="shared" si="50"/>
        <v>0</v>
      </c>
      <c r="B191" s="8">
        <f t="shared" si="51"/>
        <v>0</v>
      </c>
      <c r="C191" s="7">
        <f t="shared" si="52"/>
        <v>0</v>
      </c>
      <c r="D191" s="8">
        <f t="shared" si="53"/>
        <v>0</v>
      </c>
      <c r="E191" s="9">
        <v>0</v>
      </c>
      <c r="F191" s="8">
        <f t="shared" si="54"/>
        <v>0</v>
      </c>
      <c r="G191" s="7">
        <f t="shared" si="55"/>
        <v>0</v>
      </c>
      <c r="H191" s="8">
        <f t="shared" si="56"/>
        <v>0</v>
      </c>
      <c r="I191" s="7">
        <f t="shared" si="57"/>
        <v>0</v>
      </c>
      <c r="J191" s="8">
        <f t="shared" si="58"/>
        <v>0</v>
      </c>
      <c r="K191" s="7">
        <f t="shared" si="59"/>
        <v>0</v>
      </c>
      <c r="L191" s="6"/>
    </row>
    <row r="192" spans="1:12" x14ac:dyDescent="0.3">
      <c r="A192" s="8">
        <f t="shared" si="50"/>
        <v>0</v>
      </c>
      <c r="B192" s="8">
        <f t="shared" si="51"/>
        <v>0</v>
      </c>
      <c r="C192" s="7">
        <f t="shared" si="52"/>
        <v>0</v>
      </c>
      <c r="D192" s="8">
        <f t="shared" si="53"/>
        <v>0</v>
      </c>
      <c r="E192" s="9">
        <v>0</v>
      </c>
      <c r="F192" s="8">
        <f t="shared" si="54"/>
        <v>0</v>
      </c>
      <c r="G192" s="7">
        <f t="shared" si="55"/>
        <v>0</v>
      </c>
      <c r="H192" s="8">
        <f t="shared" si="56"/>
        <v>0</v>
      </c>
      <c r="I192" s="7">
        <f t="shared" si="57"/>
        <v>0</v>
      </c>
      <c r="J192" s="8">
        <f t="shared" si="58"/>
        <v>0</v>
      </c>
      <c r="K192" s="7">
        <f t="shared" si="59"/>
        <v>0</v>
      </c>
      <c r="L192" s="6"/>
    </row>
    <row r="193" spans="1:12" x14ac:dyDescent="0.3">
      <c r="A193" s="8">
        <f t="shared" si="50"/>
        <v>0</v>
      </c>
      <c r="B193" s="8">
        <f t="shared" si="51"/>
        <v>0</v>
      </c>
      <c r="C193" s="7">
        <f t="shared" si="52"/>
        <v>0</v>
      </c>
      <c r="D193" s="8">
        <f t="shared" si="53"/>
        <v>0</v>
      </c>
      <c r="E193" s="9">
        <v>0</v>
      </c>
      <c r="F193" s="8">
        <f t="shared" si="54"/>
        <v>0</v>
      </c>
      <c r="G193" s="7">
        <f t="shared" si="55"/>
        <v>0</v>
      </c>
      <c r="H193" s="8">
        <f t="shared" si="56"/>
        <v>0</v>
      </c>
      <c r="I193" s="7">
        <f t="shared" si="57"/>
        <v>0</v>
      </c>
      <c r="J193" s="8">
        <f t="shared" si="58"/>
        <v>0</v>
      </c>
      <c r="K193" s="7">
        <f t="shared" si="59"/>
        <v>0</v>
      </c>
      <c r="L193" s="6"/>
    </row>
    <row r="194" spans="1:12" x14ac:dyDescent="0.3">
      <c r="A194" s="8">
        <f t="shared" si="50"/>
        <v>0</v>
      </c>
      <c r="B194" s="8">
        <f t="shared" si="51"/>
        <v>0</v>
      </c>
      <c r="C194" s="7">
        <f t="shared" si="52"/>
        <v>0</v>
      </c>
      <c r="D194" s="8">
        <f t="shared" si="53"/>
        <v>0</v>
      </c>
      <c r="E194" s="9">
        <v>0</v>
      </c>
      <c r="F194" s="8">
        <f t="shared" si="54"/>
        <v>0</v>
      </c>
      <c r="G194" s="7">
        <f t="shared" si="55"/>
        <v>0</v>
      </c>
      <c r="H194" s="8">
        <f t="shared" si="56"/>
        <v>0</v>
      </c>
      <c r="I194" s="7">
        <f t="shared" si="57"/>
        <v>0</v>
      </c>
      <c r="J194" s="8">
        <f t="shared" si="58"/>
        <v>0</v>
      </c>
      <c r="K194" s="7">
        <f t="shared" si="59"/>
        <v>0</v>
      </c>
      <c r="L194" s="6"/>
    </row>
    <row r="195" spans="1:12" x14ac:dyDescent="0.3">
      <c r="A195" s="8">
        <f t="shared" si="50"/>
        <v>0</v>
      </c>
      <c r="B195" s="8">
        <f t="shared" si="51"/>
        <v>0</v>
      </c>
      <c r="C195" s="7">
        <f t="shared" si="52"/>
        <v>0</v>
      </c>
      <c r="D195" s="8">
        <f t="shared" si="53"/>
        <v>0</v>
      </c>
      <c r="E195" s="9">
        <v>0</v>
      </c>
      <c r="F195" s="8">
        <f t="shared" si="54"/>
        <v>0</v>
      </c>
      <c r="G195" s="7">
        <f t="shared" si="55"/>
        <v>0</v>
      </c>
      <c r="H195" s="8">
        <f t="shared" si="56"/>
        <v>0</v>
      </c>
      <c r="I195" s="7">
        <f t="shared" si="57"/>
        <v>0</v>
      </c>
      <c r="J195" s="8">
        <f t="shared" si="58"/>
        <v>0</v>
      </c>
      <c r="K195" s="7">
        <f t="shared" si="59"/>
        <v>0</v>
      </c>
      <c r="L195" s="6"/>
    </row>
    <row r="196" spans="1:12" x14ac:dyDescent="0.3">
      <c r="A196" s="8">
        <f t="shared" ref="A196:A201" si="60">E196*0.98</f>
        <v>0</v>
      </c>
      <c r="B196" s="8">
        <f t="shared" ref="B196:B201" si="61">E196*0.985</f>
        <v>0</v>
      </c>
      <c r="C196" s="7">
        <f t="shared" ref="C196:C201" si="62">E196*0.99</f>
        <v>0</v>
      </c>
      <c r="D196" s="8">
        <f t="shared" ref="D196:D201" si="63">E196*0.995</f>
        <v>0</v>
      </c>
      <c r="E196" s="9">
        <v>0</v>
      </c>
      <c r="F196" s="8">
        <f t="shared" ref="F196:F201" si="64">E196*1.005</f>
        <v>0</v>
      </c>
      <c r="G196" s="7">
        <f t="shared" ref="G196:G201" si="65">E196*1.01</f>
        <v>0</v>
      </c>
      <c r="H196" s="8">
        <f t="shared" ref="H196:H201" si="66">E196*1.015</f>
        <v>0</v>
      </c>
      <c r="I196" s="7">
        <f t="shared" ref="I196:I201" si="67">E196*1.02</f>
        <v>0</v>
      </c>
      <c r="J196" s="8">
        <f t="shared" ref="J196:J201" si="68">E196*1.025</f>
        <v>0</v>
      </c>
      <c r="K196" s="7">
        <f t="shared" ref="K196:K201" si="69">E196*1.03</f>
        <v>0</v>
      </c>
      <c r="L196" s="6"/>
    </row>
    <row r="197" spans="1:12" x14ac:dyDescent="0.3">
      <c r="A197" s="8">
        <f t="shared" si="60"/>
        <v>0</v>
      </c>
      <c r="B197" s="8">
        <f t="shared" si="61"/>
        <v>0</v>
      </c>
      <c r="C197" s="7">
        <f t="shared" si="62"/>
        <v>0</v>
      </c>
      <c r="D197" s="8">
        <f t="shared" si="63"/>
        <v>0</v>
      </c>
      <c r="E197" s="9">
        <v>0</v>
      </c>
      <c r="F197" s="8">
        <f t="shared" si="64"/>
        <v>0</v>
      </c>
      <c r="G197" s="7">
        <f t="shared" si="65"/>
        <v>0</v>
      </c>
      <c r="H197" s="8">
        <f t="shared" si="66"/>
        <v>0</v>
      </c>
      <c r="I197" s="7">
        <f t="shared" si="67"/>
        <v>0</v>
      </c>
      <c r="J197" s="8">
        <f t="shared" si="68"/>
        <v>0</v>
      </c>
      <c r="K197" s="7">
        <f t="shared" si="69"/>
        <v>0</v>
      </c>
      <c r="L197" s="6"/>
    </row>
    <row r="198" spans="1:12" x14ac:dyDescent="0.3">
      <c r="A198" s="8">
        <f t="shared" si="60"/>
        <v>0</v>
      </c>
      <c r="B198" s="8">
        <f t="shared" si="61"/>
        <v>0</v>
      </c>
      <c r="C198" s="7">
        <f t="shared" si="62"/>
        <v>0</v>
      </c>
      <c r="D198" s="8">
        <f t="shared" si="63"/>
        <v>0</v>
      </c>
      <c r="E198" s="9">
        <v>0</v>
      </c>
      <c r="F198" s="8">
        <f t="shared" si="64"/>
        <v>0</v>
      </c>
      <c r="G198" s="7">
        <f t="shared" si="65"/>
        <v>0</v>
      </c>
      <c r="H198" s="8">
        <f t="shared" si="66"/>
        <v>0</v>
      </c>
      <c r="I198" s="7">
        <f t="shared" si="67"/>
        <v>0</v>
      </c>
      <c r="J198" s="8">
        <f t="shared" si="68"/>
        <v>0</v>
      </c>
      <c r="K198" s="7">
        <f t="shared" si="69"/>
        <v>0</v>
      </c>
      <c r="L198" s="6"/>
    </row>
    <row r="199" spans="1:12" x14ac:dyDescent="0.3">
      <c r="A199" s="8">
        <f t="shared" si="60"/>
        <v>0</v>
      </c>
      <c r="B199" s="8">
        <f t="shared" si="61"/>
        <v>0</v>
      </c>
      <c r="C199" s="7">
        <f t="shared" si="62"/>
        <v>0</v>
      </c>
      <c r="D199" s="8">
        <f t="shared" si="63"/>
        <v>0</v>
      </c>
      <c r="E199" s="9">
        <v>0</v>
      </c>
      <c r="F199" s="8">
        <f t="shared" si="64"/>
        <v>0</v>
      </c>
      <c r="G199" s="7">
        <f t="shared" si="65"/>
        <v>0</v>
      </c>
      <c r="H199" s="8">
        <f t="shared" si="66"/>
        <v>0</v>
      </c>
      <c r="I199" s="7">
        <f t="shared" si="67"/>
        <v>0</v>
      </c>
      <c r="J199" s="8">
        <f t="shared" si="68"/>
        <v>0</v>
      </c>
      <c r="K199" s="7">
        <f t="shared" si="69"/>
        <v>0</v>
      </c>
      <c r="L199" s="6"/>
    </row>
    <row r="200" spans="1:12" x14ac:dyDescent="0.3">
      <c r="A200" s="8">
        <f t="shared" si="60"/>
        <v>0</v>
      </c>
      <c r="B200" s="8">
        <f t="shared" si="61"/>
        <v>0</v>
      </c>
      <c r="C200" s="7">
        <f t="shared" si="62"/>
        <v>0</v>
      </c>
      <c r="D200" s="8">
        <f t="shared" si="63"/>
        <v>0</v>
      </c>
      <c r="E200" s="9">
        <v>0</v>
      </c>
      <c r="F200" s="8">
        <f t="shared" si="64"/>
        <v>0</v>
      </c>
      <c r="G200" s="7">
        <f t="shared" si="65"/>
        <v>0</v>
      </c>
      <c r="H200" s="8">
        <f t="shared" si="66"/>
        <v>0</v>
      </c>
      <c r="I200" s="7">
        <f t="shared" si="67"/>
        <v>0</v>
      </c>
      <c r="J200" s="8">
        <f t="shared" si="68"/>
        <v>0</v>
      </c>
      <c r="K200" s="7">
        <f t="shared" si="69"/>
        <v>0</v>
      </c>
      <c r="L200" s="6"/>
    </row>
    <row r="201" spans="1:12" x14ac:dyDescent="0.3">
      <c r="A201" s="8">
        <f t="shared" si="60"/>
        <v>0</v>
      </c>
      <c r="B201" s="8">
        <f t="shared" si="61"/>
        <v>0</v>
      </c>
      <c r="C201" s="7">
        <f t="shared" si="62"/>
        <v>0</v>
      </c>
      <c r="D201" s="8">
        <f t="shared" si="63"/>
        <v>0</v>
      </c>
      <c r="E201" s="9">
        <v>0</v>
      </c>
      <c r="F201" s="8">
        <f t="shared" si="64"/>
        <v>0</v>
      </c>
      <c r="G201" s="7">
        <f t="shared" si="65"/>
        <v>0</v>
      </c>
      <c r="H201" s="8">
        <f t="shared" si="66"/>
        <v>0</v>
      </c>
      <c r="I201" s="7">
        <f t="shared" si="67"/>
        <v>0</v>
      </c>
      <c r="J201" s="8">
        <f t="shared" si="68"/>
        <v>0</v>
      </c>
      <c r="K201" s="7">
        <f t="shared" si="69"/>
        <v>0</v>
      </c>
      <c r="L201" s="6"/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64AC-B088-4AD1-9B5F-BA58B8106F0B}">
  <dimension ref="A5:L66"/>
  <sheetViews>
    <sheetView topLeftCell="A22" zoomScale="160" zoomScaleNormal="160" workbookViewId="0">
      <selection activeCell="E25" sqref="E25"/>
    </sheetView>
  </sheetViews>
  <sheetFormatPr defaultRowHeight="14" x14ac:dyDescent="0.3"/>
  <cols>
    <col min="1" max="1" width="8.5" style="1" bestFit="1" customWidth="1"/>
    <col min="2" max="2" width="12.33203125" style="1" bestFit="1" customWidth="1"/>
    <col min="3" max="3" width="8.5" style="1" bestFit="1" customWidth="1"/>
    <col min="4" max="7" width="12.33203125" style="1" bestFit="1" customWidth="1"/>
    <col min="8" max="16384" width="8.6640625" style="1"/>
  </cols>
  <sheetData>
    <row r="5" spans="1:7" x14ac:dyDescent="0.3">
      <c r="A5" s="179" t="s">
        <v>67</v>
      </c>
      <c r="B5" s="36" t="s">
        <v>62</v>
      </c>
      <c r="C5" s="34">
        <f>C6*1.01</f>
        <v>1.01</v>
      </c>
      <c r="D5" s="34"/>
      <c r="E5" s="33"/>
      <c r="F5" s="33"/>
      <c r="G5" s="33"/>
    </row>
    <row r="6" spans="1:7" x14ac:dyDescent="0.3">
      <c r="A6" s="180"/>
      <c r="B6" s="32" t="s">
        <v>66</v>
      </c>
      <c r="C6" s="35">
        <v>1</v>
      </c>
      <c r="D6" s="34" t="s">
        <v>60</v>
      </c>
      <c r="E6" s="33">
        <v>10.7</v>
      </c>
      <c r="F6" s="33" t="s">
        <v>59</v>
      </c>
      <c r="G6" s="33">
        <f>C6*E6</f>
        <v>10.7</v>
      </c>
    </row>
    <row r="7" spans="1:7" x14ac:dyDescent="0.3">
      <c r="A7" s="180"/>
      <c r="B7" s="33" t="s">
        <v>58</v>
      </c>
      <c r="C7" s="33">
        <f>C6*0.99</f>
        <v>0.99</v>
      </c>
      <c r="D7" s="34"/>
      <c r="E7" s="33"/>
      <c r="F7" s="33"/>
      <c r="G7" s="33"/>
    </row>
    <row r="8" spans="1:7" x14ac:dyDescent="0.3">
      <c r="A8" s="180"/>
      <c r="B8" s="36" t="s">
        <v>63</v>
      </c>
      <c r="C8" s="34">
        <f>C11*1.03</f>
        <v>0</v>
      </c>
      <c r="D8" s="34"/>
      <c r="E8" s="33"/>
      <c r="F8" s="33"/>
      <c r="G8" s="33"/>
    </row>
    <row r="9" spans="1:7" x14ac:dyDescent="0.3">
      <c r="E9" s="27"/>
    </row>
    <row r="10" spans="1:7" x14ac:dyDescent="0.3">
      <c r="B10" s="1" t="s">
        <v>65</v>
      </c>
      <c r="C10" s="1">
        <v>2</v>
      </c>
      <c r="E10" s="27"/>
    </row>
    <row r="11" spans="1:7" x14ac:dyDescent="0.3">
      <c r="E11" s="27"/>
    </row>
    <row r="12" spans="1:7" x14ac:dyDescent="0.3">
      <c r="A12" s="179" t="s">
        <v>64</v>
      </c>
      <c r="B12" s="36" t="s">
        <v>63</v>
      </c>
      <c r="C12" s="34">
        <f>C14*1.03</f>
        <v>3.09</v>
      </c>
      <c r="D12" s="34"/>
      <c r="E12" s="33"/>
      <c r="F12" s="33"/>
      <c r="G12" s="33"/>
    </row>
    <row r="13" spans="1:7" x14ac:dyDescent="0.3">
      <c r="A13" s="180"/>
      <c r="B13" s="36" t="s">
        <v>62</v>
      </c>
      <c r="C13" s="34">
        <f>C14*1.01</f>
        <v>3.0300000000000002</v>
      </c>
      <c r="D13" s="34"/>
      <c r="E13" s="33"/>
      <c r="F13" s="33"/>
      <c r="G13" s="33"/>
    </row>
    <row r="14" spans="1:7" x14ac:dyDescent="0.3">
      <c r="A14" s="181"/>
      <c r="B14" s="32" t="s">
        <v>61</v>
      </c>
      <c r="C14" s="35">
        <v>3</v>
      </c>
      <c r="D14" s="34" t="s">
        <v>60</v>
      </c>
      <c r="E14" s="33">
        <v>10.7</v>
      </c>
      <c r="F14" s="33" t="s">
        <v>59</v>
      </c>
      <c r="G14" s="33">
        <f>C14*E14</f>
        <v>32.099999999999994</v>
      </c>
    </row>
    <row r="15" spans="1:7" x14ac:dyDescent="0.3">
      <c r="A15" s="182"/>
      <c r="B15" s="33" t="s">
        <v>58</v>
      </c>
      <c r="C15" s="33">
        <f>C14*0.99</f>
        <v>2.9699999999999998</v>
      </c>
      <c r="D15" s="34"/>
      <c r="E15" s="33"/>
      <c r="F15" s="33"/>
      <c r="G15" s="33"/>
    </row>
    <row r="16" spans="1:7" x14ac:dyDescent="0.3">
      <c r="E16" s="27"/>
    </row>
    <row r="17" spans="1:5" x14ac:dyDescent="0.3">
      <c r="E17" s="27"/>
    </row>
    <row r="18" spans="1:5" x14ac:dyDescent="0.3">
      <c r="A18" s="183" t="s">
        <v>5</v>
      </c>
      <c r="B18" s="32" t="s">
        <v>57</v>
      </c>
      <c r="C18" s="32" t="s">
        <v>56</v>
      </c>
      <c r="D18" s="32" t="s">
        <v>55</v>
      </c>
    </row>
    <row r="19" spans="1:5" x14ac:dyDescent="0.3">
      <c r="A19" s="183"/>
      <c r="B19" s="32" t="s">
        <v>54</v>
      </c>
      <c r="C19" s="32" t="s">
        <v>54</v>
      </c>
      <c r="D19" s="32">
        <v>0</v>
      </c>
    </row>
    <row r="20" spans="1:5" x14ac:dyDescent="0.3">
      <c r="A20" s="183"/>
      <c r="B20" s="24">
        <v>3.9350000000000001</v>
      </c>
      <c r="C20" s="24">
        <v>3.84</v>
      </c>
      <c r="D20" s="24">
        <f>B20*C20</f>
        <v>15.1104</v>
      </c>
    </row>
    <row r="21" spans="1:5" x14ac:dyDescent="0.3">
      <c r="A21" s="183"/>
      <c r="B21" s="24">
        <v>0</v>
      </c>
      <c r="C21" s="24">
        <v>0</v>
      </c>
      <c r="D21" s="24">
        <f>B21*C21</f>
        <v>0</v>
      </c>
    </row>
    <row r="22" spans="1:5" x14ac:dyDescent="0.3">
      <c r="A22" s="183"/>
      <c r="B22" s="24">
        <v>0</v>
      </c>
      <c r="C22" s="24">
        <v>0</v>
      </c>
      <c r="D22" s="24">
        <f>B22*C22</f>
        <v>0</v>
      </c>
    </row>
    <row r="23" spans="1:5" x14ac:dyDescent="0.3">
      <c r="A23" s="183"/>
      <c r="B23" s="24">
        <v>0</v>
      </c>
      <c r="C23" s="24">
        <v>0</v>
      </c>
      <c r="D23" s="24">
        <f>B23*C23</f>
        <v>0</v>
      </c>
    </row>
    <row r="24" spans="1:5" x14ac:dyDescent="0.3">
      <c r="A24" s="183"/>
      <c r="B24" s="32" t="s">
        <v>53</v>
      </c>
      <c r="C24" s="32" t="s">
        <v>53</v>
      </c>
      <c r="D24" s="32">
        <v>0</v>
      </c>
    </row>
    <row r="25" spans="1:5" ht="28" x14ac:dyDescent="0.3">
      <c r="A25" s="183"/>
      <c r="B25" s="31" t="s">
        <v>52</v>
      </c>
      <c r="C25" s="24" t="s">
        <v>51</v>
      </c>
      <c r="D25" s="24" t="s">
        <v>50</v>
      </c>
    </row>
    <row r="26" spans="1:5" x14ac:dyDescent="0.3">
      <c r="A26" s="183"/>
      <c r="B26" s="29">
        <f>D26/C26/0.998</f>
        <v>3.9428857715430863</v>
      </c>
      <c r="C26" s="30">
        <f>SUM(C19:C24)</f>
        <v>3.84</v>
      </c>
      <c r="D26" s="29">
        <f>SUM(D19:D24)</f>
        <v>15.1104</v>
      </c>
    </row>
    <row r="29" spans="1:5" x14ac:dyDescent="0.3">
      <c r="A29" s="187" t="s">
        <v>47</v>
      </c>
      <c r="B29" s="24" t="s">
        <v>49</v>
      </c>
      <c r="C29" s="24" t="s">
        <v>48</v>
      </c>
      <c r="D29" s="24" t="s">
        <v>47</v>
      </c>
      <c r="E29" s="24" t="s">
        <v>46</v>
      </c>
    </row>
    <row r="30" spans="1:5" x14ac:dyDescent="0.3">
      <c r="A30" s="187"/>
      <c r="B30" s="24">
        <v>3.7320000000000002</v>
      </c>
      <c r="C30" s="24">
        <v>3.7679999999999998</v>
      </c>
      <c r="D30" s="24">
        <f>C30-B30</f>
        <v>3.5999999999999588E-2</v>
      </c>
      <c r="E30" s="28">
        <f>D30/C30</f>
        <v>9.5541401273884254E-3</v>
      </c>
    </row>
    <row r="31" spans="1:5" x14ac:dyDescent="0.3">
      <c r="A31" s="187"/>
      <c r="B31" s="24">
        <v>3.8180000000000001</v>
      </c>
      <c r="C31" s="24">
        <v>3.8660000000000001</v>
      </c>
      <c r="D31" s="24">
        <f>C31-B31</f>
        <v>4.8000000000000043E-2</v>
      </c>
      <c r="E31" s="28">
        <f>D31/C31</f>
        <v>1.2415933781686508E-2</v>
      </c>
    </row>
    <row r="32" spans="1:5" x14ac:dyDescent="0.3">
      <c r="A32" s="187"/>
      <c r="B32" s="24">
        <v>3.556</v>
      </c>
      <c r="C32" s="24">
        <v>3.8439999999999999</v>
      </c>
      <c r="D32" s="24">
        <f>C32-B32</f>
        <v>0.28799999999999981</v>
      </c>
      <c r="E32" s="28">
        <f>D32/C32</f>
        <v>7.4921956295525449E-2</v>
      </c>
    </row>
    <row r="33" spans="1:7" x14ac:dyDescent="0.3">
      <c r="A33" s="187"/>
      <c r="B33" s="24">
        <v>3.8980000000000001</v>
      </c>
      <c r="C33" s="24">
        <v>3.415</v>
      </c>
      <c r="D33" s="24">
        <f>C33-B33</f>
        <v>-0.4830000000000001</v>
      </c>
      <c r="E33" s="28">
        <f>D33/C33</f>
        <v>-0.14143484626647149</v>
      </c>
    </row>
    <row r="34" spans="1:7" x14ac:dyDescent="0.3">
      <c r="A34" s="187"/>
      <c r="B34" s="24">
        <v>3.3490000000000002</v>
      </c>
      <c r="C34" s="24">
        <v>3.2269999999999999</v>
      </c>
      <c r="D34" s="24">
        <f>C34-B34</f>
        <v>-0.12200000000000033</v>
      </c>
      <c r="E34" s="28">
        <f>D34/C34</f>
        <v>-3.7806011775643113E-2</v>
      </c>
    </row>
    <row r="36" spans="1:7" x14ac:dyDescent="0.3">
      <c r="E36" s="27"/>
    </row>
    <row r="37" spans="1:7" x14ac:dyDescent="0.3">
      <c r="A37" s="188" t="s">
        <v>45</v>
      </c>
      <c r="B37" s="24" t="s">
        <v>44</v>
      </c>
      <c r="C37" s="24" t="s">
        <v>43</v>
      </c>
      <c r="D37" s="24" t="s">
        <v>42</v>
      </c>
      <c r="E37" s="24" t="s">
        <v>41</v>
      </c>
      <c r="F37" s="24" t="s">
        <v>40</v>
      </c>
      <c r="G37" s="24" t="s">
        <v>39</v>
      </c>
    </row>
    <row r="38" spans="1:7" x14ac:dyDescent="0.3">
      <c r="A38" s="189"/>
      <c r="B38" s="24">
        <v>1</v>
      </c>
      <c r="C38" s="24">
        <f>B38*0.97^1</f>
        <v>0.97</v>
      </c>
      <c r="D38" s="24">
        <f>B38*0.97^2</f>
        <v>0.94089999999999996</v>
      </c>
      <c r="E38" s="24">
        <f>B38*0.97^3</f>
        <v>0.91267299999999996</v>
      </c>
      <c r="F38" s="24">
        <f>B38*0.97^4</f>
        <v>0.88529280999999993</v>
      </c>
      <c r="G38" s="24">
        <f>B38*0.97^5</f>
        <v>0.8587340256999999</v>
      </c>
    </row>
    <row r="39" spans="1:7" x14ac:dyDescent="0.3">
      <c r="A39" s="189"/>
      <c r="B39" s="24">
        <v>0</v>
      </c>
      <c r="C39" s="24">
        <f>B39*0.97^1</f>
        <v>0</v>
      </c>
      <c r="D39" s="24">
        <f>B39*0.97^2</f>
        <v>0</v>
      </c>
      <c r="E39" s="24">
        <f>B39*0.97^3</f>
        <v>0</v>
      </c>
      <c r="F39" s="24">
        <f>B39*0.97^4</f>
        <v>0</v>
      </c>
      <c r="G39" s="24">
        <f>B39*0.97^5</f>
        <v>0</v>
      </c>
    </row>
    <row r="40" spans="1:7" x14ac:dyDescent="0.3">
      <c r="A40" s="189"/>
      <c r="B40" s="24">
        <v>0</v>
      </c>
      <c r="C40" s="24">
        <f>B40*0.97^1</f>
        <v>0</v>
      </c>
      <c r="D40" s="24">
        <f>B40*0.97^2</f>
        <v>0</v>
      </c>
      <c r="E40" s="24">
        <f>B40*0.97^3</f>
        <v>0</v>
      </c>
      <c r="F40" s="24">
        <f>B40*0.97^4</f>
        <v>0</v>
      </c>
      <c r="G40" s="24">
        <f>B40*0.97^5</f>
        <v>0</v>
      </c>
    </row>
    <row r="41" spans="1:7" x14ac:dyDescent="0.3">
      <c r="A41" s="189"/>
      <c r="B41" s="24">
        <v>0</v>
      </c>
      <c r="C41" s="24">
        <f>B41*0.97^1</f>
        <v>0</v>
      </c>
      <c r="D41" s="24">
        <f>B41*0.97^2</f>
        <v>0</v>
      </c>
      <c r="E41" s="24">
        <f>B41*0.97^3</f>
        <v>0</v>
      </c>
      <c r="F41" s="24">
        <f>B41*0.97^4</f>
        <v>0</v>
      </c>
      <c r="G41" s="24">
        <f>B41*0.97^5</f>
        <v>0</v>
      </c>
    </row>
    <row r="45" spans="1:7" x14ac:dyDescent="0.3">
      <c r="A45" s="184" t="s">
        <v>37</v>
      </c>
      <c r="B45" s="164" t="s">
        <v>38</v>
      </c>
      <c r="C45" s="164"/>
      <c r="D45" s="164"/>
      <c r="E45" s="164"/>
      <c r="F45" s="164"/>
      <c r="G45" s="164"/>
    </row>
    <row r="46" spans="1:7" x14ac:dyDescent="0.3">
      <c r="A46" s="185"/>
      <c r="B46" s="24" t="s">
        <v>35</v>
      </c>
      <c r="C46" s="24" t="s">
        <v>34</v>
      </c>
      <c r="D46" s="24" t="s">
        <v>33</v>
      </c>
      <c r="E46" s="24" t="s">
        <v>32</v>
      </c>
      <c r="F46" s="24" t="s">
        <v>31</v>
      </c>
      <c r="G46" s="24" t="s">
        <v>30</v>
      </c>
    </row>
    <row r="47" spans="1:7" x14ac:dyDescent="0.3">
      <c r="A47" s="186"/>
      <c r="B47" s="24">
        <v>1</v>
      </c>
      <c r="C47" s="24">
        <v>1</v>
      </c>
      <c r="D47" s="24">
        <f>0.25+0.25/0.97+0.125/0.97^2+0.125/0.97^3+0.125/0.97^4+0.125/0.97^5</f>
        <v>1.0643031562421064</v>
      </c>
      <c r="E47" s="24">
        <f>0.97^6</f>
        <v>0.83297200492899992</v>
      </c>
      <c r="F47" s="24">
        <f>D47*E47</f>
        <v>0.88653473390725002</v>
      </c>
      <c r="G47" s="26">
        <f>(B47-F47)/B47</f>
        <v>0.11346526609274998</v>
      </c>
    </row>
    <row r="51" spans="1:12" x14ac:dyDescent="0.3">
      <c r="A51" s="184" t="s">
        <v>37</v>
      </c>
      <c r="B51" s="164" t="s">
        <v>36</v>
      </c>
      <c r="C51" s="164"/>
      <c r="D51" s="164"/>
      <c r="E51" s="164"/>
      <c r="F51" s="164"/>
      <c r="G51" s="164"/>
    </row>
    <row r="52" spans="1:12" x14ac:dyDescent="0.3">
      <c r="A52" s="185"/>
      <c r="B52" s="24" t="s">
        <v>35</v>
      </c>
      <c r="C52" s="24" t="s">
        <v>34</v>
      </c>
      <c r="D52" s="24" t="s">
        <v>33</v>
      </c>
      <c r="E52" s="24" t="s">
        <v>32</v>
      </c>
      <c r="F52" s="24" t="s">
        <v>31</v>
      </c>
      <c r="G52" s="24" t="s">
        <v>30</v>
      </c>
    </row>
    <row r="53" spans="1:12" x14ac:dyDescent="0.3">
      <c r="A53" s="186"/>
      <c r="B53" s="24">
        <v>1</v>
      </c>
      <c r="C53" s="24">
        <v>1</v>
      </c>
      <c r="D53" s="24">
        <f>0.25+0.25/0.99+0.125/0.99^2+0.125/0.99^3+0.125/0.99^4+0.125/0.99^5</f>
        <v>1.0204590364295041</v>
      </c>
      <c r="E53" s="24">
        <f>0.99^6</f>
        <v>0.94148014940099989</v>
      </c>
      <c r="F53" s="24">
        <f>D53*E53</f>
        <v>0.96074192607524989</v>
      </c>
      <c r="G53" s="26">
        <f>(B53-F53)/B53</f>
        <v>3.9258073924750114E-2</v>
      </c>
    </row>
    <row r="57" spans="1:12" x14ac:dyDescent="0.3">
      <c r="A57" s="184" t="s">
        <v>29</v>
      </c>
      <c r="B57" s="164" t="s">
        <v>28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</row>
    <row r="58" spans="1:12" x14ac:dyDescent="0.3">
      <c r="A58" s="185"/>
      <c r="B58" s="24" t="s">
        <v>24</v>
      </c>
      <c r="C58" s="24">
        <v>1</v>
      </c>
      <c r="D58" s="24">
        <v>2</v>
      </c>
      <c r="E58" s="24">
        <v>3</v>
      </c>
      <c r="F58" s="24">
        <v>4</v>
      </c>
      <c r="G58" s="24">
        <v>5</v>
      </c>
      <c r="H58" s="24">
        <v>6</v>
      </c>
      <c r="I58" s="24">
        <v>7</v>
      </c>
      <c r="J58" s="24">
        <v>8</v>
      </c>
      <c r="K58" s="24">
        <v>9</v>
      </c>
      <c r="L58" s="24">
        <v>10</v>
      </c>
    </row>
    <row r="59" spans="1:12" x14ac:dyDescent="0.3">
      <c r="A59" s="186"/>
      <c r="B59" s="24" t="s">
        <v>27</v>
      </c>
      <c r="C59" s="24">
        <f t="shared" ref="C59:L59" si="0">(1-0.01)^C58</f>
        <v>0.99</v>
      </c>
      <c r="D59" s="24">
        <f t="shared" si="0"/>
        <v>0.98009999999999997</v>
      </c>
      <c r="E59" s="24">
        <f t="shared" si="0"/>
        <v>0.97029899999999991</v>
      </c>
      <c r="F59" s="24">
        <f t="shared" si="0"/>
        <v>0.96059600999999994</v>
      </c>
      <c r="G59" s="24">
        <f t="shared" si="0"/>
        <v>0.95099004989999991</v>
      </c>
      <c r="H59" s="24">
        <f t="shared" si="0"/>
        <v>0.94148014940099989</v>
      </c>
      <c r="I59" s="24">
        <f t="shared" si="0"/>
        <v>0.93206534790698992</v>
      </c>
      <c r="J59" s="24">
        <f t="shared" si="0"/>
        <v>0.92274469442791995</v>
      </c>
      <c r="K59" s="24">
        <f t="shared" si="0"/>
        <v>0.91351724748364072</v>
      </c>
      <c r="L59" s="24">
        <f t="shared" si="0"/>
        <v>0.9043820750088043</v>
      </c>
    </row>
    <row r="63" spans="1:12" x14ac:dyDescent="0.3">
      <c r="A63" s="184" t="s">
        <v>26</v>
      </c>
      <c r="B63" s="176" t="s">
        <v>25</v>
      </c>
      <c r="C63" s="177"/>
      <c r="D63" s="177"/>
      <c r="E63" s="177"/>
      <c r="F63" s="177"/>
      <c r="G63" s="178"/>
    </row>
    <row r="64" spans="1:12" x14ac:dyDescent="0.3">
      <c r="A64" s="185"/>
      <c r="B64" s="25" t="s">
        <v>24</v>
      </c>
      <c r="C64" s="25">
        <v>1</v>
      </c>
      <c r="D64" s="25">
        <v>2</v>
      </c>
      <c r="E64" s="25">
        <v>3</v>
      </c>
      <c r="F64" s="25">
        <v>4</v>
      </c>
      <c r="G64" s="25">
        <v>5</v>
      </c>
    </row>
    <row r="65" spans="1:7" x14ac:dyDescent="0.3">
      <c r="A65" s="185"/>
      <c r="B65" s="24" t="s">
        <v>23</v>
      </c>
      <c r="C65" s="24">
        <v>1</v>
      </c>
      <c r="D65" s="24">
        <f>1.5^(D64-1)</f>
        <v>1.5</v>
      </c>
      <c r="E65" s="24">
        <f>1.5^(E64-1)</f>
        <v>2.25</v>
      </c>
      <c r="F65" s="24">
        <f>1.5^(F64-1)</f>
        <v>3.375</v>
      </c>
      <c r="G65" s="24">
        <f>1.5^(G64-1)</f>
        <v>5.0625</v>
      </c>
    </row>
    <row r="66" spans="1:7" x14ac:dyDescent="0.3">
      <c r="A66" s="186"/>
      <c r="B66" s="24" t="s">
        <v>22</v>
      </c>
      <c r="C66" s="23">
        <f>C65/(5*0.99^(C64-1))</f>
        <v>0.2</v>
      </c>
      <c r="D66" s="23">
        <f>D65/(5*0.99^(D64-1))</f>
        <v>0.30303030303030304</v>
      </c>
      <c r="E66" s="23">
        <f>E65/(5*0.99^(E64-1))</f>
        <v>0.4591368227731864</v>
      </c>
      <c r="F66" s="23">
        <f>F65/(5*0.99^(F64-1))</f>
        <v>0.69566185268664604</v>
      </c>
      <c r="G66" s="23">
        <f>G65/(5*0.99^(G64-1))</f>
        <v>1.0540331101312821</v>
      </c>
    </row>
  </sheetData>
  <mergeCells count="13">
    <mergeCell ref="A5:A8"/>
    <mergeCell ref="A12:A15"/>
    <mergeCell ref="B51:G51"/>
    <mergeCell ref="A18:A26"/>
    <mergeCell ref="B63:G63"/>
    <mergeCell ref="A63:A66"/>
    <mergeCell ref="B45:G45"/>
    <mergeCell ref="A45:A47"/>
    <mergeCell ref="A57:A59"/>
    <mergeCell ref="B57:L57"/>
    <mergeCell ref="A51:A53"/>
    <mergeCell ref="A29:A34"/>
    <mergeCell ref="A37:A4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7A08-FBF3-4250-BF79-4A3796D4F5C8}">
  <dimension ref="A1:M36"/>
  <sheetViews>
    <sheetView zoomScale="130" zoomScaleNormal="13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RowHeight="14" x14ac:dyDescent="0.3"/>
  <cols>
    <col min="1" max="1" width="4.83203125" style="1" bestFit="1" customWidth="1"/>
    <col min="2" max="12" width="8.6640625" style="1"/>
    <col min="13" max="13" width="10.4140625" style="1" bestFit="1" customWidth="1"/>
    <col min="14" max="16384" width="8.6640625" style="1"/>
  </cols>
  <sheetData>
    <row r="1" spans="1:13" ht="28" x14ac:dyDescent="0.3">
      <c r="A1" s="3"/>
      <c r="B1" s="3" t="s">
        <v>47</v>
      </c>
      <c r="C1" s="61" t="s">
        <v>131</v>
      </c>
      <c r="D1" s="62" t="s">
        <v>132</v>
      </c>
      <c r="E1" s="63" t="s">
        <v>133</v>
      </c>
      <c r="F1" s="64" t="s">
        <v>134</v>
      </c>
      <c r="G1" s="63" t="s">
        <v>135</v>
      </c>
      <c r="H1" s="64" t="s">
        <v>136</v>
      </c>
      <c r="I1" s="65" t="s">
        <v>137</v>
      </c>
      <c r="J1" s="3" t="s">
        <v>138</v>
      </c>
      <c r="K1" s="3" t="s">
        <v>138</v>
      </c>
      <c r="L1" s="3" t="s">
        <v>138</v>
      </c>
    </row>
    <row r="2" spans="1:13" x14ac:dyDescent="0.3">
      <c r="A2" s="66" t="s">
        <v>130</v>
      </c>
      <c r="B2" s="67" t="s">
        <v>139</v>
      </c>
      <c r="C2" s="68">
        <f>C16*1.1</f>
        <v>3.5717000000000003</v>
      </c>
      <c r="D2" s="68">
        <f t="shared" ref="D2:L2" si="0">D16*1.1</f>
        <v>3.6443000000000003</v>
      </c>
      <c r="E2" s="68">
        <f t="shared" si="0"/>
        <v>3.6212</v>
      </c>
      <c r="F2" s="68">
        <f t="shared" si="0"/>
        <v>3.5585</v>
      </c>
      <c r="G2" s="68">
        <f t="shared" si="0"/>
        <v>3.6289000000000002</v>
      </c>
      <c r="H2" s="68">
        <f t="shared" si="0"/>
        <v>3.6289000000000002</v>
      </c>
      <c r="I2" s="68">
        <f t="shared" si="0"/>
        <v>3.6443000000000003</v>
      </c>
      <c r="J2" s="68">
        <f t="shared" si="0"/>
        <v>3.5321000000000002</v>
      </c>
      <c r="K2" s="68">
        <f t="shared" si="0"/>
        <v>3.5387000000000004</v>
      </c>
      <c r="L2" s="68">
        <f t="shared" si="0"/>
        <v>3.6168</v>
      </c>
    </row>
    <row r="3" spans="1:13" x14ac:dyDescent="0.3">
      <c r="A3" s="66" t="s">
        <v>130</v>
      </c>
      <c r="B3" s="67" t="s">
        <v>140</v>
      </c>
      <c r="C3" s="53">
        <f>C16*1.09</f>
        <v>3.5392300000000003</v>
      </c>
      <c r="D3" s="53">
        <f t="shared" ref="D3:L3" si="1">D16*1.09</f>
        <v>3.6111700000000004</v>
      </c>
      <c r="E3" s="53">
        <f t="shared" si="1"/>
        <v>3.5882800000000001</v>
      </c>
      <c r="F3" s="53">
        <f t="shared" si="1"/>
        <v>3.5261500000000003</v>
      </c>
      <c r="G3" s="53">
        <f t="shared" si="1"/>
        <v>3.5959100000000004</v>
      </c>
      <c r="H3" s="53">
        <f t="shared" si="1"/>
        <v>3.5959100000000004</v>
      </c>
      <c r="I3" s="53">
        <f t="shared" si="1"/>
        <v>3.6111700000000004</v>
      </c>
      <c r="J3" s="53">
        <f t="shared" si="1"/>
        <v>3.4999899999999999</v>
      </c>
      <c r="K3" s="53">
        <f t="shared" si="1"/>
        <v>3.5065300000000001</v>
      </c>
      <c r="L3" s="53">
        <f t="shared" si="1"/>
        <v>3.58392</v>
      </c>
    </row>
    <row r="4" spans="1:13" x14ac:dyDescent="0.3">
      <c r="A4" s="66" t="s">
        <v>130</v>
      </c>
      <c r="B4" s="67" t="s">
        <v>141</v>
      </c>
      <c r="C4" s="53">
        <f t="shared" ref="C4:L4" si="2">C16*1.08</f>
        <v>3.5067600000000003</v>
      </c>
      <c r="D4" s="53">
        <f t="shared" si="2"/>
        <v>3.5780400000000006</v>
      </c>
      <c r="E4" s="53">
        <f t="shared" si="2"/>
        <v>3.5553599999999999</v>
      </c>
      <c r="F4" s="53">
        <f t="shared" si="2"/>
        <v>3.4938000000000002</v>
      </c>
      <c r="G4" s="53">
        <f t="shared" si="2"/>
        <v>3.5629200000000001</v>
      </c>
      <c r="H4" s="53">
        <f t="shared" si="2"/>
        <v>3.5629200000000001</v>
      </c>
      <c r="I4" s="53">
        <f t="shared" si="2"/>
        <v>3.5780400000000006</v>
      </c>
      <c r="J4" s="53">
        <f t="shared" si="2"/>
        <v>3.4678800000000001</v>
      </c>
      <c r="K4" s="53">
        <f t="shared" si="2"/>
        <v>3.4743600000000003</v>
      </c>
      <c r="L4" s="53">
        <f t="shared" si="2"/>
        <v>3.55104</v>
      </c>
    </row>
    <row r="5" spans="1:13" x14ac:dyDescent="0.3">
      <c r="A5" s="66" t="s">
        <v>130</v>
      </c>
      <c r="B5" s="67" t="s">
        <v>142</v>
      </c>
      <c r="C5" s="68">
        <f>C16*1.07</f>
        <v>3.4742899999999999</v>
      </c>
      <c r="D5" s="68">
        <f t="shared" ref="D5:L5" si="3">D16*1.07</f>
        <v>3.5449100000000002</v>
      </c>
      <c r="E5" s="68">
        <f t="shared" si="3"/>
        <v>3.52244</v>
      </c>
      <c r="F5" s="68">
        <f t="shared" si="3"/>
        <v>3.4614500000000001</v>
      </c>
      <c r="G5" s="68">
        <f t="shared" si="3"/>
        <v>3.5299300000000002</v>
      </c>
      <c r="H5" s="68">
        <f t="shared" si="3"/>
        <v>3.5299300000000002</v>
      </c>
      <c r="I5" s="68">
        <f t="shared" si="3"/>
        <v>3.5449100000000002</v>
      </c>
      <c r="J5" s="68">
        <f t="shared" si="3"/>
        <v>3.4357700000000002</v>
      </c>
      <c r="K5" s="68">
        <f t="shared" si="3"/>
        <v>3.4421900000000001</v>
      </c>
      <c r="L5" s="68">
        <f t="shared" si="3"/>
        <v>3.51816</v>
      </c>
    </row>
    <row r="6" spans="1:13" x14ac:dyDescent="0.3">
      <c r="A6" s="66" t="s">
        <v>130</v>
      </c>
      <c r="B6" s="67" t="s">
        <v>143</v>
      </c>
      <c r="C6" s="53">
        <f>C16*1.06</f>
        <v>3.4418199999999999</v>
      </c>
      <c r="D6" s="53">
        <f t="shared" ref="D6:L6" si="4">D16*1.06</f>
        <v>3.5117800000000003</v>
      </c>
      <c r="E6" s="53">
        <f t="shared" si="4"/>
        <v>3.4895200000000002</v>
      </c>
      <c r="F6" s="53">
        <f t="shared" si="4"/>
        <v>3.4291</v>
      </c>
      <c r="G6" s="53">
        <f t="shared" si="4"/>
        <v>3.4969399999999999</v>
      </c>
      <c r="H6" s="53">
        <f t="shared" si="4"/>
        <v>3.4969399999999999</v>
      </c>
      <c r="I6" s="53">
        <f t="shared" si="4"/>
        <v>3.5117800000000003</v>
      </c>
      <c r="J6" s="53">
        <f t="shared" si="4"/>
        <v>3.4036599999999999</v>
      </c>
      <c r="K6" s="53">
        <f t="shared" si="4"/>
        <v>3.4100200000000003</v>
      </c>
      <c r="L6" s="53">
        <f t="shared" si="4"/>
        <v>3.4852799999999999</v>
      </c>
    </row>
    <row r="7" spans="1:13" x14ac:dyDescent="0.3">
      <c r="A7" s="66" t="s">
        <v>130</v>
      </c>
      <c r="B7" s="67" t="s">
        <v>129</v>
      </c>
      <c r="C7" s="68">
        <f>C16*1.05</f>
        <v>3.4093499999999999</v>
      </c>
      <c r="D7" s="68">
        <f t="shared" ref="D7:L7" si="5">D16*1.05</f>
        <v>3.4786500000000005</v>
      </c>
      <c r="E7" s="68">
        <f t="shared" si="5"/>
        <v>3.4565999999999999</v>
      </c>
      <c r="F7" s="68">
        <f t="shared" si="5"/>
        <v>3.3967499999999999</v>
      </c>
      <c r="G7" s="68">
        <f t="shared" si="5"/>
        <v>3.4639500000000001</v>
      </c>
      <c r="H7" s="68">
        <f t="shared" si="5"/>
        <v>3.4639500000000001</v>
      </c>
      <c r="I7" s="68">
        <f t="shared" si="5"/>
        <v>3.4786500000000005</v>
      </c>
      <c r="J7" s="68">
        <f t="shared" si="5"/>
        <v>3.37155</v>
      </c>
      <c r="K7" s="68">
        <f t="shared" si="5"/>
        <v>3.37785</v>
      </c>
      <c r="L7" s="68">
        <f t="shared" si="5"/>
        <v>3.4523999999999999</v>
      </c>
    </row>
    <row r="8" spans="1:13" x14ac:dyDescent="0.3">
      <c r="A8" s="66" t="s">
        <v>130</v>
      </c>
      <c r="B8" s="67" t="s">
        <v>127</v>
      </c>
      <c r="C8" s="53">
        <f>C16*1.04</f>
        <v>3.3768799999999999</v>
      </c>
      <c r="D8" s="53">
        <f t="shared" ref="D8:L8" si="6">D16*1.04</f>
        <v>3.4455200000000001</v>
      </c>
      <c r="E8" s="53">
        <f t="shared" si="6"/>
        <v>3.4236800000000001</v>
      </c>
      <c r="F8" s="53">
        <f t="shared" si="6"/>
        <v>3.3643999999999998</v>
      </c>
      <c r="G8" s="53">
        <f t="shared" si="6"/>
        <v>3.4309600000000002</v>
      </c>
      <c r="H8" s="53">
        <f t="shared" si="6"/>
        <v>3.4309600000000002</v>
      </c>
      <c r="I8" s="53">
        <f t="shared" si="6"/>
        <v>3.4455200000000001</v>
      </c>
      <c r="J8" s="53">
        <f t="shared" si="6"/>
        <v>3.3394399999999997</v>
      </c>
      <c r="K8" s="53">
        <f t="shared" si="6"/>
        <v>3.3456800000000002</v>
      </c>
      <c r="L8" s="53">
        <f t="shared" si="6"/>
        <v>3.4195199999999999</v>
      </c>
    </row>
    <row r="9" spans="1:13" x14ac:dyDescent="0.3">
      <c r="A9" s="32"/>
      <c r="B9" s="67" t="s">
        <v>125</v>
      </c>
      <c r="C9" s="69">
        <f>C16*1.03</f>
        <v>3.3444099999999999</v>
      </c>
      <c r="D9" s="69">
        <f t="shared" ref="D9:L9" si="7">D16*1.03</f>
        <v>3.4123900000000003</v>
      </c>
      <c r="E9" s="69">
        <f t="shared" si="7"/>
        <v>3.3907599999999998</v>
      </c>
      <c r="F9" s="69">
        <f t="shared" si="7"/>
        <v>3.3320500000000002</v>
      </c>
      <c r="G9" s="69">
        <f t="shared" si="7"/>
        <v>3.3979699999999999</v>
      </c>
      <c r="H9" s="69">
        <f t="shared" si="7"/>
        <v>3.3979699999999999</v>
      </c>
      <c r="I9" s="69">
        <f t="shared" si="7"/>
        <v>3.4123900000000003</v>
      </c>
      <c r="J9" s="69">
        <f t="shared" si="7"/>
        <v>3.3073299999999999</v>
      </c>
      <c r="K9" s="69">
        <f t="shared" si="7"/>
        <v>3.31351</v>
      </c>
      <c r="L9" s="69">
        <f t="shared" si="7"/>
        <v>3.3866399999999999</v>
      </c>
    </row>
    <row r="10" spans="1:13" x14ac:dyDescent="0.3">
      <c r="A10" s="32"/>
      <c r="B10" s="67" t="s">
        <v>9</v>
      </c>
      <c r="C10" s="8">
        <f>C16*1.025</f>
        <v>3.3281749999999994</v>
      </c>
      <c r="D10" s="8">
        <f t="shared" ref="D10:L10" si="8">D16*1.025</f>
        <v>3.3958249999999999</v>
      </c>
      <c r="E10" s="8">
        <f t="shared" si="8"/>
        <v>3.3742999999999994</v>
      </c>
      <c r="F10" s="8">
        <f t="shared" si="8"/>
        <v>3.3158749999999997</v>
      </c>
      <c r="G10" s="8">
        <f t="shared" si="8"/>
        <v>3.3814749999999996</v>
      </c>
      <c r="H10" s="8">
        <f t="shared" si="8"/>
        <v>3.3814749999999996</v>
      </c>
      <c r="I10" s="8">
        <f t="shared" si="8"/>
        <v>3.3958249999999999</v>
      </c>
      <c r="J10" s="8">
        <f t="shared" si="8"/>
        <v>3.2912749999999997</v>
      </c>
      <c r="K10" s="8">
        <f t="shared" si="8"/>
        <v>3.2974249999999996</v>
      </c>
      <c r="L10" s="8">
        <f t="shared" si="8"/>
        <v>3.3701999999999996</v>
      </c>
    </row>
    <row r="11" spans="1:13" x14ac:dyDescent="0.3">
      <c r="A11" s="32"/>
      <c r="B11" s="67" t="s">
        <v>122</v>
      </c>
      <c r="C11" s="70">
        <f>C16*1.02</f>
        <v>3.3119399999999999</v>
      </c>
      <c r="D11" s="70">
        <f t="shared" ref="D11:L11" si="9">D16*1.02</f>
        <v>3.3792600000000004</v>
      </c>
      <c r="E11" s="70">
        <f t="shared" si="9"/>
        <v>3.3578399999999999</v>
      </c>
      <c r="F11" s="70">
        <f t="shared" si="9"/>
        <v>3.2997000000000001</v>
      </c>
      <c r="G11" s="70">
        <f t="shared" si="9"/>
        <v>3.3649800000000001</v>
      </c>
      <c r="H11" s="70">
        <f t="shared" si="9"/>
        <v>3.3649800000000001</v>
      </c>
      <c r="I11" s="70">
        <f t="shared" si="9"/>
        <v>3.3792600000000004</v>
      </c>
      <c r="J11" s="70">
        <f t="shared" si="9"/>
        <v>3.27522</v>
      </c>
      <c r="K11" s="70">
        <f t="shared" si="9"/>
        <v>3.2813400000000001</v>
      </c>
      <c r="L11" s="70">
        <f t="shared" si="9"/>
        <v>3.3537599999999999</v>
      </c>
    </row>
    <row r="12" spans="1:13" x14ac:dyDescent="0.3">
      <c r="A12" s="32"/>
      <c r="B12" s="67" t="s">
        <v>11</v>
      </c>
      <c r="C12" s="69">
        <f>C16*1.015</f>
        <v>3.2957049999999994</v>
      </c>
      <c r="D12" s="69">
        <f t="shared" ref="D12:L12" si="10">D16*1.015</f>
        <v>3.362695</v>
      </c>
      <c r="E12" s="69">
        <f t="shared" si="10"/>
        <v>3.3413799999999996</v>
      </c>
      <c r="F12" s="69">
        <f t="shared" si="10"/>
        <v>3.2835249999999996</v>
      </c>
      <c r="G12" s="69">
        <f t="shared" si="10"/>
        <v>3.3484849999999997</v>
      </c>
      <c r="H12" s="69">
        <f t="shared" si="10"/>
        <v>3.3484849999999997</v>
      </c>
      <c r="I12" s="69">
        <f t="shared" si="10"/>
        <v>3.362695</v>
      </c>
      <c r="J12" s="69">
        <f t="shared" si="10"/>
        <v>3.2591649999999994</v>
      </c>
      <c r="K12" s="69">
        <f t="shared" si="10"/>
        <v>3.2652549999999998</v>
      </c>
      <c r="L12" s="69">
        <f t="shared" si="10"/>
        <v>3.3373199999999996</v>
      </c>
      <c r="M12" s="71" t="s">
        <v>144</v>
      </c>
    </row>
    <row r="13" spans="1:13" x14ac:dyDescent="0.3">
      <c r="A13" s="72" t="s">
        <v>128</v>
      </c>
      <c r="B13" s="67" t="s">
        <v>120</v>
      </c>
      <c r="C13" s="73">
        <f>C16*1.01</f>
        <v>3.2794699999999999</v>
      </c>
      <c r="D13" s="73">
        <f t="shared" ref="D13:I13" si="11">D16*1.01</f>
        <v>3.34613</v>
      </c>
      <c r="E13" s="73">
        <f t="shared" si="11"/>
        <v>3.3249199999999997</v>
      </c>
      <c r="F13" s="73">
        <f t="shared" si="11"/>
        <v>3.26735</v>
      </c>
      <c r="G13" s="73">
        <f t="shared" si="11"/>
        <v>3.3319899999999998</v>
      </c>
      <c r="H13" s="73">
        <f t="shared" si="11"/>
        <v>3.3319899999999998</v>
      </c>
      <c r="I13" s="73">
        <f t="shared" si="11"/>
        <v>3.34613</v>
      </c>
      <c r="J13" s="73">
        <f>J16*1.01</f>
        <v>3.2431099999999997</v>
      </c>
      <c r="K13" s="73">
        <f>K16*1.01</f>
        <v>3.2491699999999999</v>
      </c>
      <c r="L13" s="73">
        <f>L16*1.01</f>
        <v>3.3208799999999998</v>
      </c>
      <c r="M13" s="74">
        <v>16</v>
      </c>
    </row>
    <row r="14" spans="1:13" x14ac:dyDescent="0.3">
      <c r="A14" s="32"/>
      <c r="B14" s="67" t="s">
        <v>119</v>
      </c>
      <c r="C14" s="69">
        <f>C16*1.007</f>
        <v>3.2697289999999994</v>
      </c>
      <c r="D14" s="69">
        <f t="shared" ref="D14:L14" si="12">D16*1.007</f>
        <v>3.3361909999999999</v>
      </c>
      <c r="E14" s="69">
        <f t="shared" si="12"/>
        <v>3.3150439999999994</v>
      </c>
      <c r="F14" s="69">
        <f t="shared" si="12"/>
        <v>3.2576449999999997</v>
      </c>
      <c r="G14" s="69">
        <f t="shared" si="12"/>
        <v>3.3220929999999997</v>
      </c>
      <c r="H14" s="69">
        <f t="shared" si="12"/>
        <v>3.3220929999999997</v>
      </c>
      <c r="I14" s="69">
        <f t="shared" si="12"/>
        <v>3.3361909999999999</v>
      </c>
      <c r="J14" s="69">
        <f t="shared" si="12"/>
        <v>3.2334769999999997</v>
      </c>
      <c r="K14" s="69">
        <f t="shared" si="12"/>
        <v>3.2395189999999996</v>
      </c>
      <c r="L14" s="69">
        <f t="shared" si="12"/>
        <v>3.3110159999999995</v>
      </c>
      <c r="M14" s="75" t="s">
        <v>145</v>
      </c>
    </row>
    <row r="15" spans="1:13" x14ac:dyDescent="0.3">
      <c r="A15" s="76"/>
      <c r="B15" s="67" t="s">
        <v>0</v>
      </c>
      <c r="C15" s="8">
        <f>C16*1.005</f>
        <v>3.2632349999999994</v>
      </c>
      <c r="D15" s="8">
        <f t="shared" ref="D15:L15" si="13">D16*1.005</f>
        <v>3.3295649999999997</v>
      </c>
      <c r="E15" s="8">
        <f t="shared" si="13"/>
        <v>3.3084599999999993</v>
      </c>
      <c r="F15" s="8">
        <f t="shared" si="13"/>
        <v>3.2511749999999995</v>
      </c>
      <c r="G15" s="8">
        <f t="shared" si="13"/>
        <v>3.3154949999999994</v>
      </c>
      <c r="H15" s="8">
        <f t="shared" si="13"/>
        <v>3.3154949999999994</v>
      </c>
      <c r="I15" s="8">
        <f t="shared" si="13"/>
        <v>3.3295649999999997</v>
      </c>
      <c r="J15" s="8">
        <f t="shared" si="13"/>
        <v>3.2270549999999996</v>
      </c>
      <c r="K15" s="8">
        <f t="shared" si="13"/>
        <v>3.2330849999999995</v>
      </c>
      <c r="L15" s="8">
        <f t="shared" si="13"/>
        <v>3.3044399999999996</v>
      </c>
      <c r="M15" s="75">
        <v>48</v>
      </c>
    </row>
    <row r="16" spans="1:13" x14ac:dyDescent="0.3">
      <c r="A16" s="77" t="s">
        <v>146</v>
      </c>
      <c r="B16" s="77">
        <v>0</v>
      </c>
      <c r="C16" s="78">
        <v>3.2469999999999999</v>
      </c>
      <c r="D16" s="79">
        <v>3.3130000000000002</v>
      </c>
      <c r="E16" s="63">
        <v>3.2919999999999998</v>
      </c>
      <c r="F16" s="64">
        <v>3.2349999999999999</v>
      </c>
      <c r="G16" s="80">
        <v>3.2989999999999999</v>
      </c>
      <c r="H16" s="80">
        <v>3.2989999999999999</v>
      </c>
      <c r="I16" s="81">
        <v>3.3130000000000002</v>
      </c>
      <c r="J16" s="82">
        <v>3.2109999999999999</v>
      </c>
      <c r="K16" s="83">
        <v>3.2170000000000001</v>
      </c>
      <c r="L16" s="83">
        <v>3.2879999999999998</v>
      </c>
      <c r="M16" s="84" t="s">
        <v>147</v>
      </c>
    </row>
    <row r="17" spans="1:13" x14ac:dyDescent="0.3">
      <c r="A17" s="32"/>
      <c r="B17" s="85" t="s">
        <v>1</v>
      </c>
      <c r="C17" s="8">
        <f>C16*0.995</f>
        <v>3.2307649999999999</v>
      </c>
      <c r="D17" s="8">
        <f t="shared" ref="D17:L17" si="14">D16*0.995</f>
        <v>3.2964350000000002</v>
      </c>
      <c r="E17" s="8">
        <f t="shared" si="14"/>
        <v>3.2755399999999999</v>
      </c>
      <c r="F17" s="8">
        <f t="shared" si="14"/>
        <v>3.2188249999999998</v>
      </c>
      <c r="G17" s="8">
        <f t="shared" si="14"/>
        <v>3.282505</v>
      </c>
      <c r="H17" s="8">
        <f t="shared" si="14"/>
        <v>3.282505</v>
      </c>
      <c r="I17" s="8">
        <f t="shared" si="14"/>
        <v>3.2964350000000002</v>
      </c>
      <c r="J17" s="8">
        <f t="shared" si="14"/>
        <v>3.1949449999999997</v>
      </c>
      <c r="K17" s="8">
        <f t="shared" si="14"/>
        <v>3.2009150000000002</v>
      </c>
      <c r="L17" s="8">
        <f t="shared" si="14"/>
        <v>3.2715599999999996</v>
      </c>
      <c r="M17" s="84">
        <v>20</v>
      </c>
    </row>
    <row r="18" spans="1:13" x14ac:dyDescent="0.3">
      <c r="A18" s="32"/>
      <c r="B18" s="85" t="s">
        <v>124</v>
      </c>
      <c r="C18" s="8">
        <f>C16*0.993</f>
        <v>3.2242709999999999</v>
      </c>
      <c r="D18" s="8">
        <f t="shared" ref="D18:L18" si="15">D16*0.993</f>
        <v>3.289809</v>
      </c>
      <c r="E18" s="8">
        <f t="shared" si="15"/>
        <v>3.2689559999999998</v>
      </c>
      <c r="F18" s="8">
        <f t="shared" si="15"/>
        <v>3.2123550000000001</v>
      </c>
      <c r="G18" s="8">
        <f t="shared" si="15"/>
        <v>3.2759070000000001</v>
      </c>
      <c r="H18" s="8">
        <f t="shared" si="15"/>
        <v>3.2759070000000001</v>
      </c>
      <c r="I18" s="8">
        <f t="shared" si="15"/>
        <v>3.289809</v>
      </c>
      <c r="J18" s="8">
        <f t="shared" si="15"/>
        <v>3.188523</v>
      </c>
      <c r="K18" s="8">
        <f t="shared" si="15"/>
        <v>3.1944810000000001</v>
      </c>
      <c r="L18" s="8">
        <f t="shared" si="15"/>
        <v>3.2649839999999997</v>
      </c>
      <c r="M18" s="84" t="s">
        <v>75</v>
      </c>
    </row>
    <row r="19" spans="1:13" x14ac:dyDescent="0.3">
      <c r="A19" s="86" t="s">
        <v>126</v>
      </c>
      <c r="B19" s="85" t="s">
        <v>123</v>
      </c>
      <c r="C19" s="87">
        <f>C16*0.99</f>
        <v>3.2145299999999999</v>
      </c>
      <c r="D19" s="87">
        <f t="shared" ref="D19:L19" si="16">D16*0.99</f>
        <v>3.2798700000000003</v>
      </c>
      <c r="E19" s="87">
        <f t="shared" si="16"/>
        <v>3.25908</v>
      </c>
      <c r="F19" s="87">
        <f t="shared" si="16"/>
        <v>3.2026499999999998</v>
      </c>
      <c r="G19" s="87">
        <f t="shared" si="16"/>
        <v>3.2660100000000001</v>
      </c>
      <c r="H19" s="87">
        <f t="shared" si="16"/>
        <v>3.2660100000000001</v>
      </c>
      <c r="I19" s="87">
        <f>I16*0.99</f>
        <v>3.2798700000000003</v>
      </c>
      <c r="J19" s="87">
        <f t="shared" ref="J19:K19" si="17">J16*0.99</f>
        <v>3.17889</v>
      </c>
      <c r="K19" s="87">
        <f t="shared" si="17"/>
        <v>3.1848300000000003</v>
      </c>
      <c r="L19" s="87">
        <f t="shared" si="16"/>
        <v>3.2551199999999998</v>
      </c>
      <c r="M19" s="84" t="s">
        <v>148</v>
      </c>
    </row>
    <row r="20" spans="1:13" x14ac:dyDescent="0.3">
      <c r="A20" s="32"/>
      <c r="B20" s="85" t="s">
        <v>14</v>
      </c>
      <c r="C20" s="69">
        <f>C16*0.985</f>
        <v>3.1982949999999999</v>
      </c>
      <c r="D20" s="69">
        <f t="shared" ref="D20:L20" si="18">D16*0.985</f>
        <v>3.2633049999999999</v>
      </c>
      <c r="E20" s="69">
        <f t="shared" si="18"/>
        <v>3.2426199999999996</v>
      </c>
      <c r="F20" s="69">
        <f t="shared" si="18"/>
        <v>3.1864749999999997</v>
      </c>
      <c r="G20" s="69">
        <f t="shared" si="18"/>
        <v>3.2495149999999997</v>
      </c>
      <c r="H20" s="69">
        <f t="shared" si="18"/>
        <v>3.2495149999999997</v>
      </c>
      <c r="I20" s="69">
        <f t="shared" si="18"/>
        <v>3.2633049999999999</v>
      </c>
      <c r="J20" s="69">
        <f t="shared" si="18"/>
        <v>3.1628349999999998</v>
      </c>
      <c r="K20" s="69">
        <f t="shared" si="18"/>
        <v>3.1687449999999999</v>
      </c>
      <c r="L20" s="69">
        <f t="shared" si="18"/>
        <v>3.2386799999999996</v>
      </c>
    </row>
    <row r="21" spans="1:13" x14ac:dyDescent="0.3">
      <c r="A21" s="32"/>
      <c r="B21" s="85" t="s">
        <v>121</v>
      </c>
      <c r="C21" s="88">
        <f>C16*0.98</f>
        <v>3.1820599999999999</v>
      </c>
      <c r="D21" s="88">
        <f t="shared" ref="D21:L21" si="19">D16*0.98</f>
        <v>3.24674</v>
      </c>
      <c r="E21" s="88">
        <f t="shared" si="19"/>
        <v>3.2261599999999997</v>
      </c>
      <c r="F21" s="88">
        <f t="shared" si="19"/>
        <v>3.1702999999999997</v>
      </c>
      <c r="G21" s="88">
        <f t="shared" si="19"/>
        <v>3.2330199999999998</v>
      </c>
      <c r="H21" s="88">
        <f t="shared" si="19"/>
        <v>3.2330199999999998</v>
      </c>
      <c r="I21" s="88">
        <f t="shared" si="19"/>
        <v>3.24674</v>
      </c>
      <c r="J21" s="88">
        <f t="shared" si="19"/>
        <v>3.1467799999999997</v>
      </c>
      <c r="K21" s="88">
        <f t="shared" si="19"/>
        <v>3.15266</v>
      </c>
      <c r="L21" s="88">
        <f t="shared" si="19"/>
        <v>3.2222399999999998</v>
      </c>
    </row>
    <row r="22" spans="1:13" x14ac:dyDescent="0.3">
      <c r="A22" s="32"/>
      <c r="B22" s="85" t="s">
        <v>96</v>
      </c>
      <c r="C22" s="8">
        <f>C16*0.975</f>
        <v>3.1658249999999999</v>
      </c>
      <c r="D22" s="8">
        <f>D16*0.975</f>
        <v>3.230175</v>
      </c>
      <c r="E22" s="8">
        <f t="shared" ref="E22:L22" si="20">E16*0.975</f>
        <v>3.2096999999999998</v>
      </c>
      <c r="F22" s="8">
        <f t="shared" si="20"/>
        <v>3.1541249999999996</v>
      </c>
      <c r="G22" s="8">
        <f t="shared" si="20"/>
        <v>3.2165249999999999</v>
      </c>
      <c r="H22" s="8">
        <f t="shared" si="20"/>
        <v>3.2165249999999999</v>
      </c>
      <c r="I22" s="8">
        <f t="shared" si="20"/>
        <v>3.230175</v>
      </c>
      <c r="J22" s="8">
        <f t="shared" si="20"/>
        <v>3.130725</v>
      </c>
      <c r="K22" s="8">
        <f t="shared" si="20"/>
        <v>3.1365750000000001</v>
      </c>
      <c r="L22" s="8">
        <f t="shared" si="20"/>
        <v>3.2057999999999995</v>
      </c>
    </row>
    <row r="23" spans="1:13" x14ac:dyDescent="0.3">
      <c r="A23" s="32"/>
      <c r="B23" s="85" t="s">
        <v>118</v>
      </c>
      <c r="C23" s="69">
        <f>C16*0.97</f>
        <v>3.1495899999999999</v>
      </c>
      <c r="D23" s="69">
        <f t="shared" ref="D23:L23" si="21">D16*0.97</f>
        <v>3.2136100000000001</v>
      </c>
      <c r="E23" s="69">
        <f t="shared" si="21"/>
        <v>3.1932399999999999</v>
      </c>
      <c r="F23" s="69">
        <f t="shared" si="21"/>
        <v>3.1379499999999996</v>
      </c>
      <c r="G23" s="69">
        <f t="shared" si="21"/>
        <v>3.2000299999999999</v>
      </c>
      <c r="H23" s="69">
        <f t="shared" si="21"/>
        <v>3.2000299999999999</v>
      </c>
      <c r="I23" s="69">
        <f t="shared" si="21"/>
        <v>3.2136100000000001</v>
      </c>
      <c r="J23" s="69">
        <f t="shared" si="21"/>
        <v>3.1146699999999998</v>
      </c>
      <c r="K23" s="69">
        <f t="shared" si="21"/>
        <v>3.1204900000000002</v>
      </c>
      <c r="L23" s="69">
        <f t="shared" si="21"/>
        <v>3.1893599999999998</v>
      </c>
    </row>
    <row r="24" spans="1:13" x14ac:dyDescent="0.3">
      <c r="A24" s="89" t="s">
        <v>116</v>
      </c>
      <c r="B24" s="85" t="s">
        <v>149</v>
      </c>
      <c r="C24" s="90">
        <f>C16*0.96</f>
        <v>3.1171199999999999</v>
      </c>
      <c r="D24" s="90">
        <f t="shared" ref="D24:L24" si="22">D16*0.96</f>
        <v>3.1804800000000002</v>
      </c>
      <c r="E24" s="90">
        <f t="shared" si="22"/>
        <v>3.1603199999999996</v>
      </c>
      <c r="F24" s="90">
        <f t="shared" si="22"/>
        <v>3.1055999999999999</v>
      </c>
      <c r="G24" s="90">
        <f t="shared" si="22"/>
        <v>3.1670399999999996</v>
      </c>
      <c r="H24" s="90">
        <f t="shared" si="22"/>
        <v>3.1670399999999996</v>
      </c>
      <c r="I24" s="90">
        <f t="shared" si="22"/>
        <v>3.1804800000000002</v>
      </c>
      <c r="J24" s="90">
        <f t="shared" si="22"/>
        <v>3.08256</v>
      </c>
      <c r="K24" s="90">
        <f t="shared" si="22"/>
        <v>3.08832</v>
      </c>
      <c r="L24" s="90">
        <f t="shared" si="22"/>
        <v>3.1564799999999997</v>
      </c>
    </row>
    <row r="25" spans="1:13" x14ac:dyDescent="0.3">
      <c r="A25" s="89" t="s">
        <v>116</v>
      </c>
      <c r="B25" s="85" t="s">
        <v>150</v>
      </c>
      <c r="C25" s="53">
        <f>C16*0.95</f>
        <v>3.0846499999999999</v>
      </c>
      <c r="D25" s="53">
        <f t="shared" ref="D25:L25" si="23">D16*0.95</f>
        <v>3.1473499999999999</v>
      </c>
      <c r="E25" s="53">
        <f t="shared" si="23"/>
        <v>3.1273999999999997</v>
      </c>
      <c r="F25" s="53">
        <f t="shared" si="23"/>
        <v>3.0732499999999998</v>
      </c>
      <c r="G25" s="53">
        <f t="shared" si="23"/>
        <v>3.1340499999999998</v>
      </c>
      <c r="H25" s="53">
        <f t="shared" si="23"/>
        <v>3.1340499999999998</v>
      </c>
      <c r="I25" s="53">
        <f t="shared" si="23"/>
        <v>3.1473499999999999</v>
      </c>
      <c r="J25" s="53">
        <f t="shared" si="23"/>
        <v>3.0504499999999997</v>
      </c>
      <c r="K25" s="53">
        <f t="shared" si="23"/>
        <v>3.0561500000000001</v>
      </c>
      <c r="L25" s="53">
        <f t="shared" si="23"/>
        <v>3.1235999999999997</v>
      </c>
    </row>
    <row r="26" spans="1:13" x14ac:dyDescent="0.3">
      <c r="A26" s="89" t="s">
        <v>116</v>
      </c>
      <c r="B26" s="85" t="s">
        <v>151</v>
      </c>
      <c r="C26" s="90">
        <f>C16*0.94</f>
        <v>3.0521799999999999</v>
      </c>
      <c r="D26" s="90">
        <f t="shared" ref="D26:L26" si="24">D16*0.94</f>
        <v>3.11422</v>
      </c>
      <c r="E26" s="90">
        <f t="shared" si="24"/>
        <v>3.0944799999999995</v>
      </c>
      <c r="F26" s="90">
        <f t="shared" si="24"/>
        <v>3.0408999999999997</v>
      </c>
      <c r="G26" s="90">
        <f t="shared" si="24"/>
        <v>3.1010599999999999</v>
      </c>
      <c r="H26" s="90">
        <f t="shared" si="24"/>
        <v>3.1010599999999999</v>
      </c>
      <c r="I26" s="90">
        <f t="shared" si="24"/>
        <v>3.11422</v>
      </c>
      <c r="J26" s="90">
        <f t="shared" si="24"/>
        <v>3.0183399999999998</v>
      </c>
      <c r="K26" s="90">
        <f t="shared" si="24"/>
        <v>3.0239799999999999</v>
      </c>
      <c r="L26" s="90">
        <f t="shared" si="24"/>
        <v>3.0907199999999997</v>
      </c>
    </row>
    <row r="27" spans="1:13" x14ac:dyDescent="0.3">
      <c r="A27" s="89" t="s">
        <v>116</v>
      </c>
      <c r="B27" s="85" t="s">
        <v>152</v>
      </c>
      <c r="C27" s="53">
        <f>C16*0.93</f>
        <v>3.0197099999999999</v>
      </c>
      <c r="D27" s="53">
        <f t="shared" ref="D27:L27" si="25">D16*0.93</f>
        <v>3.0810900000000001</v>
      </c>
      <c r="E27" s="53">
        <f t="shared" si="25"/>
        <v>3.0615600000000001</v>
      </c>
      <c r="F27" s="53">
        <f t="shared" si="25"/>
        <v>3.0085500000000001</v>
      </c>
      <c r="G27" s="53">
        <f t="shared" si="25"/>
        <v>3.0680700000000001</v>
      </c>
      <c r="H27" s="53">
        <f t="shared" si="25"/>
        <v>3.0680700000000001</v>
      </c>
      <c r="I27" s="53">
        <f t="shared" si="25"/>
        <v>3.0810900000000001</v>
      </c>
      <c r="J27" s="53">
        <f t="shared" si="25"/>
        <v>2.9862299999999999</v>
      </c>
      <c r="K27" s="53">
        <f t="shared" si="25"/>
        <v>2.9918100000000001</v>
      </c>
      <c r="L27" s="53">
        <f t="shared" si="25"/>
        <v>3.0578400000000001</v>
      </c>
    </row>
    <row r="28" spans="1:13" x14ac:dyDescent="0.3">
      <c r="A28" s="89" t="s">
        <v>116</v>
      </c>
      <c r="B28" s="85" t="s">
        <v>153</v>
      </c>
      <c r="C28" s="53">
        <f t="shared" ref="C28:L28" si="26">C16*0.92</f>
        <v>2.9872399999999999</v>
      </c>
      <c r="D28" s="53">
        <f t="shared" si="26"/>
        <v>3.0479600000000002</v>
      </c>
      <c r="E28" s="53">
        <f t="shared" si="26"/>
        <v>3.0286399999999998</v>
      </c>
      <c r="F28" s="53">
        <f t="shared" si="26"/>
        <v>2.9762</v>
      </c>
      <c r="G28" s="53">
        <f t="shared" si="26"/>
        <v>3.0350800000000002</v>
      </c>
      <c r="H28" s="53">
        <f t="shared" si="26"/>
        <v>3.0350800000000002</v>
      </c>
      <c r="I28" s="53">
        <f t="shared" si="26"/>
        <v>3.0479600000000002</v>
      </c>
      <c r="J28" s="53">
        <f t="shared" si="26"/>
        <v>2.9541200000000001</v>
      </c>
      <c r="K28" s="53">
        <f t="shared" si="26"/>
        <v>2.9596400000000003</v>
      </c>
      <c r="L28" s="53">
        <f t="shared" si="26"/>
        <v>3.0249600000000001</v>
      </c>
    </row>
    <row r="29" spans="1:13" x14ac:dyDescent="0.3">
      <c r="A29" s="89" t="s">
        <v>116</v>
      </c>
      <c r="B29" s="85" t="s">
        <v>154</v>
      </c>
      <c r="C29" s="90">
        <f>C16*0.91</f>
        <v>2.9547699999999999</v>
      </c>
      <c r="D29" s="90">
        <f t="shared" ref="D29:L29" si="27">D16*0.91</f>
        <v>3.0148300000000003</v>
      </c>
      <c r="E29" s="90">
        <f t="shared" si="27"/>
        <v>2.9957199999999999</v>
      </c>
      <c r="F29" s="90">
        <f t="shared" si="27"/>
        <v>2.9438499999999999</v>
      </c>
      <c r="G29" s="90">
        <f t="shared" si="27"/>
        <v>3.0020899999999999</v>
      </c>
      <c r="H29" s="90">
        <f t="shared" si="27"/>
        <v>3.0020899999999999</v>
      </c>
      <c r="I29" s="90">
        <f t="shared" si="27"/>
        <v>3.0148300000000003</v>
      </c>
      <c r="J29" s="90">
        <f t="shared" si="27"/>
        <v>2.9220099999999998</v>
      </c>
      <c r="K29" s="90">
        <f t="shared" si="27"/>
        <v>2.92747</v>
      </c>
      <c r="L29" s="90">
        <f t="shared" si="27"/>
        <v>2.9920800000000001</v>
      </c>
    </row>
    <row r="30" spans="1:13" x14ac:dyDescent="0.3">
      <c r="A30" s="89" t="s">
        <v>116</v>
      </c>
      <c r="B30" s="85" t="s">
        <v>155</v>
      </c>
      <c r="C30" s="90">
        <f>C16*0.9</f>
        <v>2.9222999999999999</v>
      </c>
      <c r="D30" s="90">
        <f t="shared" ref="D30:L30" si="28">D16*0.9</f>
        <v>2.9817</v>
      </c>
      <c r="E30" s="90">
        <f t="shared" si="28"/>
        <v>2.9628000000000001</v>
      </c>
      <c r="F30" s="90">
        <f t="shared" si="28"/>
        <v>2.9114999999999998</v>
      </c>
      <c r="G30" s="90">
        <f t="shared" si="28"/>
        <v>2.9691000000000001</v>
      </c>
      <c r="H30" s="90">
        <f t="shared" si="28"/>
        <v>2.9691000000000001</v>
      </c>
      <c r="I30" s="90">
        <f t="shared" si="28"/>
        <v>2.9817</v>
      </c>
      <c r="J30" s="90">
        <f t="shared" si="28"/>
        <v>2.8898999999999999</v>
      </c>
      <c r="K30" s="90">
        <f t="shared" si="28"/>
        <v>2.8953000000000002</v>
      </c>
      <c r="L30" s="90">
        <f t="shared" si="28"/>
        <v>2.9592000000000001</v>
      </c>
    </row>
    <row r="34" spans="3:12" ht="120.5" customHeight="1" x14ac:dyDescent="0.3">
      <c r="C34" s="190" t="s">
        <v>156</v>
      </c>
      <c r="D34" s="191"/>
      <c r="E34" s="191"/>
      <c r="F34" s="191"/>
      <c r="G34" s="191"/>
      <c r="H34" s="91"/>
      <c r="I34" s="192"/>
      <c r="J34" s="192"/>
      <c r="K34" s="192"/>
      <c r="L34" s="192"/>
    </row>
    <row r="35" spans="3:12" ht="122.5" customHeight="1" x14ac:dyDescent="0.3">
      <c r="C35" s="193" t="s">
        <v>157</v>
      </c>
      <c r="D35" s="194"/>
      <c r="E35" s="194"/>
      <c r="F35" s="194"/>
      <c r="G35" s="194"/>
      <c r="H35" s="65"/>
      <c r="I35" s="164"/>
      <c r="J35" s="164"/>
      <c r="K35" s="164"/>
      <c r="L35" s="164"/>
    </row>
    <row r="36" spans="3:12" ht="13.5" customHeight="1" x14ac:dyDescent="0.3"/>
  </sheetData>
  <mergeCells count="4">
    <mergeCell ref="C34:G34"/>
    <mergeCell ref="I34:L34"/>
    <mergeCell ref="C35:G35"/>
    <mergeCell ref="I35:L3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9E5D-2840-4D1A-99C0-87C84374878A}">
  <dimension ref="A1:L7"/>
  <sheetViews>
    <sheetView zoomScale="160" zoomScaleNormal="160" workbookViewId="0">
      <selection activeCell="D34" sqref="D34"/>
    </sheetView>
  </sheetViews>
  <sheetFormatPr defaultRowHeight="14" x14ac:dyDescent="0.3"/>
  <cols>
    <col min="1" max="1" width="4.75" style="1" bestFit="1" customWidth="1"/>
    <col min="2" max="4" width="8.6640625" style="1"/>
    <col min="5" max="5" width="9.08203125" style="1" bestFit="1" customWidth="1"/>
    <col min="6" max="6" width="9.4140625" style="1" bestFit="1" customWidth="1"/>
    <col min="7" max="7" width="8.5" style="1" bestFit="1" customWidth="1"/>
    <col min="8" max="10" width="8.6640625" style="1"/>
    <col min="11" max="11" width="10.1640625" style="1" customWidth="1"/>
    <col min="12" max="16384" width="8.6640625" style="1"/>
  </cols>
  <sheetData>
    <row r="1" spans="1:12" ht="42" x14ac:dyDescent="0.3">
      <c r="A1" s="200" t="s">
        <v>95</v>
      </c>
      <c r="B1" s="172" t="s">
        <v>69</v>
      </c>
      <c r="C1" s="32" t="s">
        <v>85</v>
      </c>
      <c r="D1" s="43" t="s">
        <v>94</v>
      </c>
      <c r="E1" s="43" t="s">
        <v>93</v>
      </c>
      <c r="F1" s="43" t="s">
        <v>92</v>
      </c>
      <c r="G1" s="43" t="s">
        <v>91</v>
      </c>
      <c r="H1" s="43" t="s">
        <v>90</v>
      </c>
      <c r="I1" s="43" t="s">
        <v>89</v>
      </c>
      <c r="J1" s="43" t="s">
        <v>88</v>
      </c>
      <c r="K1" s="42" t="s">
        <v>87</v>
      </c>
      <c r="L1" s="41" t="s">
        <v>86</v>
      </c>
    </row>
    <row r="2" spans="1:12" x14ac:dyDescent="0.3">
      <c r="A2" s="200"/>
      <c r="B2" s="172"/>
      <c r="C2" s="24">
        <v>3.35</v>
      </c>
      <c r="D2" s="8">
        <f>C2*0.997</f>
        <v>3.33995</v>
      </c>
      <c r="E2" s="8">
        <f>C2*0.995</f>
        <v>3.33325</v>
      </c>
      <c r="F2" s="8">
        <f>C2*0.993</f>
        <v>3.3265500000000001</v>
      </c>
      <c r="G2" s="8">
        <f>C2*0.99</f>
        <v>3.3165</v>
      </c>
      <c r="H2" s="8">
        <f>C2*1.003</f>
        <v>3.3600499999999998</v>
      </c>
      <c r="I2" s="8">
        <f>C2*1.005</f>
        <v>3.3667499999999997</v>
      </c>
      <c r="J2" s="8">
        <f>C2*1.01</f>
        <v>3.3835000000000002</v>
      </c>
      <c r="K2" s="8">
        <f>C2*0.975</f>
        <v>3.2662499999999999</v>
      </c>
      <c r="L2" s="40">
        <f>C2*1.06</f>
        <v>3.5510000000000002</v>
      </c>
    </row>
    <row r="3" spans="1:12" ht="42" x14ac:dyDescent="0.3">
      <c r="A3" s="200"/>
      <c r="B3" s="197" t="s">
        <v>68</v>
      </c>
      <c r="C3" s="32" t="s">
        <v>85</v>
      </c>
      <c r="D3" s="43" t="s">
        <v>84</v>
      </c>
      <c r="E3" s="43" t="s">
        <v>83</v>
      </c>
      <c r="F3" s="43" t="s">
        <v>82</v>
      </c>
      <c r="G3" s="43" t="s">
        <v>81</v>
      </c>
      <c r="H3" s="43" t="s">
        <v>80</v>
      </c>
      <c r="I3" s="43" t="s">
        <v>79</v>
      </c>
      <c r="J3" s="43" t="s">
        <v>78</v>
      </c>
      <c r="K3" s="42" t="s">
        <v>77</v>
      </c>
      <c r="L3" s="41" t="s">
        <v>76</v>
      </c>
    </row>
    <row r="4" spans="1:12" x14ac:dyDescent="0.3">
      <c r="A4" s="200"/>
      <c r="B4" s="197"/>
      <c r="C4" s="24">
        <v>3.1829999999999998</v>
      </c>
      <c r="D4" s="8">
        <f>C4*1.003</f>
        <v>3.1925489999999996</v>
      </c>
      <c r="E4" s="8">
        <f>C4*1.005</f>
        <v>3.1989149999999995</v>
      </c>
      <c r="F4" s="8">
        <f>C4*1.007</f>
        <v>3.2052809999999994</v>
      </c>
      <c r="G4" s="8">
        <f>C4*1.01</f>
        <v>3.2148300000000001</v>
      </c>
      <c r="H4" s="8">
        <f>C4*0.997</f>
        <v>3.173451</v>
      </c>
      <c r="I4" s="8">
        <f>C4*0.995</f>
        <v>3.1670849999999997</v>
      </c>
      <c r="J4" s="8">
        <f>C4*0.99</f>
        <v>3.1511699999999996</v>
      </c>
      <c r="K4" s="8">
        <f>C4*1.025</f>
        <v>3.2625749999999996</v>
      </c>
      <c r="L4" s="40">
        <f>C4*0.94</f>
        <v>2.9920199999999997</v>
      </c>
    </row>
    <row r="5" spans="1:12" x14ac:dyDescent="0.3">
      <c r="A5" s="200"/>
      <c r="B5" s="32">
        <v>100</v>
      </c>
      <c r="C5" s="32" t="s">
        <v>56</v>
      </c>
      <c r="D5" s="32" t="s">
        <v>75</v>
      </c>
      <c r="E5" s="32" t="s">
        <v>74</v>
      </c>
      <c r="F5" s="32" t="s">
        <v>73</v>
      </c>
      <c r="G5" s="32" t="s">
        <v>72</v>
      </c>
      <c r="H5" s="32" t="s">
        <v>71</v>
      </c>
      <c r="I5" s="32" t="s">
        <v>2</v>
      </c>
      <c r="J5" s="32" t="s">
        <v>71</v>
      </c>
      <c r="K5" s="32" t="s">
        <v>70</v>
      </c>
    </row>
    <row r="6" spans="1:12" x14ac:dyDescent="0.3">
      <c r="A6" s="200"/>
      <c r="B6" s="39" t="s">
        <v>69</v>
      </c>
      <c r="C6" s="24">
        <v>14</v>
      </c>
      <c r="D6" s="198">
        <v>2.8</v>
      </c>
      <c r="E6" s="24">
        <f>C2*C6</f>
        <v>46.9</v>
      </c>
      <c r="F6" s="201">
        <f>(C4-C2)/C4</f>
        <v>-5.2466226830034643E-2</v>
      </c>
      <c r="G6" s="198">
        <v>3.2240000000000002</v>
      </c>
      <c r="H6" s="24">
        <f>C6*G6</f>
        <v>45.136000000000003</v>
      </c>
      <c r="I6" s="24">
        <f>H6-E6</f>
        <v>-1.7639999999999958</v>
      </c>
      <c r="J6" s="198">
        <f>(I7+I8)*0.998</f>
        <v>-0.54011760000001052</v>
      </c>
      <c r="K6" s="195">
        <f>J6/100</f>
        <v>-5.4011760000001055E-3</v>
      </c>
    </row>
    <row r="7" spans="1:12" x14ac:dyDescent="0.3">
      <c r="A7" s="200"/>
      <c r="B7" s="37" t="s">
        <v>68</v>
      </c>
      <c r="C7" s="24">
        <v>13.2</v>
      </c>
      <c r="D7" s="199"/>
      <c r="E7" s="24">
        <f>C4*C7</f>
        <v>42.015599999999992</v>
      </c>
      <c r="F7" s="201"/>
      <c r="G7" s="199"/>
      <c r="H7" s="24">
        <f>C7*G6</f>
        <v>42.556800000000003</v>
      </c>
      <c r="I7" s="24">
        <f>E7-H7</f>
        <v>-0.54120000000001056</v>
      </c>
      <c r="J7" s="199"/>
      <c r="K7" s="196"/>
    </row>
  </sheetData>
  <mergeCells count="8">
    <mergeCell ref="K6:K7"/>
    <mergeCell ref="B1:B2"/>
    <mergeCell ref="B3:B4"/>
    <mergeCell ref="D6:D7"/>
    <mergeCell ref="A1:A7"/>
    <mergeCell ref="F6:F7"/>
    <mergeCell ref="G6:G7"/>
    <mergeCell ref="J6:J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EBD4-82AD-4D85-815B-47DFC29AA39B}">
  <dimension ref="B2:H12"/>
  <sheetViews>
    <sheetView zoomScale="160" zoomScaleNormal="160" workbookViewId="0">
      <selection activeCell="E8" sqref="E8"/>
    </sheetView>
  </sheetViews>
  <sheetFormatPr defaultRowHeight="14" x14ac:dyDescent="0.3"/>
  <cols>
    <col min="1" max="1" width="8.6640625" style="1"/>
    <col min="2" max="2" width="8.5" style="1" bestFit="1" customWidth="1"/>
    <col min="3" max="3" width="8.6640625" style="1"/>
    <col min="4" max="4" width="13.08203125" style="1" bestFit="1" customWidth="1"/>
    <col min="5" max="16384" width="8.6640625" style="1"/>
  </cols>
  <sheetData>
    <row r="2" spans="2:8" x14ac:dyDescent="0.3">
      <c r="B2" s="202">
        <v>3.222</v>
      </c>
      <c r="C2" s="203"/>
      <c r="D2" s="203"/>
      <c r="E2" s="203"/>
      <c r="F2" s="203"/>
      <c r="G2" s="203"/>
      <c r="H2" s="203"/>
    </row>
    <row r="3" spans="2:8" x14ac:dyDescent="0.3">
      <c r="B3" s="58" t="s">
        <v>130</v>
      </c>
      <c r="C3" s="57" t="s">
        <v>129</v>
      </c>
      <c r="D3" s="8">
        <f>(1+C3)*D12</f>
        <v>3.3831000000000002</v>
      </c>
      <c r="F3" s="59" t="s">
        <v>117</v>
      </c>
      <c r="G3" s="51">
        <v>0</v>
      </c>
      <c r="H3" s="38">
        <f>B2</f>
        <v>3.222</v>
      </c>
    </row>
    <row r="4" spans="2:8" x14ac:dyDescent="0.3">
      <c r="B4" s="204" t="s">
        <v>128</v>
      </c>
      <c r="C4" s="57" t="s">
        <v>127</v>
      </c>
      <c r="D4" s="8">
        <f>(1+C4)*D12</f>
        <v>3.3508800000000001</v>
      </c>
      <c r="F4" s="207" t="s">
        <v>126</v>
      </c>
      <c r="G4" s="48" t="s">
        <v>1</v>
      </c>
      <c r="H4" s="8">
        <f>(1+G4)*H3</f>
        <v>3.2058900000000001</v>
      </c>
    </row>
    <row r="5" spans="2:8" x14ac:dyDescent="0.3">
      <c r="B5" s="205"/>
      <c r="C5" s="56" t="s">
        <v>125</v>
      </c>
      <c r="D5" s="53">
        <f>(1+C5)*D12</f>
        <v>3.3186599999999999</v>
      </c>
      <c r="F5" s="208"/>
      <c r="G5" s="48" t="s">
        <v>124</v>
      </c>
      <c r="H5" s="8">
        <f>(1+G5)*H3</f>
        <v>3.199446</v>
      </c>
    </row>
    <row r="6" spans="2:8" x14ac:dyDescent="0.3">
      <c r="B6" s="205"/>
      <c r="C6" s="52" t="s">
        <v>9</v>
      </c>
      <c r="D6" s="8">
        <f>(1+C6)*D12</f>
        <v>3.3025499999999997</v>
      </c>
      <c r="F6" s="208"/>
      <c r="G6" s="54" t="s">
        <v>123</v>
      </c>
      <c r="H6" s="53">
        <f>(1+G6)*H3</f>
        <v>3.1897799999999998</v>
      </c>
    </row>
    <row r="7" spans="2:8" x14ac:dyDescent="0.3">
      <c r="B7" s="205"/>
      <c r="C7" s="55" t="s">
        <v>122</v>
      </c>
      <c r="D7" s="53">
        <f>(1+C7)*D12</f>
        <v>3.2864400000000002</v>
      </c>
      <c r="F7" s="208"/>
      <c r="G7" s="48" t="s">
        <v>14</v>
      </c>
      <c r="H7" s="8">
        <f>(1+G7)*H3</f>
        <v>3.17367</v>
      </c>
    </row>
    <row r="8" spans="2:8" x14ac:dyDescent="0.3">
      <c r="B8" s="205"/>
      <c r="C8" s="52" t="s">
        <v>11</v>
      </c>
      <c r="D8" s="8">
        <f>(1+C8)*D12</f>
        <v>3.2703299999999995</v>
      </c>
      <c r="F8" s="208"/>
      <c r="G8" s="54" t="s">
        <v>121</v>
      </c>
      <c r="H8" s="53">
        <f>(1+G8)*H3</f>
        <v>3.1575599999999997</v>
      </c>
    </row>
    <row r="9" spans="2:8" x14ac:dyDescent="0.3">
      <c r="B9" s="205"/>
      <c r="C9" s="55" t="s">
        <v>120</v>
      </c>
      <c r="D9" s="53">
        <f>(1+C9)*D12</f>
        <v>3.2542200000000001</v>
      </c>
      <c r="F9" s="208"/>
      <c r="G9" s="48" t="s">
        <v>96</v>
      </c>
      <c r="H9" s="8">
        <f>(1+G9)*H3</f>
        <v>3.1414499999999999</v>
      </c>
    </row>
    <row r="10" spans="2:8" x14ac:dyDescent="0.3">
      <c r="B10" s="205"/>
      <c r="C10" s="52" t="s">
        <v>119</v>
      </c>
      <c r="D10" s="8">
        <f>(1+C10)*D12</f>
        <v>3.2445539999999995</v>
      </c>
      <c r="F10" s="208"/>
      <c r="G10" s="54" t="s">
        <v>118</v>
      </c>
      <c r="H10" s="53">
        <f>(1+G10)*H3</f>
        <v>3.12534</v>
      </c>
    </row>
    <row r="11" spans="2:8" x14ac:dyDescent="0.3">
      <c r="B11" s="206"/>
      <c r="C11" s="52" t="s">
        <v>0</v>
      </c>
      <c r="D11" s="8">
        <f>(1+C11)*D12</f>
        <v>3.2381099999999998</v>
      </c>
      <c r="F11" s="208"/>
      <c r="G11" s="48">
        <v>-0.04</v>
      </c>
      <c r="H11" s="8">
        <f>(1+G11)*H3</f>
        <v>3.0931199999999999</v>
      </c>
    </row>
    <row r="12" spans="2:8" x14ac:dyDescent="0.3">
      <c r="B12" s="38" t="s">
        <v>117</v>
      </c>
      <c r="C12" s="51">
        <v>0</v>
      </c>
      <c r="D12" s="50">
        <f>B2</f>
        <v>3.222</v>
      </c>
      <c r="F12" s="49" t="s">
        <v>116</v>
      </c>
      <c r="G12" s="48">
        <v>-0.05</v>
      </c>
      <c r="H12" s="8">
        <f>(1+G12)*H3</f>
        <v>3.0608999999999997</v>
      </c>
    </row>
  </sheetData>
  <mergeCells count="3">
    <mergeCell ref="B2:H2"/>
    <mergeCell ref="B4:B11"/>
    <mergeCell ref="F4:F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78FE-A1FA-4F5B-B51A-78D5DD8CEDA5}">
  <dimension ref="A2:E5"/>
  <sheetViews>
    <sheetView workbookViewId="0">
      <selection activeCell="E3" sqref="E3"/>
    </sheetView>
  </sheetViews>
  <sheetFormatPr defaultRowHeight="14" x14ac:dyDescent="0.3"/>
  <sheetData>
    <row r="2" spans="1:5" x14ac:dyDescent="0.3">
      <c r="A2" s="24" t="s">
        <v>74</v>
      </c>
      <c r="B2" s="24" t="s">
        <v>225</v>
      </c>
      <c r="C2" s="24" t="s">
        <v>226</v>
      </c>
      <c r="D2" s="24" t="s">
        <v>24</v>
      </c>
      <c r="E2" s="24" t="s">
        <v>227</v>
      </c>
    </row>
    <row r="3" spans="1:5" x14ac:dyDescent="0.3">
      <c r="A3" s="24">
        <v>700</v>
      </c>
      <c r="B3" s="23">
        <v>0.01</v>
      </c>
      <c r="C3" s="24">
        <v>7</v>
      </c>
      <c r="D3" s="24">
        <v>720</v>
      </c>
      <c r="E3" s="138">
        <f>A3*(1+B3/C3)^D3</f>
        <v>1956.5104223939998</v>
      </c>
    </row>
    <row r="4" spans="1:5" x14ac:dyDescent="0.3">
      <c r="A4" s="24">
        <v>1000</v>
      </c>
      <c r="B4" s="23">
        <v>0.01</v>
      </c>
      <c r="C4" s="24">
        <v>7</v>
      </c>
      <c r="D4" s="24">
        <v>720</v>
      </c>
      <c r="E4" s="138">
        <f t="shared" ref="E4:E5" si="0">A4*(1+B4/C4)^D4</f>
        <v>2795.0148891342856</v>
      </c>
    </row>
    <row r="5" spans="1:5" x14ac:dyDescent="0.3">
      <c r="A5" s="24">
        <v>1000</v>
      </c>
      <c r="B5" s="23">
        <v>0.02</v>
      </c>
      <c r="C5" s="24">
        <v>7</v>
      </c>
      <c r="D5" s="24">
        <v>720</v>
      </c>
      <c r="E5" s="138">
        <f t="shared" si="0"/>
        <v>7800.6703111703273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期望值</vt:lpstr>
      <vt:lpstr>主从对冲区间</vt:lpstr>
      <vt:lpstr>第一次连续下跌</vt:lpstr>
      <vt:lpstr>最初3天</vt:lpstr>
      <vt:lpstr>其它计算</vt:lpstr>
      <vt:lpstr>对冲百分比</vt:lpstr>
      <vt:lpstr>对冲</vt:lpstr>
      <vt:lpstr>旧对冲</vt:lpstr>
      <vt:lpstr>分7份</vt:lpstr>
      <vt:lpstr>百分比模板</vt:lpstr>
      <vt:lpstr>备忘</vt:lpstr>
      <vt:lpstr>对冲百分比(3位)</vt:lpstr>
      <vt:lpstr>多空合并</vt:lpstr>
      <vt:lpstr>多</vt:lpstr>
      <vt:lpstr>空</vt:lpstr>
      <vt:lpstr>对冲百分比 (4位)</vt:lpstr>
      <vt:lpstr>总览</vt:lpstr>
      <vt:lpstr>微利</vt:lpstr>
      <vt:lpstr>其它计算 (2)</vt:lpstr>
      <vt:lpstr>警报 (2)</vt:lpstr>
      <vt:lpstr>网格</vt:lpstr>
      <vt:lpstr>复投计划</vt:lpstr>
      <vt:lpstr>实验统计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2024-11-02T19:28:19Z</dcterms:modified>
</cp:coreProperties>
</file>