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aca7d13ca77d7c/Desktop/OpenOil/finance/clients/CT/datasets/eiti/"/>
    </mc:Choice>
  </mc:AlternateContent>
  <xr:revisionPtr revIDLastSave="0" documentId="8_{524FC872-772D-4B2E-90F1-21A16C18135B}" xr6:coauthVersionLast="47" xr6:coauthVersionMax="47" xr10:uidLastSave="{00000000-0000-0000-0000-000000000000}"/>
  <bookViews>
    <workbookView xWindow="-108" yWindow="-108" windowWidth="23256" windowHeight="12576" xr2:uid="{1F1B35CE-E2AE-4572-943B-3EECCDCB60CB}"/>
  </bookViews>
  <sheets>
    <sheet name="Summary" sheetId="26" r:id="rId1"/>
    <sheet name="Calcs" sheetId="24" r:id="rId2"/>
    <sheet name="Inputs" sheetId="23" r:id="rId3"/>
    <sheet name="Sources" sheetId="27" r:id="rId4"/>
  </sheets>
  <externalReferences>
    <externalReference r:id="rId5"/>
  </externalReferences>
  <definedNames>
    <definedName name="_xlnm._FilterDatabase" localSheetId="0" hidden="1">Summary!$B$2:$M$22</definedName>
    <definedName name="CHK_TOL">[1]Inputs!$F$248</definedName>
  </definedNames>
  <calcPr calcId="191028" iterateDelta="1.0000000000000001E-5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6" i="26" l="1"/>
  <c r="H24" i="26"/>
  <c r="G23" i="26"/>
  <c r="L45" i="26"/>
  <c r="K45" i="26"/>
  <c r="M13" i="26"/>
  <c r="K13" i="26"/>
  <c r="G13" i="26"/>
  <c r="I13" i="26" s="1"/>
  <c r="M12" i="26"/>
  <c r="K12" i="26"/>
  <c r="G12" i="26"/>
  <c r="I12" i="26" s="1"/>
  <c r="E23" i="26"/>
  <c r="G5" i="27"/>
  <c r="A1" i="27"/>
  <c r="G6" i="27" l="1"/>
  <c r="I6" i="27" s="1"/>
  <c r="I5" i="27"/>
  <c r="E55" i="24"/>
  <c r="D55" i="24"/>
  <c r="C55" i="24"/>
  <c r="B55" i="24"/>
  <c r="E54" i="24"/>
  <c r="D54" i="24"/>
  <c r="C54" i="24"/>
  <c r="B54" i="24"/>
  <c r="D50" i="24"/>
  <c r="C50" i="24"/>
  <c r="B50" i="24"/>
  <c r="D49" i="24"/>
  <c r="C49" i="24"/>
  <c r="B49" i="24"/>
  <c r="E45" i="24"/>
  <c r="D45" i="24"/>
  <c r="C45" i="24"/>
  <c r="B45" i="24"/>
  <c r="L95" i="23" l="1"/>
  <c r="L87" i="23"/>
  <c r="L79" i="23"/>
  <c r="L71" i="23"/>
  <c r="L63" i="23"/>
  <c r="L55" i="23"/>
  <c r="L47" i="23"/>
  <c r="L39" i="23"/>
  <c r="L31" i="23"/>
  <c r="L23" i="23"/>
  <c r="L7" i="23"/>
  <c r="L94" i="23"/>
  <c r="L86" i="23"/>
  <c r="L78" i="23"/>
  <c r="L70" i="23"/>
  <c r="L62" i="23"/>
  <c r="L54" i="23"/>
  <c r="L46" i="23"/>
  <c r="L38" i="23"/>
  <c r="L30" i="23"/>
  <c r="L22" i="23"/>
  <c r="L14" i="23"/>
  <c r="L81" i="23"/>
  <c r="L73" i="23"/>
  <c r="L57" i="23"/>
  <c r="L49" i="23"/>
  <c r="L41" i="23"/>
  <c r="L25" i="23"/>
  <c r="L17" i="23"/>
  <c r="L9" i="23"/>
  <c r="L88" i="23"/>
  <c r="L80" i="23"/>
  <c r="L64" i="23"/>
  <c r="L48" i="23"/>
  <c r="L40" i="23"/>
  <c r="L24" i="23"/>
  <c r="L16" i="23"/>
  <c r="L8" i="23"/>
  <c r="L15" i="23"/>
  <c r="L93" i="23"/>
  <c r="L85" i="23"/>
  <c r="L77" i="23"/>
  <c r="L69" i="23"/>
  <c r="L61" i="23"/>
  <c r="L53" i="23"/>
  <c r="L45" i="23"/>
  <c r="L37" i="23"/>
  <c r="L29" i="23"/>
  <c r="L21" i="23"/>
  <c r="L13" i="23"/>
  <c r="L76" i="23"/>
  <c r="L68" i="23"/>
  <c r="L60" i="23"/>
  <c r="L52" i="23"/>
  <c r="L44" i="23"/>
  <c r="L36" i="23"/>
  <c r="L28" i="23"/>
  <c r="L20" i="23"/>
  <c r="L12" i="23"/>
  <c r="L89" i="23"/>
  <c r="L65" i="23"/>
  <c r="L33" i="23"/>
  <c r="L72" i="23"/>
  <c r="L56" i="23"/>
  <c r="L32" i="23"/>
  <c r="L92" i="23"/>
  <c r="L84" i="23"/>
  <c r="L91" i="23"/>
  <c r="L83" i="23"/>
  <c r="L75" i="23"/>
  <c r="L67" i="23"/>
  <c r="L59" i="23"/>
  <c r="L51" i="23"/>
  <c r="L43" i="23"/>
  <c r="L35" i="23"/>
  <c r="L27" i="23"/>
  <c r="L19" i="23"/>
  <c r="L11" i="23"/>
  <c r="L90" i="23"/>
  <c r="L82" i="23"/>
  <c r="L74" i="23"/>
  <c r="L66" i="23"/>
  <c r="L58" i="23"/>
  <c r="L50" i="23"/>
  <c r="L42" i="23"/>
  <c r="L34" i="23"/>
  <c r="L26" i="23"/>
  <c r="L18" i="23"/>
  <c r="L10" i="23"/>
  <c r="L6" i="23"/>
  <c r="G8" i="27"/>
  <c r="I8" i="27" s="1"/>
  <c r="C23" i="26" s="1"/>
  <c r="L108" i="23"/>
  <c r="L112" i="23"/>
  <c r="L107" i="23"/>
  <c r="L105" i="23"/>
  <c r="L115" i="23"/>
  <c r="L113" i="23"/>
  <c r="L104" i="23"/>
  <c r="G9" i="27"/>
  <c r="I9" i="27" s="1"/>
  <c r="H23" i="26" s="1"/>
  <c r="G7" i="27"/>
  <c r="I7" i="27" s="1"/>
  <c r="D41" i="24"/>
  <c r="C41" i="24"/>
  <c r="B41" i="24"/>
  <c r="D39" i="24"/>
  <c r="C39" i="24"/>
  <c r="B39" i="24"/>
  <c r="D18" i="24"/>
  <c r="C18" i="24"/>
  <c r="B18" i="24"/>
  <c r="D16" i="24"/>
  <c r="C16" i="24"/>
  <c r="B16" i="24"/>
  <c r="E26" i="24"/>
  <c r="D26" i="24"/>
  <c r="C26" i="24"/>
  <c r="B26" i="24"/>
  <c r="E22" i="24"/>
  <c r="D22" i="24"/>
  <c r="C22" i="24"/>
  <c r="B22" i="24"/>
  <c r="E31" i="24"/>
  <c r="D31" i="24"/>
  <c r="C31" i="24"/>
  <c r="B31" i="24"/>
  <c r="E30" i="24"/>
  <c r="D30" i="24"/>
  <c r="C30" i="24"/>
  <c r="B30" i="24"/>
  <c r="K22" i="26"/>
  <c r="G19" i="26"/>
  <c r="I19" i="26" s="1"/>
  <c r="G18" i="26"/>
  <c r="I18" i="26" s="1"/>
  <c r="G9" i="26"/>
  <c r="I9" i="26" s="1"/>
  <c r="G22" i="26"/>
  <c r="I22" i="26" s="1"/>
  <c r="G21" i="26"/>
  <c r="G20" i="26"/>
  <c r="I20" i="26" s="1"/>
  <c r="G17" i="26"/>
  <c r="I17" i="26" s="1"/>
  <c r="G16" i="26"/>
  <c r="I16" i="26" s="1"/>
  <c r="G15" i="26"/>
  <c r="I15" i="26" s="1"/>
  <c r="G14" i="26"/>
  <c r="I14" i="26" s="1"/>
  <c r="G11" i="26"/>
  <c r="I11" i="26" s="1"/>
  <c r="G10" i="26"/>
  <c r="I10" i="26" s="1"/>
  <c r="G8" i="26"/>
  <c r="I8" i="26" s="1"/>
  <c r="G7" i="26"/>
  <c r="I7" i="26" s="1"/>
  <c r="G6" i="26"/>
  <c r="I6" i="26" s="1"/>
  <c r="G5" i="26"/>
  <c r="I5" i="26" s="1"/>
  <c r="M19" i="26"/>
  <c r="M18" i="26"/>
  <c r="M9" i="26"/>
  <c r="M22" i="26"/>
  <c r="M21" i="26"/>
  <c r="M20" i="26"/>
  <c r="M17" i="26"/>
  <c r="M16" i="26"/>
  <c r="M15" i="26"/>
  <c r="M14" i="26"/>
  <c r="M11" i="26"/>
  <c r="M10" i="26"/>
  <c r="M8" i="26"/>
  <c r="M7" i="26"/>
  <c r="M6" i="26"/>
  <c r="M5" i="26"/>
  <c r="K19" i="26"/>
  <c r="K18" i="26"/>
  <c r="K9" i="26"/>
  <c r="K21" i="26"/>
  <c r="K20" i="26"/>
  <c r="K17" i="26"/>
  <c r="K16" i="26"/>
  <c r="K15" i="26"/>
  <c r="K14" i="26"/>
  <c r="K11" i="26"/>
  <c r="K10" i="26"/>
  <c r="K8" i="26"/>
  <c r="K7" i="26"/>
  <c r="K6" i="26"/>
  <c r="K5" i="26"/>
  <c r="I21" i="26"/>
  <c r="M4" i="26"/>
  <c r="K4" i="26"/>
  <c r="G4" i="26"/>
  <c r="I4" i="26" s="1"/>
  <c r="M3" i="26"/>
  <c r="K3" i="26"/>
  <c r="G3" i="26"/>
  <c r="I3" i="26" s="1"/>
  <c r="D15" i="24"/>
  <c r="C15" i="24"/>
  <c r="B15" i="24"/>
  <c r="F45" i="24"/>
  <c r="F55" i="24"/>
  <c r="F54" i="24"/>
  <c r="B38" i="24"/>
  <c r="B40" i="24" s="1"/>
  <c r="C17" i="24" l="1"/>
  <c r="C19" i="24" s="1"/>
  <c r="L122" i="23"/>
  <c r="L121" i="23"/>
  <c r="L120" i="23"/>
  <c r="L119" i="23"/>
  <c r="L118" i="23"/>
  <c r="D38" i="24"/>
  <c r="C38" i="24"/>
  <c r="C40" i="24" s="1"/>
  <c r="C42" i="24" s="1"/>
  <c r="F46" i="24" s="1"/>
  <c r="B32" i="24"/>
  <c r="F26" i="24"/>
  <c r="F22" i="24"/>
  <c r="F31" i="24"/>
  <c r="F30" i="24"/>
  <c r="E46" i="24" l="1"/>
  <c r="D46" i="24"/>
  <c r="C46" i="24"/>
  <c r="C48" i="24"/>
  <c r="C51" i="24" s="1"/>
  <c r="E33" i="24"/>
  <c r="C33" i="24"/>
  <c r="F23" i="24"/>
  <c r="F27" i="24" s="1"/>
  <c r="C23" i="24"/>
  <c r="C27" i="24" s="1"/>
  <c r="D23" i="24"/>
  <c r="D27" i="24" s="1"/>
  <c r="E23" i="24"/>
  <c r="E27" i="24" s="1"/>
  <c r="D56" i="24" l="1"/>
  <c r="D57" i="24" s="1"/>
  <c r="F9" i="24" s="1"/>
  <c r="C56" i="24"/>
  <c r="E56" i="24"/>
  <c r="F56" i="24"/>
  <c r="F57" i="24" s="1"/>
  <c r="F11" i="24" s="1"/>
  <c r="E34" i="24"/>
  <c r="F5" i="24" s="1"/>
  <c r="C34" i="24"/>
  <c r="F3" i="24" s="1"/>
  <c r="C57" i="24" l="1"/>
  <c r="F8" i="24" s="1"/>
  <c r="G8" i="24" s="1"/>
  <c r="E57" i="24"/>
  <c r="F10" i="24" s="1"/>
  <c r="G11" i="24" s="1"/>
  <c r="K95" i="23" l="1"/>
  <c r="J95" i="23"/>
  <c r="I95" i="23"/>
  <c r="K94" i="23"/>
  <c r="J94" i="23"/>
  <c r="I94" i="23"/>
  <c r="K93" i="23"/>
  <c r="J93" i="23"/>
  <c r="I93" i="23"/>
  <c r="K92" i="23"/>
  <c r="J92" i="23"/>
  <c r="I92" i="23"/>
  <c r="K91" i="23"/>
  <c r="J91" i="23"/>
  <c r="I91" i="23"/>
  <c r="K90" i="23"/>
  <c r="J90" i="23"/>
  <c r="I90" i="23"/>
  <c r="K89" i="23"/>
  <c r="J89" i="23"/>
  <c r="I89" i="23"/>
  <c r="K88" i="23"/>
  <c r="J88" i="23"/>
  <c r="I88" i="23"/>
  <c r="K87" i="23"/>
  <c r="J87" i="23"/>
  <c r="I87" i="23"/>
  <c r="K86" i="23"/>
  <c r="J86" i="23"/>
  <c r="I86" i="23"/>
  <c r="K85" i="23"/>
  <c r="J85" i="23"/>
  <c r="I85" i="23"/>
  <c r="K84" i="23"/>
  <c r="J84" i="23"/>
  <c r="I84" i="23"/>
  <c r="K83" i="23"/>
  <c r="J83" i="23"/>
  <c r="I83" i="23"/>
  <c r="K82" i="23"/>
  <c r="J82" i="23"/>
  <c r="I82" i="23"/>
  <c r="K81" i="23"/>
  <c r="J81" i="23"/>
  <c r="I81" i="23"/>
  <c r="K80" i="23"/>
  <c r="J80" i="23"/>
  <c r="I80" i="23"/>
  <c r="K79" i="23"/>
  <c r="J79" i="23"/>
  <c r="I79" i="23"/>
  <c r="K78" i="23"/>
  <c r="J78" i="23"/>
  <c r="I78" i="23"/>
  <c r="K77" i="23"/>
  <c r="J77" i="23"/>
  <c r="I77" i="23"/>
  <c r="K76" i="23"/>
  <c r="J76" i="23"/>
  <c r="I76" i="23"/>
  <c r="K75" i="23"/>
  <c r="J75" i="23"/>
  <c r="I75" i="23"/>
  <c r="K74" i="23"/>
  <c r="J74" i="23"/>
  <c r="I74" i="23"/>
  <c r="K73" i="23"/>
  <c r="J73" i="23"/>
  <c r="I73" i="23"/>
  <c r="K72" i="23"/>
  <c r="J72" i="23"/>
  <c r="I72" i="23"/>
  <c r="K71" i="23"/>
  <c r="J71" i="23"/>
  <c r="I71" i="23"/>
  <c r="K70" i="23"/>
  <c r="J70" i="23"/>
  <c r="I70" i="23"/>
  <c r="K69" i="23"/>
  <c r="J69" i="23"/>
  <c r="I69" i="23"/>
  <c r="K68" i="23"/>
  <c r="J68" i="23"/>
  <c r="I68" i="23"/>
  <c r="K67" i="23"/>
  <c r="J67" i="23"/>
  <c r="I67" i="23"/>
  <c r="K66" i="23"/>
  <c r="J66" i="23"/>
  <c r="I66" i="23"/>
  <c r="K65" i="23"/>
  <c r="J65" i="23"/>
  <c r="I65" i="23"/>
  <c r="K64" i="23"/>
  <c r="J64" i="23"/>
  <c r="I64" i="23"/>
  <c r="K63" i="23"/>
  <c r="J63" i="23"/>
  <c r="I63" i="23"/>
  <c r="K62" i="23"/>
  <c r="J62" i="23"/>
  <c r="I62" i="23"/>
  <c r="K61" i="23"/>
  <c r="J61" i="23"/>
  <c r="I61" i="23"/>
  <c r="K60" i="23"/>
  <c r="J60" i="23"/>
  <c r="I60" i="23"/>
  <c r="K59" i="23"/>
  <c r="J59" i="23"/>
  <c r="I59" i="23"/>
  <c r="K58" i="23"/>
  <c r="J58" i="23"/>
  <c r="I58" i="23"/>
  <c r="K57" i="23"/>
  <c r="J57" i="23"/>
  <c r="I57" i="23"/>
  <c r="K56" i="23"/>
  <c r="J56" i="23"/>
  <c r="I56" i="23"/>
  <c r="K55" i="23"/>
  <c r="J55" i="23"/>
  <c r="I55" i="23"/>
  <c r="K54" i="23"/>
  <c r="J54" i="23"/>
  <c r="I54" i="23"/>
  <c r="K53" i="23"/>
  <c r="J53" i="23"/>
  <c r="I53" i="23"/>
  <c r="K52" i="23"/>
  <c r="J52" i="23"/>
  <c r="I52" i="23"/>
  <c r="K51" i="23"/>
  <c r="J51" i="23"/>
  <c r="I51" i="23"/>
  <c r="K50" i="23"/>
  <c r="J50" i="23"/>
  <c r="I50" i="23"/>
  <c r="K49" i="23"/>
  <c r="J49" i="23"/>
  <c r="I49" i="23"/>
  <c r="K48" i="23"/>
  <c r="J48" i="23"/>
  <c r="I48" i="23"/>
  <c r="K47" i="23"/>
  <c r="J47" i="23"/>
  <c r="I47" i="23"/>
  <c r="K46" i="23"/>
  <c r="J46" i="23"/>
  <c r="I46" i="23"/>
  <c r="K45" i="23"/>
  <c r="J45" i="23"/>
  <c r="I45" i="23"/>
  <c r="K44" i="23"/>
  <c r="J44" i="23"/>
  <c r="I44" i="23"/>
  <c r="K43" i="23"/>
  <c r="J43" i="23"/>
  <c r="I43" i="23"/>
  <c r="K42" i="23"/>
  <c r="J42" i="23"/>
  <c r="I42" i="23"/>
  <c r="K41" i="23"/>
  <c r="J41" i="23"/>
  <c r="I41" i="23"/>
  <c r="K40" i="23"/>
  <c r="J40" i="23"/>
  <c r="I40" i="23"/>
  <c r="K39" i="23"/>
  <c r="J39" i="23"/>
  <c r="I39" i="23"/>
  <c r="K38" i="23"/>
  <c r="J38" i="23"/>
  <c r="I38" i="23"/>
  <c r="K37" i="23"/>
  <c r="J37" i="23"/>
  <c r="I37" i="23"/>
  <c r="K36" i="23"/>
  <c r="J36" i="23"/>
  <c r="I36" i="23"/>
  <c r="K35" i="23"/>
  <c r="J35" i="23"/>
  <c r="I35" i="23"/>
  <c r="K34" i="23"/>
  <c r="J34" i="23"/>
  <c r="I34" i="23"/>
  <c r="K33" i="23"/>
  <c r="J33" i="23"/>
  <c r="I33" i="23"/>
  <c r="K32" i="23"/>
  <c r="J32" i="23"/>
  <c r="I32" i="23"/>
  <c r="K31" i="23"/>
  <c r="J31" i="23"/>
  <c r="I31" i="23"/>
  <c r="K30" i="23"/>
  <c r="J30" i="23"/>
  <c r="I30" i="23"/>
  <c r="K29" i="23"/>
  <c r="J29" i="23"/>
  <c r="I29" i="23"/>
  <c r="K28" i="23"/>
  <c r="J28" i="23"/>
  <c r="I28" i="23"/>
  <c r="K27" i="23"/>
  <c r="J27" i="23"/>
  <c r="I27" i="23"/>
  <c r="K26" i="23"/>
  <c r="J26" i="23"/>
  <c r="I26" i="23"/>
  <c r="K25" i="23"/>
  <c r="J25" i="23"/>
  <c r="I25" i="23"/>
  <c r="K24" i="23"/>
  <c r="J24" i="23"/>
  <c r="I24" i="23"/>
  <c r="K23" i="23"/>
  <c r="J23" i="23"/>
  <c r="I23" i="23"/>
  <c r="K22" i="23"/>
  <c r="J22" i="23"/>
  <c r="I22" i="23"/>
  <c r="K21" i="23"/>
  <c r="J21" i="23"/>
  <c r="I21" i="23"/>
  <c r="K20" i="23"/>
  <c r="J20" i="23"/>
  <c r="I20" i="23"/>
  <c r="K19" i="23"/>
  <c r="J19" i="23"/>
  <c r="I19" i="23"/>
  <c r="K18" i="23"/>
  <c r="J18" i="23"/>
  <c r="I18" i="23"/>
  <c r="K17" i="23"/>
  <c r="J17" i="23"/>
  <c r="I17" i="23"/>
  <c r="K16" i="23"/>
  <c r="J16" i="23"/>
  <c r="I16" i="23"/>
  <c r="K15" i="23"/>
  <c r="J15" i="23"/>
  <c r="I15" i="23"/>
  <c r="K14" i="23"/>
  <c r="J14" i="23"/>
  <c r="I14" i="23"/>
  <c r="K13" i="23"/>
  <c r="J13" i="23"/>
  <c r="I13" i="23"/>
  <c r="K12" i="23"/>
  <c r="J12" i="23"/>
  <c r="I12" i="23"/>
  <c r="K11" i="23"/>
  <c r="J11" i="23"/>
  <c r="I11" i="23"/>
  <c r="K10" i="23"/>
  <c r="J10" i="23"/>
  <c r="I10" i="23"/>
  <c r="K9" i="23"/>
  <c r="J9" i="23"/>
  <c r="I9" i="23"/>
  <c r="K8" i="23"/>
  <c r="J8" i="23"/>
  <c r="I8" i="23"/>
  <c r="K7" i="23"/>
  <c r="J7" i="23"/>
  <c r="I7" i="23"/>
  <c r="K6" i="23"/>
  <c r="J6" i="23"/>
  <c r="I6" i="23"/>
  <c r="D32" i="24" l="1"/>
  <c r="D33" i="24" l="1"/>
  <c r="D34" i="24" s="1"/>
  <c r="F4" i="24" s="1"/>
  <c r="F32" i="24"/>
  <c r="F33" i="24" s="1"/>
  <c r="F34" i="24" s="1"/>
  <c r="F6" i="24" s="1"/>
</calcChain>
</file>

<file path=xl/sharedStrings.xml><?xml version="1.0" encoding="utf-8"?>
<sst xmlns="http://schemas.openxmlformats.org/spreadsheetml/2006/main" count="280" uniqueCount="203">
  <si>
    <t>switch</t>
  </si>
  <si>
    <t>e9m3</t>
  </si>
  <si>
    <t>Barrels per tonne</t>
  </si>
  <si>
    <t>PJ / e9m3</t>
  </si>
  <si>
    <t>Thousands in a million</t>
  </si>
  <si>
    <t>constant</t>
  </si>
  <si>
    <t>PJ</t>
  </si>
  <si>
    <t>e3bbls</t>
  </si>
  <si>
    <t>e3boe</t>
  </si>
  <si>
    <t>e6boe / e9m3</t>
  </si>
  <si>
    <t>High</t>
  </si>
  <si>
    <t>Current Gas Production</t>
  </si>
  <si>
    <t>Gas Total Emissions</t>
  </si>
  <si>
    <t>Methane Accounting Option</t>
  </si>
  <si>
    <t>RESULTS</t>
  </si>
  <si>
    <t>PARAMETERS</t>
  </si>
  <si>
    <t>Country</t>
  </si>
  <si>
    <t>Syria</t>
  </si>
  <si>
    <t>Democratic Republic of Congo</t>
  </si>
  <si>
    <t>Uzbekistan</t>
  </si>
  <si>
    <t>Yemen</t>
  </si>
  <si>
    <t>Albania</t>
  </si>
  <si>
    <t>Algeria</t>
  </si>
  <si>
    <t>Venezuela</t>
  </si>
  <si>
    <t>Myanmar</t>
  </si>
  <si>
    <t>Cameroon</t>
  </si>
  <si>
    <t>Canada</t>
  </si>
  <si>
    <t>Iran</t>
  </si>
  <si>
    <t>Turkmenistan</t>
  </si>
  <si>
    <t>Tunisia</t>
  </si>
  <si>
    <t>Indonesia</t>
  </si>
  <si>
    <t>Georgia</t>
  </si>
  <si>
    <t>Sudan</t>
  </si>
  <si>
    <t>Mauritania</t>
  </si>
  <si>
    <t>Trinidad and Tobago</t>
  </si>
  <si>
    <t>Iraq</t>
  </si>
  <si>
    <t>Gabon</t>
  </si>
  <si>
    <t>Malaysia</t>
  </si>
  <si>
    <t>Nigeria</t>
  </si>
  <si>
    <t>Pakistan</t>
  </si>
  <si>
    <t>Ukraine</t>
  </si>
  <si>
    <t>Oman</t>
  </si>
  <si>
    <t>Philippines</t>
  </si>
  <si>
    <t>Niger</t>
  </si>
  <si>
    <t>United States</t>
  </si>
  <si>
    <t>Chile</t>
  </si>
  <si>
    <t>Libya</t>
  </si>
  <si>
    <t>Peru</t>
  </si>
  <si>
    <t>Republic of Congo</t>
  </si>
  <si>
    <t>Egypt</t>
  </si>
  <si>
    <t>Brazil</t>
  </si>
  <si>
    <t>Chad</t>
  </si>
  <si>
    <t>Mexico</t>
  </si>
  <si>
    <t>Guatemala</t>
  </si>
  <si>
    <t>Lithuania</t>
  </si>
  <si>
    <t>Russian Federation</t>
  </si>
  <si>
    <t>Kazakhstan</t>
  </si>
  <si>
    <t>Kyrgyzstan</t>
  </si>
  <si>
    <t>Tajikistan</t>
  </si>
  <si>
    <t>Morocco</t>
  </si>
  <si>
    <t>Ecuador</t>
  </si>
  <si>
    <t>Barbados</t>
  </si>
  <si>
    <t>Argentina</t>
  </si>
  <si>
    <t>Australia</t>
  </si>
  <si>
    <t>Cuba</t>
  </si>
  <si>
    <t>Bolivia</t>
  </si>
  <si>
    <t>Latvia</t>
  </si>
  <si>
    <t>Vietnam</t>
  </si>
  <si>
    <t>Belize</t>
  </si>
  <si>
    <t>Bulgaria</t>
  </si>
  <si>
    <t>India</t>
  </si>
  <si>
    <t>Papua New Guinea</t>
  </si>
  <si>
    <t>Turkey</t>
  </si>
  <si>
    <t>Colombia</t>
  </si>
  <si>
    <t>Afghanistan</t>
  </si>
  <si>
    <t>Suriname</t>
  </si>
  <si>
    <t>Poland</t>
  </si>
  <si>
    <t>New Zealand</t>
  </si>
  <si>
    <t>United Kingdom</t>
  </si>
  <si>
    <t>Hungary</t>
  </si>
  <si>
    <t>Croatia</t>
  </si>
  <si>
    <t>Germany</t>
  </si>
  <si>
    <t>Japan</t>
  </si>
  <si>
    <t>Serbia</t>
  </si>
  <si>
    <t>Austria</t>
  </si>
  <si>
    <t>France</t>
  </si>
  <si>
    <t>Angola</t>
  </si>
  <si>
    <t>Romania</t>
  </si>
  <si>
    <t>United Arab Emirates</t>
  </si>
  <si>
    <t>China</t>
  </si>
  <si>
    <t>Kuwait</t>
  </si>
  <si>
    <t>Qatar</t>
  </si>
  <si>
    <t>Equatorial Guinea</t>
  </si>
  <si>
    <t>Jordan</t>
  </si>
  <si>
    <t>Azerbaijan</t>
  </si>
  <si>
    <t>Cote d'Ivoire</t>
  </si>
  <si>
    <t>Italy</t>
  </si>
  <si>
    <t>Greece</t>
  </si>
  <si>
    <t>Brunei</t>
  </si>
  <si>
    <t>Norway</t>
  </si>
  <si>
    <t>Ghana</t>
  </si>
  <si>
    <t>Thailand</t>
  </si>
  <si>
    <t>Bahrain</t>
  </si>
  <si>
    <t>Saudi Arabia</t>
  </si>
  <si>
    <t>Spain</t>
  </si>
  <si>
    <t>Netherlands</t>
  </si>
  <si>
    <t>Denmark</t>
  </si>
  <si>
    <t>Opgee</t>
  </si>
  <si>
    <t>IPCC Energy Conversion</t>
  </si>
  <si>
    <t>option</t>
  </si>
  <si>
    <t>scenario</t>
  </si>
  <si>
    <t>Downstream Emissions (scope 3)</t>
  </si>
  <si>
    <t>Upstream Emissions (Scopes 1,2)</t>
  </si>
  <si>
    <t>Projection Source</t>
  </si>
  <si>
    <t>e9feet3</t>
  </si>
  <si>
    <t>WA</t>
  </si>
  <si>
    <t>Mid</t>
  </si>
  <si>
    <t>Selected</t>
  </si>
  <si>
    <t>Low</t>
  </si>
  <si>
    <t>IPCC Scope 3 Emissions Range</t>
  </si>
  <si>
    <t>source</t>
  </si>
  <si>
    <t>Upstream Emissions Ranges</t>
  </si>
  <si>
    <t>barrels</t>
  </si>
  <si>
    <t>e3tons</t>
  </si>
  <si>
    <t>Crude Oil Volume</t>
  </si>
  <si>
    <t>Oil: Terajoules per e3tons</t>
  </si>
  <si>
    <t>Tons CO2E per TJ (oil)</t>
  </si>
  <si>
    <t>Scope 3 Combustion</t>
  </si>
  <si>
    <t>Upstream Emissions</t>
  </si>
  <si>
    <t>IEA (GWP100)</t>
  </si>
  <si>
    <t>IEA (GWP20)</t>
  </si>
  <si>
    <t>Step 1: Conversion into mass</t>
  </si>
  <si>
    <t>Oil: Terajoules</t>
  </si>
  <si>
    <t>Step 3: Conversion of Energy into Emissions (IPCC ranges)</t>
  </si>
  <si>
    <t>Step 2: Conversion of mass into energy (IPCC ranges)</t>
  </si>
  <si>
    <t xml:space="preserve">Tons CO2E </t>
  </si>
  <si>
    <t>Tons CO2E</t>
  </si>
  <si>
    <t>GAS WORKINGS AND RESULTS</t>
  </si>
  <si>
    <t>OIL WORKINGS AND RESULTS</t>
  </si>
  <si>
    <t>Gas Volume</t>
  </si>
  <si>
    <t>Meter to foot3 conversion</t>
  </si>
  <si>
    <t>Scope 3: Combustion</t>
  </si>
  <si>
    <t>Step 1: Conversion into energy</t>
  </si>
  <si>
    <t>Step 2: Conversion of energy into emissions</t>
  </si>
  <si>
    <t>Step 1: Conversion into boe</t>
  </si>
  <si>
    <t>Step 2: Conversion from boe into CO2E</t>
  </si>
  <si>
    <t>IEA GWP100 (kgco2e / boe)</t>
  </si>
  <si>
    <t>IEA GWP20 (kgco2e / boe)</t>
  </si>
  <si>
    <t>Oil</t>
  </si>
  <si>
    <t>Gas</t>
  </si>
  <si>
    <t>Oil Total Emissions co2etons</t>
  </si>
  <si>
    <t>Gas PJ</t>
  </si>
  <si>
    <t>e3bbls/day</t>
  </si>
  <si>
    <t>Taxes</t>
  </si>
  <si>
    <t>Tax $ / ton CO2E</t>
  </si>
  <si>
    <t>Congo-Brazzaville</t>
  </si>
  <si>
    <t>Mongolia</t>
  </si>
  <si>
    <t>Senegal</t>
  </si>
  <si>
    <t>Oil (kbpd)</t>
  </si>
  <si>
    <t>Gas (bcf)</t>
  </si>
  <si>
    <t>Mid-Range Opgee-based emissions methodology</t>
  </si>
  <si>
    <t>Low IPCC Global emissions</t>
  </si>
  <si>
    <t>High IPCC Global emissions</t>
  </si>
  <si>
    <t>CO2Etons</t>
  </si>
  <si>
    <t>Total CO2Etons</t>
  </si>
  <si>
    <t>Days in a year</t>
  </si>
  <si>
    <t>days</t>
  </si>
  <si>
    <t>feet</t>
  </si>
  <si>
    <t>Tons CO2E per TJ (gas)</t>
  </si>
  <si>
    <t>Petajoules per e6m3</t>
  </si>
  <si>
    <t>Barrels of oil equivalent per e6m3</t>
  </si>
  <si>
    <t>Scenario Options</t>
  </si>
  <si>
    <t>IEA Upstream Emissions factors</t>
  </si>
  <si>
    <t>10th pct</t>
  </si>
  <si>
    <t>90th pct</t>
  </si>
  <si>
    <t>General Constants</t>
  </si>
  <si>
    <t>Crude Oil</t>
  </si>
  <si>
    <t>Natural Gas</t>
  </si>
  <si>
    <t>IPCC Constants</t>
  </si>
  <si>
    <t>5th pct</t>
  </si>
  <si>
    <t>95th pct</t>
  </si>
  <si>
    <t>MJ to kgco2e / boe conversion</t>
  </si>
  <si>
    <t>Mean</t>
  </si>
  <si>
    <t>Country Opgee crude oil emissions ratios</t>
  </si>
  <si>
    <t>Subject</t>
  </si>
  <si>
    <t>Source Note</t>
  </si>
  <si>
    <t>Source Note (in Roman)</t>
  </si>
  <si>
    <t>Source</t>
  </si>
  <si>
    <t>Comments</t>
  </si>
  <si>
    <t>Hyperlink</t>
  </si>
  <si>
    <t>Discussion</t>
  </si>
  <si>
    <t>Opgee Crude Oil upstream emissions</t>
  </si>
  <si>
    <t>Label</t>
  </si>
  <si>
    <t>IEA January 2021 anonymised project data set</t>
  </si>
  <si>
    <t xml:space="preserve">BP Statistical Analysis 2020 </t>
  </si>
  <si>
    <t>EIA Historical Data</t>
  </si>
  <si>
    <t>Sources</t>
  </si>
  <si>
    <t>EITI Tax Payment Data</t>
  </si>
  <si>
    <t>Volume Conversion ratios</t>
  </si>
  <si>
    <t>2018 Historical Production</t>
  </si>
  <si>
    <t>2018 Tax Payments</t>
  </si>
  <si>
    <t>GWP100</t>
  </si>
  <si>
    <t xml:space="preserve">Mexico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</si>
</sst>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.0_);\(#,##0.0\);&quot;-  &quot;;&quot; &quot;@&quot; &quot;"/>
    <numFmt numFmtId="165" formatCode="#,##0.0000_);\(#,##0.0000\);&quot;-  &quot;;&quot; &quot;@&quot; &quot;"/>
    <numFmt numFmtId="166" formatCode="###0_);\(###0\);&quot;-  &quot;;&quot; &quot;@&quot; &quot;"/>
    <numFmt numFmtId="167" formatCode="#,##0.00_);\(#,##0.00\);&quot;-  &quot;;&quot; &quot;@&quot; &quot;"/>
    <numFmt numFmtId="168" formatCode="#,##0_);\(#,##0\);&quot;-  &quot;;&quot; &quot;@&quot; &quot;"/>
    <numFmt numFmtId="169" formatCode="0.00%_);\-0.00%_);&quot;-  &quot;;&quot; &quot;@&quot; &quot;"/>
    <numFmt numFmtId="170" formatCode="dd\ mmm\ yyyy_);\(###0\);&quot;-  &quot;;&quot; &quot;@&quot; &quot;"/>
    <numFmt numFmtId="171" formatCode="dd\ mmm\ yy_);\(###0\);&quot;-  &quot;;&quot; &quot;@&quot; &quot;"/>
    <numFmt numFmtId="172" formatCode="#,##0.0;[Red]\(#,##0.0\);\-"/>
    <numFmt numFmtId="173" formatCode="0.0"/>
    <numFmt numFmtId="174" formatCode="###\ ###\ ##0."/>
    <numFmt numFmtId="175" formatCode="###0.00_);\(###0.00\);&quot;-  &quot;;&quot; &quot;@&quot; &quot;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AF"/>
        <bgColor indexed="64"/>
      </patternFill>
    </fill>
    <fill>
      <patternFill patternType="solid">
        <fgColor theme="8"/>
      </patternFill>
    </fill>
    <fill>
      <patternFill patternType="solid">
        <fgColor rgb="FF0000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9">
    <xf numFmtId="168" fontId="0" fillId="0" borderId="0" applyFont="0" applyFill="0" applyBorder="0" applyProtection="0">
      <alignment vertical="top"/>
    </xf>
    <xf numFmtId="165" fontId="1" fillId="0" borderId="0" applyFont="0" applyFill="0" applyBorder="0" applyProtection="0">
      <alignment vertical="top"/>
    </xf>
    <xf numFmtId="166" fontId="1" fillId="0" borderId="0" applyFont="0" applyFill="0" applyBorder="0" applyProtection="0">
      <alignment vertical="top"/>
    </xf>
    <xf numFmtId="169" fontId="1" fillId="0" borderId="0" applyFont="0" applyFill="0" applyBorder="0" applyProtection="0">
      <alignment vertical="top"/>
    </xf>
    <xf numFmtId="169" fontId="1" fillId="0" borderId="0" applyFont="0" applyFill="0" applyBorder="0" applyProtection="0">
      <alignment vertical="top"/>
    </xf>
    <xf numFmtId="170" fontId="1" fillId="0" borderId="0" applyFont="0" applyFill="0" applyBorder="0" applyProtection="0">
      <alignment vertical="top"/>
    </xf>
    <xf numFmtId="171" fontId="1" fillId="0" borderId="0" applyFont="0" applyFill="0" applyBorder="0" applyProtection="0">
      <alignment vertical="top"/>
    </xf>
    <xf numFmtId="0" fontId="8" fillId="4" borderId="0" applyNumberFormat="0" applyBorder="0" applyAlignment="0" applyProtection="0"/>
    <xf numFmtId="168" fontId="25" fillId="0" borderId="0" applyNumberFormat="0" applyFill="0" applyBorder="0" applyAlignment="0" applyProtection="0">
      <alignment vertical="top"/>
    </xf>
  </cellStyleXfs>
  <cellXfs count="199">
    <xf numFmtId="168" fontId="0" fillId="0" borderId="0" xfId="0">
      <alignment vertical="top"/>
    </xf>
    <xf numFmtId="168" fontId="2" fillId="0" borderId="0" xfId="0" applyFont="1">
      <alignment vertical="top"/>
    </xf>
    <xf numFmtId="168" fontId="3" fillId="0" borderId="0" xfId="0" applyFont="1">
      <alignment vertical="top"/>
    </xf>
    <xf numFmtId="165" fontId="5" fillId="3" borderId="11" xfId="1" applyFont="1" applyFill="1" applyBorder="1">
      <alignment vertical="top"/>
    </xf>
    <xf numFmtId="168" fontId="5" fillId="0" borderId="0" xfId="0" applyFont="1" applyFill="1" applyBorder="1">
      <alignment vertical="top"/>
    </xf>
    <xf numFmtId="168" fontId="5" fillId="0" borderId="0" xfId="0" applyFont="1">
      <alignment vertical="top"/>
    </xf>
    <xf numFmtId="168" fontId="2" fillId="0" borderId="0" xfId="0" applyFont="1" applyFill="1" applyBorder="1">
      <alignment vertical="top"/>
    </xf>
    <xf numFmtId="172" fontId="10" fillId="5" borderId="0" xfId="7" applyNumberFormat="1" applyFont="1" applyFill="1" applyAlignment="1">
      <alignment vertical="center"/>
    </xf>
    <xf numFmtId="168" fontId="2" fillId="5" borderId="0" xfId="0" applyFont="1" applyFill="1">
      <alignment vertical="top"/>
    </xf>
    <xf numFmtId="172" fontId="11" fillId="5" borderId="0" xfId="7" applyNumberFormat="1" applyFont="1" applyFill="1"/>
    <xf numFmtId="168" fontId="2" fillId="0" borderId="0" xfId="0" applyFont="1" applyFill="1">
      <alignment vertical="top"/>
    </xf>
    <xf numFmtId="168" fontId="3" fillId="5" borderId="0" xfId="0" applyFont="1" applyFill="1">
      <alignment vertical="top"/>
    </xf>
    <xf numFmtId="168" fontId="3" fillId="0" borderId="0" xfId="0" applyFont="1" applyFill="1">
      <alignment vertical="top"/>
    </xf>
    <xf numFmtId="168" fontId="5" fillId="3" borderId="11" xfId="0" applyFont="1" applyFill="1" applyBorder="1" applyAlignment="1">
      <alignment horizontal="right" vertical="top"/>
    </xf>
    <xf numFmtId="168" fontId="5" fillId="0" borderId="0" xfId="0" applyFont="1" applyBorder="1">
      <alignment vertical="top"/>
    </xf>
    <xf numFmtId="168" fontId="5" fillId="0" borderId="13" xfId="0" applyFont="1" applyBorder="1">
      <alignment vertical="top"/>
    </xf>
    <xf numFmtId="168" fontId="9" fillId="2" borderId="8" xfId="0" applyFont="1" applyFill="1" applyBorder="1">
      <alignment vertical="top"/>
    </xf>
    <xf numFmtId="168" fontId="5" fillId="0" borderId="7" xfId="0" applyFont="1" applyFill="1" applyBorder="1">
      <alignment vertical="top"/>
    </xf>
    <xf numFmtId="168" fontId="6" fillId="2" borderId="3" xfId="0" applyFont="1" applyFill="1" applyBorder="1" applyAlignment="1">
      <alignment horizontal="center" vertical="top"/>
    </xf>
    <xf numFmtId="168" fontId="5" fillId="3" borderId="11" xfId="0" applyFont="1" applyFill="1" applyBorder="1">
      <alignment vertical="top"/>
    </xf>
    <xf numFmtId="168" fontId="2" fillId="0" borderId="13" xfId="0" applyFont="1" applyFill="1" applyBorder="1">
      <alignment vertical="top"/>
    </xf>
    <xf numFmtId="168" fontId="5" fillId="0" borderId="0" xfId="0" applyFont="1" applyFill="1">
      <alignment vertical="top"/>
    </xf>
    <xf numFmtId="168" fontId="3" fillId="0" borderId="0" xfId="0" applyFont="1" applyFill="1" applyBorder="1">
      <alignment vertical="top"/>
    </xf>
    <xf numFmtId="168" fontId="3" fillId="0" borderId="7" xfId="0" applyFont="1" applyFill="1" applyBorder="1">
      <alignment vertical="top"/>
    </xf>
    <xf numFmtId="168" fontId="5" fillId="0" borderId="4" xfId="0" applyFont="1" applyFill="1" applyBorder="1">
      <alignment vertical="top"/>
    </xf>
    <xf numFmtId="168" fontId="5" fillId="0" borderId="5" xfId="0" applyFont="1" applyBorder="1">
      <alignment vertical="top"/>
    </xf>
    <xf numFmtId="168" fontId="3" fillId="0" borderId="13" xfId="0" applyFont="1" applyBorder="1">
      <alignment vertical="top"/>
    </xf>
    <xf numFmtId="168" fontId="5" fillId="0" borderId="5" xfId="0" applyFont="1" applyFill="1" applyBorder="1">
      <alignment vertical="top"/>
    </xf>
    <xf numFmtId="168" fontId="3" fillId="0" borderId="0" xfId="0" applyFont="1" applyBorder="1">
      <alignment vertical="top"/>
    </xf>
    <xf numFmtId="168" fontId="3" fillId="0" borderId="13" xfId="0" applyFont="1" applyFill="1" applyBorder="1">
      <alignment vertical="top"/>
    </xf>
    <xf numFmtId="168" fontId="5" fillId="5" borderId="0" xfId="0" applyFont="1" applyFill="1">
      <alignment vertical="top"/>
    </xf>
    <xf numFmtId="168" fontId="9" fillId="2" borderId="1" xfId="0" applyFont="1" applyFill="1" applyBorder="1">
      <alignment vertical="top"/>
    </xf>
    <xf numFmtId="168" fontId="3" fillId="2" borderId="9" xfId="0" applyFont="1" applyFill="1" applyBorder="1">
      <alignment vertical="top"/>
    </xf>
    <xf numFmtId="168" fontId="9" fillId="0" borderId="0" xfId="0" applyFont="1" applyFill="1" applyBorder="1">
      <alignment vertical="top"/>
    </xf>
    <xf numFmtId="168" fontId="3" fillId="2" borderId="2" xfId="0" applyFont="1" applyFill="1" applyBorder="1">
      <alignment vertical="top"/>
    </xf>
    <xf numFmtId="167" fontId="5" fillId="3" borderId="11" xfId="0" applyNumberFormat="1" applyFont="1" applyFill="1" applyBorder="1">
      <alignment vertical="top"/>
    </xf>
    <xf numFmtId="172" fontId="10" fillId="5" borderId="0" xfId="7" applyNumberFormat="1" applyFont="1" applyFill="1"/>
    <xf numFmtId="165" fontId="5" fillId="0" borderId="0" xfId="1" applyFont="1" applyFill="1" applyBorder="1">
      <alignment vertical="top"/>
    </xf>
    <xf numFmtId="168" fontId="14" fillId="0" borderId="0" xfId="0" applyFont="1" applyFill="1" applyAlignment="1">
      <alignment horizontal="left"/>
    </xf>
    <xf numFmtId="167" fontId="0" fillId="0" borderId="0" xfId="0" applyNumberFormat="1">
      <alignment vertical="top"/>
    </xf>
    <xf numFmtId="165" fontId="0" fillId="3" borderId="11" xfId="1" applyFont="1" applyFill="1" applyBorder="1">
      <alignment vertical="top"/>
    </xf>
    <xf numFmtId="168" fontId="5" fillId="0" borderId="9" xfId="0" applyFont="1" applyFill="1" applyBorder="1">
      <alignment vertical="top"/>
    </xf>
    <xf numFmtId="168" fontId="15" fillId="0" borderId="0" xfId="0" applyFont="1">
      <alignment vertical="top"/>
    </xf>
    <xf numFmtId="168" fontId="16" fillId="0" borderId="0" xfId="0" applyFont="1">
      <alignment vertical="top"/>
    </xf>
    <xf numFmtId="168" fontId="17" fillId="0" borderId="0" xfId="0" applyFont="1">
      <alignment vertical="top"/>
    </xf>
    <xf numFmtId="168" fontId="18" fillId="0" borderId="0" xfId="0" applyFont="1">
      <alignment vertical="top"/>
    </xf>
    <xf numFmtId="167" fontId="5" fillId="0" borderId="0" xfId="0" applyNumberFormat="1" applyFont="1" applyFill="1" applyBorder="1">
      <alignment vertical="top"/>
    </xf>
    <xf numFmtId="168" fontId="19" fillId="0" borderId="0" xfId="0" applyFont="1">
      <alignment vertical="top"/>
    </xf>
    <xf numFmtId="168" fontId="17" fillId="3" borderId="11" xfId="0" applyFont="1" applyFill="1" applyBorder="1">
      <alignment vertical="top"/>
    </xf>
    <xf numFmtId="168" fontId="17" fillId="3" borderId="12" xfId="0" applyFont="1" applyFill="1" applyBorder="1">
      <alignment vertical="top"/>
    </xf>
    <xf numFmtId="165" fontId="3" fillId="0" borderId="0" xfId="1" applyFont="1" applyFill="1" applyBorder="1">
      <alignment vertical="top"/>
    </xf>
    <xf numFmtId="167" fontId="3" fillId="0" borderId="0" xfId="0" applyNumberFormat="1" applyFont="1" applyFill="1" applyBorder="1">
      <alignment vertical="top"/>
    </xf>
    <xf numFmtId="167" fontId="5" fillId="3" borderId="11" xfId="1" applyNumberFormat="1" applyFont="1" applyFill="1" applyBorder="1">
      <alignment vertical="top"/>
    </xf>
    <xf numFmtId="168" fontId="5" fillId="2" borderId="0" xfId="0" applyFont="1" applyFill="1" applyBorder="1">
      <alignment vertical="top"/>
    </xf>
    <xf numFmtId="168" fontId="2" fillId="2" borderId="0" xfId="0" applyFont="1" applyFill="1" applyBorder="1">
      <alignment vertical="top"/>
    </xf>
    <xf numFmtId="175" fontId="2" fillId="0" borderId="0" xfId="2" applyNumberFormat="1" applyFont="1" applyFill="1" applyBorder="1">
      <alignment vertical="top"/>
    </xf>
    <xf numFmtId="167" fontId="2" fillId="0" borderId="0" xfId="0" applyNumberFormat="1" applyFont="1" applyFill="1" applyBorder="1">
      <alignment vertical="top"/>
    </xf>
    <xf numFmtId="168" fontId="3" fillId="2" borderId="0" xfId="0" applyFont="1" applyFill="1">
      <alignment vertical="top"/>
    </xf>
    <xf numFmtId="167" fontId="5" fillId="3" borderId="12" xfId="0" applyNumberFormat="1" applyFont="1" applyFill="1" applyBorder="1">
      <alignment vertical="top"/>
    </xf>
    <xf numFmtId="165" fontId="5" fillId="0" borderId="0" xfId="0" applyNumberFormat="1" applyFont="1" applyFill="1" applyBorder="1">
      <alignment vertical="top"/>
    </xf>
    <xf numFmtId="168" fontId="5" fillId="2" borderId="0" xfId="0" applyFont="1" applyFill="1">
      <alignment vertical="top"/>
    </xf>
    <xf numFmtId="168" fontId="9" fillId="2" borderId="10" xfId="0" applyFont="1" applyFill="1" applyBorder="1" applyAlignment="1">
      <alignment horizontal="right" vertical="top"/>
    </xf>
    <xf numFmtId="168" fontId="2" fillId="0" borderId="13" xfId="0" applyNumberFormat="1" applyFont="1" applyFill="1" applyBorder="1">
      <alignment vertical="top"/>
    </xf>
    <xf numFmtId="168" fontId="3" fillId="0" borderId="5" xfId="0" applyFont="1" applyFill="1" applyBorder="1">
      <alignment vertical="top"/>
    </xf>
    <xf numFmtId="168" fontId="3" fillId="0" borderId="6" xfId="0" applyFont="1" applyFill="1" applyBorder="1">
      <alignment vertical="top"/>
    </xf>
    <xf numFmtId="168" fontId="2" fillId="0" borderId="9" xfId="0" applyFont="1" applyBorder="1">
      <alignment vertical="top"/>
    </xf>
    <xf numFmtId="168" fontId="2" fillId="0" borderId="9" xfId="0" applyFont="1" applyFill="1" applyBorder="1">
      <alignment vertical="top"/>
    </xf>
    <xf numFmtId="168" fontId="2" fillId="0" borderId="10" xfId="0" applyFont="1" applyBorder="1">
      <alignment vertical="top"/>
    </xf>
    <xf numFmtId="168" fontId="9" fillId="0" borderId="13" xfId="0" applyFont="1" applyBorder="1" applyAlignment="1">
      <alignment horizontal="right" vertical="top"/>
    </xf>
    <xf numFmtId="175" fontId="2" fillId="0" borderId="13" xfId="2" applyNumberFormat="1" applyFont="1" applyFill="1" applyBorder="1">
      <alignment vertical="top"/>
    </xf>
    <xf numFmtId="175" fontId="2" fillId="0" borderId="6" xfId="2" applyNumberFormat="1" applyFont="1" applyFill="1" applyBorder="1">
      <alignment vertical="top"/>
    </xf>
    <xf numFmtId="168" fontId="9" fillId="2" borderId="3" xfId="0" applyFont="1" applyFill="1" applyBorder="1" applyAlignment="1">
      <alignment horizontal="right" vertical="top"/>
    </xf>
    <xf numFmtId="175" fontId="2" fillId="0" borderId="3" xfId="2" applyNumberFormat="1" applyFont="1" applyFill="1" applyBorder="1">
      <alignment vertical="top"/>
    </xf>
    <xf numFmtId="168" fontId="5" fillId="2" borderId="1" xfId="0" applyFont="1" applyFill="1" applyBorder="1">
      <alignment vertical="top"/>
    </xf>
    <xf numFmtId="168" fontId="9" fillId="2" borderId="2" xfId="0" applyFont="1" applyFill="1" applyBorder="1">
      <alignment vertical="top"/>
    </xf>
    <xf numFmtId="168" fontId="5" fillId="2" borderId="2" xfId="0" applyFont="1" applyFill="1" applyBorder="1">
      <alignment vertical="top"/>
    </xf>
    <xf numFmtId="165" fontId="5" fillId="3" borderId="0" xfId="1" applyFont="1" applyFill="1" applyBorder="1">
      <alignment vertical="top"/>
    </xf>
    <xf numFmtId="175" fontId="2" fillId="0" borderId="10" xfId="2" applyNumberFormat="1" applyFont="1" applyFill="1" applyBorder="1">
      <alignment vertical="top"/>
    </xf>
    <xf numFmtId="168" fontId="5" fillId="0" borderId="9" xfId="0" applyFont="1" applyBorder="1">
      <alignment vertical="top"/>
    </xf>
    <xf numFmtId="165" fontId="5" fillId="0" borderId="0" xfId="0" applyNumberFormat="1" applyFont="1" applyBorder="1" applyAlignment="1">
      <alignment vertical="top"/>
    </xf>
    <xf numFmtId="168" fontId="5" fillId="0" borderId="0" xfId="0" applyNumberFormat="1" applyFont="1" applyBorder="1" applyAlignment="1">
      <alignment vertical="top"/>
    </xf>
    <xf numFmtId="168" fontId="5" fillId="3" borderId="0" xfId="0" applyNumberFormat="1" applyFont="1" applyFill="1" applyBorder="1" applyAlignment="1">
      <alignment vertical="top"/>
    </xf>
    <xf numFmtId="168" fontId="5" fillId="0" borderId="8" xfId="0" applyFont="1" applyFill="1" applyBorder="1">
      <alignment vertical="top"/>
    </xf>
    <xf numFmtId="174" fontId="2" fillId="0" borderId="0" xfId="0" applyNumberFormat="1" applyFont="1" applyFill="1" applyBorder="1">
      <alignment vertical="top"/>
    </xf>
    <xf numFmtId="175" fontId="18" fillId="0" borderId="6" xfId="2" applyNumberFormat="1" applyFont="1" applyFill="1" applyBorder="1">
      <alignment vertical="top"/>
    </xf>
    <xf numFmtId="167" fontId="5" fillId="2" borderId="0" xfId="0" applyNumberFormat="1" applyFont="1" applyFill="1" applyBorder="1">
      <alignment vertical="top"/>
    </xf>
    <xf numFmtId="168" fontId="9" fillId="0" borderId="13" xfId="0" applyFont="1" applyFill="1" applyBorder="1" applyAlignment="1">
      <alignment horizontal="right" vertical="top"/>
    </xf>
    <xf numFmtId="165" fontId="2" fillId="0" borderId="0" xfId="0" applyNumberFormat="1" applyFont="1" applyFill="1" applyBorder="1" applyAlignment="1">
      <alignment vertical="top"/>
    </xf>
    <xf numFmtId="165" fontId="5" fillId="0" borderId="0" xfId="0" applyNumberFormat="1" applyFont="1" applyFill="1" applyBorder="1" applyAlignment="1">
      <alignment vertical="top"/>
    </xf>
    <xf numFmtId="168" fontId="5" fillId="0" borderId="0" xfId="0" applyNumberFormat="1" applyFont="1" applyFill="1" applyBorder="1" applyAlignment="1">
      <alignment vertical="top"/>
    </xf>
    <xf numFmtId="167" fontId="5" fillId="0" borderId="0" xfId="1" applyNumberFormat="1" applyFont="1" applyFill="1" applyBorder="1">
      <alignment vertical="top"/>
    </xf>
    <xf numFmtId="168" fontId="9" fillId="0" borderId="0" xfId="0" applyNumberFormat="1" applyFont="1" applyFill="1" applyBorder="1">
      <alignment vertical="top"/>
    </xf>
    <xf numFmtId="168" fontId="9" fillId="2" borderId="1" xfId="0" applyFont="1" applyFill="1" applyBorder="1" applyAlignment="1">
      <alignment horizontal="center" vertical="top"/>
    </xf>
    <xf numFmtId="168" fontId="5" fillId="0" borderId="15" xfId="0" applyFont="1" applyFill="1" applyBorder="1">
      <alignment vertical="top"/>
    </xf>
    <xf numFmtId="168" fontId="5" fillId="0" borderId="15" xfId="0" applyNumberFormat="1" applyFont="1" applyFill="1" applyBorder="1">
      <alignment vertical="top"/>
    </xf>
    <xf numFmtId="167" fontId="5" fillId="0" borderId="15" xfId="0" applyNumberFormat="1" applyFont="1" applyFill="1" applyBorder="1">
      <alignment vertical="top"/>
    </xf>
    <xf numFmtId="168" fontId="5" fillId="0" borderId="15" xfId="0" applyFont="1" applyBorder="1">
      <alignment vertical="top"/>
    </xf>
    <xf numFmtId="168" fontId="18" fillId="2" borderId="5" xfId="0" applyFont="1" applyFill="1" applyBorder="1" applyAlignment="1">
      <alignment horizontal="center" vertical="top"/>
    </xf>
    <xf numFmtId="168" fontId="9" fillId="2" borderId="5" xfId="0" applyFont="1" applyFill="1" applyBorder="1" applyAlignment="1">
      <alignment horizontal="center" vertical="top"/>
    </xf>
    <xf numFmtId="168" fontId="9" fillId="2" borderId="6" xfId="0" applyFont="1" applyFill="1" applyBorder="1" applyAlignment="1">
      <alignment horizontal="center" vertical="top"/>
    </xf>
    <xf numFmtId="168" fontId="9" fillId="2" borderId="15" xfId="0" applyFont="1" applyFill="1" applyBorder="1">
      <alignment vertical="top"/>
    </xf>
    <xf numFmtId="167" fontId="9" fillId="2" borderId="15" xfId="0" applyNumberFormat="1" applyFont="1" applyFill="1" applyBorder="1">
      <alignment vertical="top"/>
    </xf>
    <xf numFmtId="168" fontId="20" fillId="0" borderId="15" xfId="0" applyFont="1" applyFill="1" applyBorder="1">
      <alignment vertical="top"/>
    </xf>
    <xf numFmtId="168" fontId="6" fillId="0" borderId="0" xfId="0" applyNumberFormat="1" applyFont="1">
      <alignment vertical="top"/>
    </xf>
    <xf numFmtId="173" fontId="6" fillId="3" borderId="11" xfId="0" applyNumberFormat="1" applyFont="1" applyFill="1" applyBorder="1">
      <alignment vertical="top"/>
    </xf>
    <xf numFmtId="168" fontId="7" fillId="0" borderId="0" xfId="0" applyFont="1">
      <alignment vertical="top"/>
    </xf>
    <xf numFmtId="175" fontId="5" fillId="0" borderId="0" xfId="2" applyNumberFormat="1" applyFont="1" applyFill="1" applyBorder="1">
      <alignment vertical="top"/>
    </xf>
    <xf numFmtId="168" fontId="5" fillId="0" borderId="13" xfId="0" applyNumberFormat="1" applyFont="1" applyFill="1" applyBorder="1">
      <alignment vertical="top"/>
    </xf>
    <xf numFmtId="168" fontId="5" fillId="0" borderId="6" xfId="0" applyNumberFormat="1" applyFont="1" applyBorder="1">
      <alignment vertical="top"/>
    </xf>
    <xf numFmtId="168" fontId="9" fillId="0" borderId="10" xfId="0" applyNumberFormat="1" applyFont="1" applyFill="1" applyBorder="1">
      <alignment vertical="top"/>
    </xf>
    <xf numFmtId="175" fontId="5" fillId="0" borderId="13" xfId="2" applyNumberFormat="1" applyFont="1" applyFill="1" applyBorder="1">
      <alignment vertical="top"/>
    </xf>
    <xf numFmtId="168" fontId="2" fillId="0" borderId="10" xfId="0" applyFont="1" applyFill="1" applyBorder="1">
      <alignment vertical="top"/>
    </xf>
    <xf numFmtId="168" fontId="5" fillId="3" borderId="16" xfId="0" applyFont="1" applyFill="1" applyBorder="1" applyAlignment="1">
      <alignment horizontal="right" vertical="top"/>
    </xf>
    <xf numFmtId="168" fontId="2" fillId="0" borderId="6" xfId="0" applyFont="1" applyFill="1" applyBorder="1">
      <alignment vertical="top"/>
    </xf>
    <xf numFmtId="168" fontId="5" fillId="3" borderId="14" xfId="0" applyFont="1" applyFill="1" applyBorder="1" applyAlignment="1">
      <alignment horizontal="right" vertical="top"/>
    </xf>
    <xf numFmtId="168" fontId="2" fillId="2" borderId="2" xfId="0" applyFont="1" applyFill="1" applyBorder="1">
      <alignment vertical="top"/>
    </xf>
    <xf numFmtId="168" fontId="2" fillId="2" borderId="3" xfId="0" applyFont="1" applyFill="1" applyBorder="1">
      <alignment vertical="top"/>
    </xf>
    <xf numFmtId="168" fontId="5" fillId="3" borderId="12" xfId="0" applyFont="1" applyFill="1" applyBorder="1" applyAlignment="1">
      <alignment horizontal="right" vertical="top"/>
    </xf>
    <xf numFmtId="168" fontId="6" fillId="2" borderId="2" xfId="0" applyFont="1" applyFill="1" applyBorder="1" applyAlignment="1">
      <alignment horizontal="center" vertical="top"/>
    </xf>
    <xf numFmtId="168" fontId="5" fillId="2" borderId="3" xfId="0" applyFont="1" applyFill="1" applyBorder="1">
      <alignment vertical="top"/>
    </xf>
    <xf numFmtId="168" fontId="20" fillId="0" borderId="7" xfId="0" applyFont="1" applyBorder="1">
      <alignment vertical="top"/>
    </xf>
    <xf numFmtId="168" fontId="5" fillId="0" borderId="13" xfId="0" applyFont="1" applyFill="1" applyBorder="1">
      <alignment vertical="top"/>
    </xf>
    <xf numFmtId="168" fontId="20" fillId="0" borderId="7" xfId="0" applyFont="1" applyFill="1" applyBorder="1">
      <alignment vertical="top"/>
    </xf>
    <xf numFmtId="168" fontId="20" fillId="0" borderId="4" xfId="0" applyFont="1" applyFill="1" applyBorder="1">
      <alignment vertical="top"/>
    </xf>
    <xf numFmtId="168" fontId="5" fillId="0" borderId="6" xfId="0" applyFont="1" applyFill="1" applyBorder="1">
      <alignment vertical="top"/>
    </xf>
    <xf numFmtId="168" fontId="21" fillId="0" borderId="8" xfId="0" applyFont="1" applyBorder="1">
      <alignment vertical="top"/>
    </xf>
    <xf numFmtId="168" fontId="20" fillId="0" borderId="8" xfId="0" applyFont="1" applyBorder="1">
      <alignment vertical="top"/>
    </xf>
    <xf numFmtId="175" fontId="5" fillId="0" borderId="10" xfId="2" applyNumberFormat="1" applyFont="1" applyFill="1" applyBorder="1">
      <alignment vertical="top"/>
    </xf>
    <xf numFmtId="168" fontId="2" fillId="0" borderId="15" xfId="0" applyNumberFormat="1" applyFont="1" applyFill="1" applyBorder="1">
      <alignment vertical="top"/>
    </xf>
    <xf numFmtId="168" fontId="4" fillId="0" borderId="15" xfId="0" applyNumberFormat="1" applyFont="1" applyFill="1" applyBorder="1">
      <alignment vertical="top"/>
    </xf>
    <xf numFmtId="168" fontId="4" fillId="0" borderId="15" xfId="0" applyNumberFormat="1" applyFont="1" applyBorder="1">
      <alignment vertical="top"/>
    </xf>
    <xf numFmtId="167" fontId="4" fillId="0" borderId="15" xfId="0" applyNumberFormat="1" applyFont="1" applyFill="1" applyBorder="1">
      <alignment vertical="top"/>
    </xf>
    <xf numFmtId="3" fontId="5" fillId="0" borderId="15" xfId="2" applyNumberFormat="1" applyFont="1" applyFill="1" applyBorder="1">
      <alignment vertical="top"/>
    </xf>
    <xf numFmtId="168" fontId="5" fillId="0" borderId="15" xfId="0" applyFont="1" applyBorder="1" applyAlignment="1">
      <alignment horizontal="center" vertical="top"/>
    </xf>
    <xf numFmtId="168" fontId="9" fillId="0" borderId="15" xfId="0" applyFont="1" applyBorder="1">
      <alignment vertical="top"/>
    </xf>
    <xf numFmtId="167" fontId="2" fillId="0" borderId="15" xfId="0" applyNumberFormat="1" applyFont="1" applyFill="1" applyBorder="1">
      <alignment vertical="top"/>
    </xf>
    <xf numFmtId="167" fontId="4" fillId="0" borderId="15" xfId="1" applyNumberFormat="1" applyFont="1" applyFill="1" applyBorder="1">
      <alignment vertical="top"/>
    </xf>
    <xf numFmtId="168" fontId="2" fillId="0" borderId="15" xfId="0" applyFont="1" applyBorder="1">
      <alignment vertical="top"/>
    </xf>
    <xf numFmtId="167" fontId="5" fillId="0" borderId="15" xfId="0" applyNumberFormat="1" applyFont="1" applyBorder="1">
      <alignment vertical="top"/>
    </xf>
    <xf numFmtId="168" fontId="9" fillId="0" borderId="15" xfId="0" applyFont="1" applyFill="1" applyBorder="1">
      <alignment vertical="top"/>
    </xf>
    <xf numFmtId="168" fontId="20" fillId="0" borderId="15" xfId="0" applyFont="1" applyBorder="1">
      <alignment vertical="top"/>
    </xf>
    <xf numFmtId="174" fontId="2" fillId="0" borderId="15" xfId="0" applyNumberFormat="1" applyFont="1" applyFill="1" applyBorder="1">
      <alignment vertical="top"/>
    </xf>
    <xf numFmtId="165" fontId="4" fillId="0" borderId="15" xfId="1" applyNumberFormat="1" applyFont="1" applyFill="1" applyBorder="1">
      <alignment vertical="top"/>
    </xf>
    <xf numFmtId="165" fontId="5" fillId="0" borderId="15" xfId="0" applyNumberFormat="1" applyFont="1" applyFill="1" applyBorder="1">
      <alignment vertical="top"/>
    </xf>
    <xf numFmtId="165" fontId="4" fillId="0" borderId="15" xfId="0" applyNumberFormat="1" applyFont="1" applyBorder="1" applyAlignment="1">
      <alignment vertical="top"/>
    </xf>
    <xf numFmtId="164" fontId="4" fillId="0" borderId="15" xfId="4" applyNumberFormat="1" applyFont="1" applyBorder="1">
      <alignment vertical="top"/>
    </xf>
    <xf numFmtId="168" fontId="9" fillId="0" borderId="15" xfId="0" applyNumberFormat="1" applyFont="1" applyFill="1" applyBorder="1">
      <alignment vertical="top"/>
    </xf>
    <xf numFmtId="168" fontId="4" fillId="0" borderId="15" xfId="0" applyNumberFormat="1" applyFont="1" applyBorder="1" applyAlignment="1">
      <alignment vertical="top"/>
    </xf>
    <xf numFmtId="168" fontId="4" fillId="0" borderId="15" xfId="0" applyNumberFormat="1" applyFont="1" applyFill="1" applyBorder="1" applyAlignment="1">
      <alignment vertical="top"/>
    </xf>
    <xf numFmtId="165" fontId="5" fillId="0" borderId="3" xfId="1" applyFont="1" applyFill="1" applyBorder="1">
      <alignment vertical="top"/>
    </xf>
    <xf numFmtId="165" fontId="4" fillId="0" borderId="17" xfId="0" applyNumberFormat="1" applyFont="1" applyBorder="1" applyAlignment="1">
      <alignment vertical="top"/>
    </xf>
    <xf numFmtId="168" fontId="20" fillId="0" borderId="11" xfId="0" applyFont="1" applyFill="1" applyBorder="1">
      <alignment vertical="top"/>
    </xf>
    <xf numFmtId="168" fontId="20" fillId="0" borderId="8" xfId="0" applyFont="1" applyFill="1" applyBorder="1">
      <alignment vertical="top"/>
    </xf>
    <xf numFmtId="168" fontId="3" fillId="0" borderId="15" xfId="0" applyFont="1" applyBorder="1" applyAlignment="1">
      <alignment horizontal="center" vertical="top"/>
    </xf>
    <xf numFmtId="168" fontId="3" fillId="0" borderId="15" xfId="0" applyFont="1" applyBorder="1">
      <alignment vertical="top"/>
    </xf>
    <xf numFmtId="168" fontId="0" fillId="0" borderId="0" xfId="0" applyAlignment="1">
      <alignment horizontal="center" vertical="top"/>
    </xf>
    <xf numFmtId="168" fontId="22" fillId="0" borderId="0" xfId="0" applyFont="1">
      <alignment vertical="top"/>
    </xf>
    <xf numFmtId="168" fontId="6" fillId="0" borderId="0" xfId="0" applyFont="1">
      <alignment vertical="top"/>
    </xf>
    <xf numFmtId="168" fontId="6" fillId="0" borderId="0" xfId="0" applyFont="1" applyBorder="1">
      <alignment vertical="top"/>
    </xf>
    <xf numFmtId="164" fontId="5" fillId="0" borderId="0" xfId="4" applyNumberFormat="1" applyFont="1" applyBorder="1">
      <alignment vertical="top"/>
    </xf>
    <xf numFmtId="168" fontId="6" fillId="0" borderId="0" xfId="0" applyFont="1" applyFill="1">
      <alignment vertical="top"/>
    </xf>
    <xf numFmtId="168" fontId="6" fillId="0" borderId="0" xfId="0" applyFont="1" applyFill="1" applyBorder="1">
      <alignment vertical="top"/>
    </xf>
    <xf numFmtId="168" fontId="23" fillId="0" borderId="0" xfId="0" applyFont="1" applyFill="1">
      <alignment vertical="top"/>
    </xf>
    <xf numFmtId="168" fontId="24" fillId="0" borderId="0" xfId="0" applyFont="1" applyFill="1" applyAlignment="1">
      <alignment horizontal="center"/>
    </xf>
    <xf numFmtId="168" fontId="15" fillId="0" borderId="0" xfId="0" applyFont="1" applyFill="1" applyBorder="1">
      <alignment vertical="top"/>
    </xf>
    <xf numFmtId="168" fontId="14" fillId="6" borderId="0" xfId="0" applyFont="1" applyFill="1" applyBorder="1" applyAlignment="1">
      <alignment vertical="top" wrapText="1"/>
    </xf>
    <xf numFmtId="168" fontId="14" fillId="7" borderId="0" xfId="0" applyFont="1" applyFill="1" applyBorder="1" applyAlignment="1">
      <alignment vertical="top" wrapText="1"/>
    </xf>
    <xf numFmtId="169" fontId="0" fillId="6" borderId="0" xfId="3" applyFont="1" applyFill="1" applyBorder="1">
      <alignment vertical="top"/>
    </xf>
    <xf numFmtId="169" fontId="26" fillId="6" borderId="0" xfId="3" applyFont="1" applyFill="1" applyBorder="1">
      <alignment vertical="top"/>
    </xf>
    <xf numFmtId="168" fontId="0" fillId="6" borderId="0" xfId="0" applyFont="1" applyFill="1" applyBorder="1">
      <alignment vertical="top"/>
    </xf>
    <xf numFmtId="168" fontId="0" fillId="8" borderId="0" xfId="0" applyFont="1" applyFill="1" applyBorder="1">
      <alignment vertical="top"/>
    </xf>
    <xf numFmtId="168" fontId="0" fillId="0" borderId="0" xfId="0" applyFont="1" applyFill="1" applyBorder="1">
      <alignment vertical="top"/>
    </xf>
    <xf numFmtId="168" fontId="25" fillId="0" borderId="0" xfId="8" applyFill="1" applyBorder="1" applyAlignment="1">
      <alignment vertical="top"/>
    </xf>
    <xf numFmtId="168" fontId="18" fillId="0" borderId="0" xfId="0" applyFont="1" applyFill="1">
      <alignment vertical="top"/>
    </xf>
    <xf numFmtId="168" fontId="0" fillId="0" borderId="0" xfId="0" applyFill="1">
      <alignment vertical="top"/>
    </xf>
    <xf numFmtId="166" fontId="18" fillId="0" borderId="0" xfId="2" applyFont="1">
      <alignment vertical="top"/>
    </xf>
    <xf numFmtId="166" fontId="16" fillId="0" borderId="0" xfId="2" applyFont="1">
      <alignment vertical="top"/>
    </xf>
    <xf numFmtId="168" fontId="16" fillId="0" borderId="0" xfId="0" applyFont="1" applyFill="1">
      <alignment vertical="top"/>
    </xf>
    <xf numFmtId="168" fontId="7" fillId="6" borderId="0" xfId="0" applyFont="1" applyFill="1" applyBorder="1">
      <alignment vertical="top"/>
    </xf>
    <xf numFmtId="168" fontId="7" fillId="8" borderId="0" xfId="0" applyFont="1" applyFill="1" applyBorder="1">
      <alignment vertical="top"/>
    </xf>
    <xf numFmtId="168" fontId="7" fillId="0" borderId="0" xfId="0" applyFont="1" applyFill="1" applyBorder="1">
      <alignment vertical="top"/>
    </xf>
    <xf numFmtId="168" fontId="27" fillId="0" borderId="0" xfId="8" applyFont="1" applyFill="1" applyBorder="1" applyAlignment="1">
      <alignment vertical="top"/>
    </xf>
    <xf numFmtId="168" fontId="12" fillId="0" borderId="0" xfId="0" applyNumberFormat="1" applyFont="1" applyAlignment="1">
      <alignment horizontal="center" vertical="top"/>
    </xf>
    <xf numFmtId="168" fontId="0" fillId="2" borderId="0" xfId="0" applyFill="1">
      <alignment vertical="top"/>
    </xf>
    <xf numFmtId="168" fontId="13" fillId="2" borderId="0" xfId="0" applyFont="1" applyFill="1">
      <alignment vertical="top"/>
    </xf>
    <xf numFmtId="168" fontId="13" fillId="2" borderId="0" xfId="0" applyFont="1" applyFill="1" applyAlignment="1">
      <alignment horizontal="center" vertical="top"/>
    </xf>
    <xf numFmtId="168" fontId="6" fillId="0" borderId="0" xfId="0" applyFont="1" applyAlignment="1">
      <alignment horizontal="center" vertical="top"/>
    </xf>
    <xf numFmtId="168" fontId="6" fillId="0" borderId="0" xfId="0" applyFont="1" applyFill="1" applyAlignment="1">
      <alignment horizontal="center" vertical="top"/>
    </xf>
    <xf numFmtId="168" fontId="4" fillId="2" borderId="0" xfId="0" applyNumberFormat="1" applyFont="1" applyFill="1" applyBorder="1" applyAlignment="1">
      <alignment horizontal="center" vertical="top"/>
    </xf>
    <xf numFmtId="168" fontId="2" fillId="2" borderId="0" xfId="0" applyFont="1" applyFill="1" applyBorder="1" applyAlignment="1">
      <alignment horizontal="center" vertical="top"/>
    </xf>
    <xf numFmtId="165" fontId="2" fillId="3" borderId="18" xfId="1" applyFont="1" applyFill="1" applyBorder="1">
      <alignment vertical="top"/>
    </xf>
    <xf numFmtId="168" fontId="0" fillId="3" borderId="11" xfId="0" applyFont="1" applyFill="1" applyBorder="1">
      <alignment vertical="top"/>
    </xf>
    <xf numFmtId="168" fontId="13" fillId="2" borderId="1" xfId="0" applyFont="1" applyFill="1" applyBorder="1" applyAlignment="1">
      <alignment horizontal="center"/>
    </xf>
    <xf numFmtId="168" fontId="13" fillId="2" borderId="2" xfId="0" applyFont="1" applyFill="1" applyBorder="1" applyAlignment="1">
      <alignment horizontal="center"/>
    </xf>
    <xf numFmtId="168" fontId="13" fillId="2" borderId="3" xfId="0" applyFont="1" applyFill="1" applyBorder="1" applyAlignment="1">
      <alignment horizontal="center"/>
    </xf>
    <xf numFmtId="168" fontId="9" fillId="2" borderId="1" xfId="0" applyFont="1" applyFill="1" applyBorder="1" applyAlignment="1">
      <alignment horizontal="center" vertical="top"/>
    </xf>
    <xf numFmtId="168" fontId="9" fillId="2" borderId="3" xfId="0" applyFont="1" applyFill="1" applyBorder="1" applyAlignment="1">
      <alignment horizontal="center" vertical="top"/>
    </xf>
    <xf numFmtId="169" fontId="2" fillId="0" borderId="0" xfId="3" applyFont="1" applyFill="1" applyBorder="1">
      <alignment vertical="top"/>
    </xf>
    <xf numFmtId="168" fontId="5" fillId="0" borderId="3" xfId="0" applyNumberFormat="1" applyFont="1" applyFill="1" applyBorder="1">
      <alignment vertical="top"/>
    </xf>
  </cellXfs>
  <cellStyles count="9">
    <cellStyle name="Accent5" xfId="7" builtinId="45"/>
    <cellStyle name="DateLong" xfId="5" xr:uid="{3D9B1A09-FEF7-4D85-8606-14E99188053A}"/>
    <cellStyle name="DateShort" xfId="6" xr:uid="{2FAB7849-E2F6-4518-AB2C-BC6C5EEE7F74}"/>
    <cellStyle name="Factor" xfId="1" xr:uid="{7C2F5B4A-3AE4-41F2-BA7E-BF5A9BB8E24D}"/>
    <cellStyle name="Hyperlink" xfId="8" builtinId="8"/>
    <cellStyle name="Normal" xfId="0" builtinId="0" customBuiltin="1"/>
    <cellStyle name="Percent" xfId="3" builtinId="5" customBuiltin="1"/>
    <cellStyle name="Percent 2" xfId="4" xr:uid="{01D1184D-E1EC-4161-9CB5-1EE9BB2BE172}"/>
    <cellStyle name="Year" xfId="2" xr:uid="{E18018B1-6A85-4236-952F-9B55907883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49</xdr:row>
      <xdr:rowOff>0</xdr:rowOff>
    </xdr:from>
    <xdr:to>
      <xdr:col>7</xdr:col>
      <xdr:colOff>0</xdr:colOff>
      <xdr:row>66</xdr:row>
      <xdr:rowOff>146486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7E43B6-6C23-401F-8364-A25DEDF7B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9020" y="9258300"/>
          <a:ext cx="0" cy="3125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51</xdr:row>
      <xdr:rowOff>0</xdr:rowOff>
    </xdr:from>
    <xdr:to>
      <xdr:col>4</xdr:col>
      <xdr:colOff>0</xdr:colOff>
      <xdr:row>68</xdr:row>
      <xdr:rowOff>146486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F09D4E-0108-4D3E-B4ED-B5736C725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2400" y="6515100"/>
          <a:ext cx="0" cy="31259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daca7d13ca77d7c/Desktop/OpenOil/finance/clients/gw/guyana/models/oo_gy_Stabroek_Model_v1_190715_0752_noDT_j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Key"/>
      <sheetName val="Dashboard"/>
      <sheetName val="Inputs"/>
      <sheetName val="Sources"/>
      <sheetName val="Stage1"/>
      <sheetName val="Stage2"/>
      <sheetName val="Analysis"/>
      <sheetName val="Time&amp;Esc"/>
      <sheetName val="Chart Options"/>
      <sheetName val="ChartData"/>
      <sheetName val="Track"/>
      <sheetName val="Track-HowTo"/>
    </sheetNames>
    <sheetDataSet>
      <sheetData sheetId="0"/>
      <sheetData sheetId="1"/>
      <sheetData sheetId="2">
        <row r="5">
          <cell r="C5" t="str">
            <v>Contract Period Extended</v>
          </cell>
        </row>
      </sheetData>
      <sheetData sheetId="3">
        <row r="15">
          <cell r="E15" t="str">
            <v>First Year of Project</v>
          </cell>
        </row>
        <row r="248">
          <cell r="F248">
            <v>1E-3</v>
          </cell>
        </row>
      </sheetData>
      <sheetData sheetId="4">
        <row r="20">
          <cell r="G20" t="str">
            <v>XVI</v>
          </cell>
        </row>
      </sheetData>
      <sheetData sheetId="5">
        <row r="106">
          <cell r="E106" t="str">
            <v>Oil production post-ELT</v>
          </cell>
        </row>
      </sheetData>
      <sheetData sheetId="6"/>
      <sheetData sheetId="7"/>
      <sheetData sheetId="8">
        <row r="9">
          <cell r="E9" t="str">
            <v>Model column counter</v>
          </cell>
        </row>
      </sheetData>
      <sheetData sheetId="9"/>
      <sheetData sheetId="10"/>
      <sheetData sheetId="11">
        <row r="2">
          <cell r="J2" t="e">
            <v>#REF!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B07E-ED9F-4B7F-9824-6F5261A1F3D0}">
  <dimension ref="A1:AF56"/>
  <sheetViews>
    <sheetView tabSelected="1" zoomScale="80" zoomScaleNormal="80" workbookViewId="0">
      <selection activeCell="B1" sqref="B1"/>
    </sheetView>
  </sheetViews>
  <sheetFormatPr defaultColWidth="0" defaultRowHeight="13.8" x14ac:dyDescent="0.3"/>
  <cols>
    <col min="1" max="1" width="0.88671875" style="10" customWidth="1"/>
    <col min="2" max="2" width="25.77734375" style="1" customWidth="1"/>
    <col min="3" max="4" width="13" style="1" customWidth="1"/>
    <col min="5" max="6" width="13.44140625" style="1" customWidth="1"/>
    <col min="7" max="7" width="14" style="1" customWidth="1"/>
    <col min="8" max="8" width="16.5546875" style="1" customWidth="1"/>
    <col min="9" max="13" width="14.77734375" style="1" customWidth="1"/>
    <col min="14" max="14" width="1.5546875" style="10" customWidth="1"/>
    <col min="15" max="32" width="0" style="1" hidden="1" customWidth="1"/>
    <col min="33" max="16384" width="9.109375" style="1" hidden="1"/>
  </cols>
  <sheetData>
    <row r="1" spans="1:14" s="12" customFormat="1" ht="14.4" x14ac:dyDescent="0.3">
      <c r="A1" s="57"/>
      <c r="B1" s="73"/>
      <c r="C1" s="192" t="s">
        <v>160</v>
      </c>
      <c r="D1" s="193"/>
      <c r="E1" s="193"/>
      <c r="F1" s="193"/>
      <c r="G1" s="193"/>
      <c r="H1" s="193"/>
      <c r="I1" s="194"/>
      <c r="J1" s="195" t="s">
        <v>161</v>
      </c>
      <c r="K1" s="196"/>
      <c r="L1" s="195" t="s">
        <v>162</v>
      </c>
      <c r="M1" s="196"/>
      <c r="N1" s="53"/>
    </row>
    <row r="2" spans="1:14" s="12" customFormat="1" x14ac:dyDescent="0.3">
      <c r="A2" s="57"/>
      <c r="B2" s="92" t="s">
        <v>16</v>
      </c>
      <c r="C2" s="97" t="s">
        <v>158</v>
      </c>
      <c r="D2" s="97" t="s">
        <v>163</v>
      </c>
      <c r="E2" s="97" t="s">
        <v>159</v>
      </c>
      <c r="F2" s="97" t="s">
        <v>163</v>
      </c>
      <c r="G2" s="97" t="s">
        <v>164</v>
      </c>
      <c r="H2" s="98" t="s">
        <v>153</v>
      </c>
      <c r="I2" s="99" t="s">
        <v>154</v>
      </c>
      <c r="J2" s="97" t="s">
        <v>164</v>
      </c>
      <c r="K2" s="100" t="s">
        <v>154</v>
      </c>
      <c r="L2" s="97" t="s">
        <v>164</v>
      </c>
      <c r="M2" s="100" t="s">
        <v>154</v>
      </c>
      <c r="N2" s="53"/>
    </row>
    <row r="3" spans="1:14" s="21" customFormat="1" x14ac:dyDescent="0.3">
      <c r="A3" s="60"/>
      <c r="B3" s="93" t="s">
        <v>21</v>
      </c>
      <c r="C3" s="198">
        <v>16.068999999999999</v>
      </c>
      <c r="D3" s="93">
        <v>3903805.7084666369</v>
      </c>
      <c r="E3" s="95">
        <v>1.515804683</v>
      </c>
      <c r="F3" s="93">
        <v>105778.31762132756</v>
      </c>
      <c r="G3" s="93">
        <f>D3+F3</f>
        <v>4009584.0260879644</v>
      </c>
      <c r="H3" s="93">
        <v>72814476.480000004</v>
      </c>
      <c r="I3" s="101">
        <f>H3/G3</f>
        <v>18.160107384267238</v>
      </c>
      <c r="J3" s="96">
        <v>2502035.7518615182</v>
      </c>
      <c r="K3" s="95">
        <f>H3/J3</f>
        <v>29.102092736215273</v>
      </c>
      <c r="L3" s="93">
        <v>3999469.579662519</v>
      </c>
      <c r="M3" s="95">
        <f>H3/L3</f>
        <v>18.206033332586117</v>
      </c>
      <c r="N3" s="53"/>
    </row>
    <row r="4" spans="1:14" s="21" customFormat="1" x14ac:dyDescent="0.3">
      <c r="A4" s="60"/>
      <c r="B4" s="93" t="s">
        <v>62</v>
      </c>
      <c r="C4" s="198">
        <v>678.65598194180302</v>
      </c>
      <c r="D4" s="93">
        <v>135342930.53947663</v>
      </c>
      <c r="E4" s="95">
        <v>1523.5257590000001</v>
      </c>
      <c r="F4" s="93">
        <v>106317122.15113676</v>
      </c>
      <c r="G4" s="93">
        <f>D4+F4</f>
        <v>241660052.69061339</v>
      </c>
      <c r="H4" s="93">
        <v>2811559959</v>
      </c>
      <c r="I4" s="101">
        <f>H4/G4</f>
        <v>11.634359620865908</v>
      </c>
      <c r="J4" s="93">
        <v>199584625.68421662</v>
      </c>
      <c r="K4" s="95">
        <f>H4/J4</f>
        <v>14.08705680290454</v>
      </c>
      <c r="L4" s="102">
        <v>289644269.51782191</v>
      </c>
      <c r="M4" s="95">
        <f>H4/L4</f>
        <v>9.7069414274291521</v>
      </c>
      <c r="N4" s="53"/>
    </row>
    <row r="5" spans="1:14" s="5" customFormat="1" x14ac:dyDescent="0.3">
      <c r="A5" s="60"/>
      <c r="B5" s="93" t="s">
        <v>51</v>
      </c>
      <c r="C5" s="198">
        <v>131.51523953424601</v>
      </c>
      <c r="D5" s="96">
        <v>25350458.317438673</v>
      </c>
      <c r="E5" s="95">
        <v>0</v>
      </c>
      <c r="F5" s="96">
        <v>0</v>
      </c>
      <c r="G5" s="93">
        <f>D5+F5</f>
        <v>25350458.317438673</v>
      </c>
      <c r="H5" s="93">
        <v>640890000</v>
      </c>
      <c r="I5" s="101">
        <f>IFERROR(H5/G5,0)</f>
        <v>25.281199731175253</v>
      </c>
      <c r="J5" s="93">
        <v>19679400.982050456</v>
      </c>
      <c r="K5" s="95">
        <f>IFERROR(H5/J5,0)</f>
        <v>32.566540037705138</v>
      </c>
      <c r="L5" s="93">
        <v>31707060.048293665</v>
      </c>
      <c r="M5" s="95">
        <f>IFERROR(H5/L5,0)</f>
        <v>20.212848464154277</v>
      </c>
      <c r="N5" s="53"/>
    </row>
    <row r="6" spans="1:14" s="5" customFormat="1" x14ac:dyDescent="0.3">
      <c r="A6" s="60"/>
      <c r="B6" s="93" t="s">
        <v>73</v>
      </c>
      <c r="C6" s="198">
        <v>894.709512328767</v>
      </c>
      <c r="D6" s="96">
        <v>169825757.3722268</v>
      </c>
      <c r="E6" s="95">
        <v>378.8043055</v>
      </c>
      <c r="F6" s="96">
        <v>26434330.618508451</v>
      </c>
      <c r="G6" s="93">
        <f>D6+F6</f>
        <v>196260087.99073526</v>
      </c>
      <c r="H6" s="93">
        <v>5808896267.6927862</v>
      </c>
      <c r="I6" s="101">
        <f>IFERROR(H6/G6,0)</f>
        <v>29.597949981389</v>
      </c>
      <c r="J6" s="93">
        <v>158255337.48363119</v>
      </c>
      <c r="K6" s="95">
        <f>IFERROR(H6/J6,0)</f>
        <v>36.705847398629551</v>
      </c>
      <c r="L6" s="93">
        <v>247040750.30213213</v>
      </c>
      <c r="M6" s="95">
        <f>IFERROR(H6/L6,0)</f>
        <v>23.513919305169189</v>
      </c>
      <c r="N6" s="53"/>
    </row>
    <row r="7" spans="1:14" s="5" customFormat="1" x14ac:dyDescent="0.3">
      <c r="A7" s="60"/>
      <c r="B7" s="93" t="s">
        <v>155</v>
      </c>
      <c r="C7" s="198">
        <v>347.22841231929101</v>
      </c>
      <c r="D7" s="96">
        <v>65527707.804716088</v>
      </c>
      <c r="E7" s="95">
        <v>49.087882999999998</v>
      </c>
      <c r="F7" s="96">
        <v>3425529.5141693167</v>
      </c>
      <c r="G7" s="93">
        <f>D7+F7</f>
        <v>68953237.318885401</v>
      </c>
      <c r="H7" s="93">
        <v>1950289665.1469104</v>
      </c>
      <c r="I7" s="101">
        <f>IFERROR(H7/G7,0)</f>
        <v>28.284236403977385</v>
      </c>
      <c r="J7" s="93">
        <v>55116461.637506709</v>
      </c>
      <c r="K7" s="95">
        <f>IFERROR(H7/J7,0)</f>
        <v>35.384885154161275</v>
      </c>
      <c r="L7" s="93">
        <v>87774007.421062469</v>
      </c>
      <c r="M7" s="95">
        <f>IFERROR(H7/L7,0)</f>
        <v>22.219444257468346</v>
      </c>
      <c r="N7" s="53"/>
    </row>
    <row r="8" spans="1:14" s="5" customFormat="1" x14ac:dyDescent="0.3">
      <c r="A8" s="60"/>
      <c r="B8" s="93" t="s">
        <v>95</v>
      </c>
      <c r="C8" s="198">
        <v>0</v>
      </c>
      <c r="D8" s="96">
        <v>0</v>
      </c>
      <c r="E8" s="95">
        <v>74.181135769999997</v>
      </c>
      <c r="F8" s="96">
        <v>5176627.1927990094</v>
      </c>
      <c r="G8" s="93">
        <f>D8+F8</f>
        <v>5176627.1927990094</v>
      </c>
      <c r="H8" s="93">
        <v>231292745.90000001</v>
      </c>
      <c r="I8" s="101">
        <f>IFERROR(H8/G8,0)</f>
        <v>44.680201468195683</v>
      </c>
      <c r="J8" s="93">
        <v>4773285.6470192</v>
      </c>
      <c r="K8" s="95">
        <f>IFERROR(H8/J8,0)</f>
        <v>48.455668276302859</v>
      </c>
      <c r="L8" s="93">
        <v>6136301.7794988491</v>
      </c>
      <c r="M8" s="95">
        <f>IFERROR(H8/L8,0)</f>
        <v>37.692531138664052</v>
      </c>
      <c r="N8" s="53"/>
    </row>
    <row r="9" spans="1:14" s="5" customFormat="1" x14ac:dyDescent="0.3">
      <c r="A9" s="60"/>
      <c r="B9" s="93" t="s">
        <v>100</v>
      </c>
      <c r="C9" s="198">
        <v>173.39217808219101</v>
      </c>
      <c r="D9" s="96">
        <v>29648390.397588044</v>
      </c>
      <c r="E9" s="95">
        <v>31.1943646</v>
      </c>
      <c r="F9" s="96">
        <v>2176855.2661572006</v>
      </c>
      <c r="G9" s="93">
        <f>D9+F9</f>
        <v>31825245.663745247</v>
      </c>
      <c r="H9" s="93">
        <v>917233038</v>
      </c>
      <c r="I9" s="101">
        <f>IFERROR(H9/G9,0)</f>
        <v>28.820925616448438</v>
      </c>
      <c r="J9" s="93">
        <v>27952937.929230619</v>
      </c>
      <c r="K9" s="95">
        <f>IFERROR(H9/J9,0)</f>
        <v>32.81347528915169</v>
      </c>
      <c r="L9" s="93">
        <v>44383601.301393904</v>
      </c>
      <c r="M9" s="95">
        <f>IFERROR(H9/L9,0)</f>
        <v>20.666034551170895</v>
      </c>
      <c r="N9" s="53"/>
    </row>
    <row r="10" spans="1:14" s="5" customFormat="1" x14ac:dyDescent="0.3">
      <c r="A10" s="60"/>
      <c r="B10" s="93" t="s">
        <v>30</v>
      </c>
      <c r="C10" s="198">
        <v>913.40684931506803</v>
      </c>
      <c r="D10" s="96">
        <v>309102404.20131981</v>
      </c>
      <c r="E10" s="95">
        <v>2549.6656870000002</v>
      </c>
      <c r="F10" s="96">
        <v>177924867.16290629</v>
      </c>
      <c r="G10" s="93">
        <f>D10+F10</f>
        <v>487027271.3642261</v>
      </c>
      <c r="H10" s="93">
        <v>10078641495.967131</v>
      </c>
      <c r="I10" s="101">
        <f>IFERROR(H10/G10,0)</f>
        <v>20.694203566333272</v>
      </c>
      <c r="J10" s="93">
        <v>300740145.95574892</v>
      </c>
      <c r="K10" s="95">
        <f>IFERROR(H10/J10,0)</f>
        <v>33.51279046546086</v>
      </c>
      <c r="L10" s="93">
        <v>431123270.73175526</v>
      </c>
      <c r="M10" s="95">
        <f>IFERROR(H10/L10,0)</f>
        <v>23.377632756544145</v>
      </c>
      <c r="N10" s="53"/>
    </row>
    <row r="11" spans="1:14" s="5" customFormat="1" ht="14.4" customHeight="1" x14ac:dyDescent="0.3">
      <c r="A11" s="60"/>
      <c r="B11" s="93" t="s">
        <v>35</v>
      </c>
      <c r="C11" s="198">
        <v>4615.6368904109504</v>
      </c>
      <c r="D11" s="96">
        <v>902685001.91894352</v>
      </c>
      <c r="E11" s="95">
        <v>359.998425</v>
      </c>
      <c r="F11" s="96">
        <v>25121988.452669047</v>
      </c>
      <c r="G11" s="93">
        <f>D11+F11</f>
        <v>927806990.37161255</v>
      </c>
      <c r="H11" s="93">
        <v>91529374130</v>
      </c>
      <c r="I11" s="101">
        <f>IFERROR(H11/G11,0)</f>
        <v>98.651309032862471</v>
      </c>
      <c r="J11" s="93">
        <v>713829557.63199794</v>
      </c>
      <c r="K11" s="95">
        <f>IFERROR(H11/J11,0)</f>
        <v>128.22300947250258</v>
      </c>
      <c r="L11" s="93">
        <v>1142564941.2442162</v>
      </c>
      <c r="M11" s="95">
        <f>IFERROR(H11/L11,0)</f>
        <v>80.108684264657626</v>
      </c>
      <c r="N11" s="53"/>
    </row>
    <row r="12" spans="1:14" s="5" customFormat="1" ht="14.4" customHeight="1" x14ac:dyDescent="0.3">
      <c r="A12" s="60"/>
      <c r="B12" s="93" t="s">
        <v>56</v>
      </c>
      <c r="C12" s="6">
        <v>1959.15216120382</v>
      </c>
      <c r="D12" s="6">
        <v>342483841.12360567</v>
      </c>
      <c r="E12" s="56">
        <v>895.30064159999995</v>
      </c>
      <c r="F12" s="6">
        <v>62477307.726950161</v>
      </c>
      <c r="G12" s="93">
        <f>D12+F12</f>
        <v>404961148.85055584</v>
      </c>
      <c r="H12" s="93">
        <v>14368667360.699999</v>
      </c>
      <c r="I12" s="101">
        <f>IFERROR(H12/G12,0)</f>
        <v>35.481594719602391</v>
      </c>
      <c r="J12" s="93">
        <v>350768825.48205364</v>
      </c>
      <c r="K12" s="95">
        <f>IFERROR(H12/J12,0)</f>
        <v>40.96335340221146</v>
      </c>
      <c r="L12" s="93">
        <v>546392483.97842264</v>
      </c>
      <c r="M12" s="95">
        <f>IFERROR(H12/L12,0)</f>
        <v>26.297337137725755</v>
      </c>
      <c r="N12" s="53"/>
    </row>
    <row r="13" spans="1:14" s="5" customFormat="1" ht="14.4" customHeight="1" x14ac:dyDescent="0.3">
      <c r="A13" s="60"/>
      <c r="B13" s="93" t="s">
        <v>202</v>
      </c>
      <c r="C13" s="198">
        <v>2082.9401698630099</v>
      </c>
      <c r="D13" s="96">
        <v>364853562.63869298</v>
      </c>
      <c r="E13" s="95">
        <v>999.37297760000001</v>
      </c>
      <c r="F13" s="96">
        <v>69739850.676226377</v>
      </c>
      <c r="G13" s="93">
        <f>D13+F13</f>
        <v>434593413.31491935</v>
      </c>
      <c r="H13" s="93">
        <v>28508186388.470093</v>
      </c>
      <c r="I13" s="101">
        <f>IFERROR(H13/G13,0)</f>
        <v>65.597373349540874</v>
      </c>
      <c r="J13" s="93">
        <v>375988630.74069184</v>
      </c>
      <c r="K13" s="95">
        <f>IFERROR(H13/J13,0)</f>
        <v>75.821937307810089</v>
      </c>
      <c r="L13" s="93">
        <v>584845500.20821595</v>
      </c>
      <c r="M13" s="95">
        <f>IFERROR(H13/L13,0)</f>
        <v>48.744816157977866</v>
      </c>
      <c r="N13" s="53"/>
    </row>
    <row r="14" spans="1:14" s="21" customFormat="1" ht="14.4" customHeight="1" x14ac:dyDescent="0.3">
      <c r="A14" s="60"/>
      <c r="B14" s="93" t="s">
        <v>156</v>
      </c>
      <c r="C14" s="198">
        <v>19.4088602739726</v>
      </c>
      <c r="D14" s="96">
        <v>3795811.3884681189</v>
      </c>
      <c r="E14" s="95">
        <v>0</v>
      </c>
      <c r="F14" s="96">
        <v>0</v>
      </c>
      <c r="G14" s="93">
        <f>D14+F14</f>
        <v>3795811.3884681189</v>
      </c>
      <c r="H14" s="93">
        <v>84817725.469999999</v>
      </c>
      <c r="I14" s="101">
        <f>IFERROR(H14/G14,0)</f>
        <v>22.345084302049585</v>
      </c>
      <c r="J14" s="93">
        <v>2904262.2382681142</v>
      </c>
      <c r="K14" s="95">
        <f>IFERROR(H14/J14,0)</f>
        <v>29.204568496741182</v>
      </c>
      <c r="L14" s="93">
        <v>4679289.642441351</v>
      </c>
      <c r="M14" s="95">
        <f>IFERROR(H14/L14,0)</f>
        <v>18.126196912603938</v>
      </c>
      <c r="N14" s="53"/>
    </row>
    <row r="15" spans="1:14" s="21" customFormat="1" ht="14.4" customHeight="1" x14ac:dyDescent="0.3">
      <c r="A15" s="60"/>
      <c r="B15" s="93" t="s">
        <v>24</v>
      </c>
      <c r="C15" s="198">
        <v>9.6340000000000003</v>
      </c>
      <c r="D15" s="93">
        <v>2549884.9393602964</v>
      </c>
      <c r="E15" s="95">
        <v>634.12377930000002</v>
      </c>
      <c r="F15" s="93">
        <v>44251180.592266463</v>
      </c>
      <c r="G15" s="93">
        <f>D15+F15</f>
        <v>46801065.531626761</v>
      </c>
      <c r="H15" s="93">
        <v>727004642.39999998</v>
      </c>
      <c r="I15" s="101">
        <f>IFERROR(H15/G15,0)</f>
        <v>15.533933557745859</v>
      </c>
      <c r="J15" s="93">
        <v>42244902.451447919</v>
      </c>
      <c r="K15" s="95">
        <f>IFERROR(H15/J15,0)</f>
        <v>17.209286806509891</v>
      </c>
      <c r="L15" s="93">
        <v>54777397.980448052</v>
      </c>
      <c r="M15" s="95">
        <f>IFERROR(H15/L15,0)</f>
        <v>13.271982043752663</v>
      </c>
      <c r="N15" s="53"/>
    </row>
    <row r="16" spans="1:14" s="5" customFormat="1" x14ac:dyDescent="0.3">
      <c r="A16" s="60"/>
      <c r="B16" s="94" t="s">
        <v>38</v>
      </c>
      <c r="C16" s="198">
        <v>1988.36083074619</v>
      </c>
      <c r="D16" s="93">
        <v>380639024.49650419</v>
      </c>
      <c r="E16" s="95">
        <v>1609.336086</v>
      </c>
      <c r="F16" s="93">
        <v>112305276.24934915</v>
      </c>
      <c r="G16" s="93">
        <f>D16+F16</f>
        <v>492944300.7458533</v>
      </c>
      <c r="H16" s="93">
        <v>32626033865</v>
      </c>
      <c r="I16" s="101">
        <f>IFERROR(H16/G16,0)</f>
        <v>66.186045392217579</v>
      </c>
      <c r="J16" s="93">
        <v>401085068.6925354</v>
      </c>
      <c r="K16" s="95">
        <f>IFERROR(H16/J16,0)</f>
        <v>81.344423943167357</v>
      </c>
      <c r="L16" s="93">
        <v>612499793.36656284</v>
      </c>
      <c r="M16" s="95">
        <f>IFERROR(H16/L16,0)</f>
        <v>53.267012035503321</v>
      </c>
      <c r="N16" s="53"/>
    </row>
    <row r="17" spans="1:14" s="5" customFormat="1" x14ac:dyDescent="0.3">
      <c r="A17" s="60"/>
      <c r="B17" s="93" t="s">
        <v>99</v>
      </c>
      <c r="C17" s="198">
        <v>1859.68242465753</v>
      </c>
      <c r="D17" s="96">
        <v>331835828.99773753</v>
      </c>
      <c r="E17" s="95">
        <v>4290.4850539999998</v>
      </c>
      <c r="F17" s="96">
        <v>299405520.96286845</v>
      </c>
      <c r="G17" s="93">
        <f>D17+F17</f>
        <v>631241349.96060598</v>
      </c>
      <c r="H17" s="93">
        <v>32548990537.771286</v>
      </c>
      <c r="I17" s="101">
        <f>IFERROR(H17/G17,0)</f>
        <v>51.563463863390091</v>
      </c>
      <c r="J17" s="93">
        <v>554352321.34314513</v>
      </c>
      <c r="K17" s="95">
        <f>IFERROR(H17/J17,0)</f>
        <v>58.715349940103167</v>
      </c>
      <c r="L17" s="93">
        <v>803262690.93246365</v>
      </c>
      <c r="M17" s="95">
        <f>IFERROR(H17/L17,0)</f>
        <v>40.520978884238914</v>
      </c>
      <c r="N17" s="53"/>
    </row>
    <row r="18" spans="1:14" s="5" customFormat="1" x14ac:dyDescent="0.3">
      <c r="A18" s="60"/>
      <c r="B18" s="93" t="s">
        <v>47</v>
      </c>
      <c r="C18" s="198">
        <v>140.598961643835</v>
      </c>
      <c r="D18" s="96">
        <v>29800182.343001939</v>
      </c>
      <c r="E18" s="95">
        <v>450.52483169999999</v>
      </c>
      <c r="F18" s="96">
        <v>31439247.601175103</v>
      </c>
      <c r="G18" s="93">
        <f>D18+F18</f>
        <v>61239429.944177046</v>
      </c>
      <c r="H18" s="93">
        <v>602000000</v>
      </c>
      <c r="I18" s="101">
        <f>IFERROR(H18/G18,0)</f>
        <v>9.8302678608986831</v>
      </c>
      <c r="J18" s="93">
        <v>50028282.354053915</v>
      </c>
      <c r="K18" s="95">
        <f>IFERROR(H18/J18,0)</f>
        <v>12.033193459243728</v>
      </c>
      <c r="L18" s="93">
        <v>71164704.383012533</v>
      </c>
      <c r="M18" s="95">
        <f>IFERROR(H18/L18,0)</f>
        <v>8.4592496409456199</v>
      </c>
      <c r="N18" s="53"/>
    </row>
    <row r="19" spans="1:14" s="5" customFormat="1" x14ac:dyDescent="0.3">
      <c r="A19" s="60"/>
      <c r="B19" s="93" t="s">
        <v>42</v>
      </c>
      <c r="C19" s="198">
        <v>16.306999999999999</v>
      </c>
      <c r="D19" s="96">
        <v>3102125.3373599015</v>
      </c>
      <c r="E19" s="95">
        <v>124.323911</v>
      </c>
      <c r="F19" s="96">
        <v>8675770.8913105782</v>
      </c>
      <c r="G19" s="93">
        <f>D19+F19</f>
        <v>11777896.22867048</v>
      </c>
      <c r="H19" s="93">
        <v>800297125.42250586</v>
      </c>
      <c r="I19" s="101">
        <f>IFERROR(H19/G19,0)</f>
        <v>67.949072557998377</v>
      </c>
      <c r="J19" s="93">
        <v>10439903.019546673</v>
      </c>
      <c r="K19" s="95">
        <f>IFERROR(H19/J19,0)</f>
        <v>76.657524875863913</v>
      </c>
      <c r="L19" s="95">
        <v>14215598.934497572</v>
      </c>
      <c r="M19" s="95">
        <f>IFERROR(H19/L19,0)</f>
        <v>56.297109190411405</v>
      </c>
      <c r="N19" s="53"/>
    </row>
    <row r="20" spans="1:14" s="5" customFormat="1" x14ac:dyDescent="0.3">
      <c r="A20" s="60"/>
      <c r="B20" s="93" t="s">
        <v>157</v>
      </c>
      <c r="C20" s="198">
        <v>0</v>
      </c>
      <c r="D20" s="96">
        <v>0</v>
      </c>
      <c r="E20" s="95">
        <v>2.1189005999999999</v>
      </c>
      <c r="F20" s="96">
        <v>147864.52581161575</v>
      </c>
      <c r="G20" s="93">
        <f>D20+F20</f>
        <v>147864.52581161575</v>
      </c>
      <c r="H20" s="93">
        <v>15110617.817397179</v>
      </c>
      <c r="I20" s="101">
        <f>IFERROR(H20/G20,0)</f>
        <v>102.19231241879206</v>
      </c>
      <c r="J20" s="93">
        <v>136343.52880224679</v>
      </c>
      <c r="K20" s="95">
        <f>IFERROR(H20/J20,0)</f>
        <v>110.82753945230273</v>
      </c>
      <c r="L20" s="93">
        <v>175276.5495890328</v>
      </c>
      <c r="M20" s="95">
        <f>IFERROR(H20/L20,0)</f>
        <v>86.210151060291423</v>
      </c>
      <c r="N20" s="53"/>
    </row>
    <row r="21" spans="1:14" s="5" customFormat="1" x14ac:dyDescent="0.3">
      <c r="A21" s="60"/>
      <c r="B21" s="93" t="s">
        <v>34</v>
      </c>
      <c r="C21" s="198">
        <v>90.136802672485501</v>
      </c>
      <c r="D21" s="96">
        <v>19353925.931688506</v>
      </c>
      <c r="E21" s="95">
        <v>1377.9243300000001</v>
      </c>
      <c r="F21" s="96">
        <v>96156529.315126121</v>
      </c>
      <c r="G21" s="93">
        <f>D21+F21</f>
        <v>115510455.24681462</v>
      </c>
      <c r="H21" s="93">
        <v>1091343417</v>
      </c>
      <c r="I21" s="101">
        <f>IFERROR(H21/G21,0)</f>
        <v>9.4480055045068791</v>
      </c>
      <c r="J21" s="93">
        <v>102152108.60120468</v>
      </c>
      <c r="K21" s="95">
        <f>IFERROR(H21/J21,0)</f>
        <v>10.683513360067144</v>
      </c>
      <c r="L21" s="93">
        <v>135713727.35423565</v>
      </c>
      <c r="M21" s="95">
        <f>IFERROR(H21/L21,0)</f>
        <v>8.0415108941147135</v>
      </c>
      <c r="N21" s="53"/>
    </row>
    <row r="22" spans="1:14" s="5" customFormat="1" x14ac:dyDescent="0.3">
      <c r="A22" s="60"/>
      <c r="B22" s="93" t="s">
        <v>78</v>
      </c>
      <c r="C22" s="198">
        <v>1146.66992496324</v>
      </c>
      <c r="D22" s="96">
        <v>204535126.35646522</v>
      </c>
      <c r="E22" s="95">
        <v>1441.150414</v>
      </c>
      <c r="F22" s="96">
        <v>100568673.48535544</v>
      </c>
      <c r="G22" s="93">
        <f>D22+F22</f>
        <v>305103799.84182066</v>
      </c>
      <c r="H22" s="93">
        <v>1596339614</v>
      </c>
      <c r="I22" s="101">
        <f>IFERROR(H22/G22,0)</f>
        <v>5.2321197403231725</v>
      </c>
      <c r="J22" s="93">
        <v>264315759.23575079</v>
      </c>
      <c r="K22" s="95">
        <f>IFERROR(H22/J22,0)</f>
        <v>6.0395173508219724</v>
      </c>
      <c r="L22" s="93">
        <v>395663801.35956603</v>
      </c>
      <c r="M22" s="95">
        <f>IFERROR(H22/L22,0)</f>
        <v>4.0345859502808041</v>
      </c>
      <c r="N22" s="85"/>
    </row>
    <row r="23" spans="1:14" s="57" customFormat="1" x14ac:dyDescent="0.3">
      <c r="B23" s="53" t="s">
        <v>196</v>
      </c>
      <c r="C23" s="188" t="str">
        <f xml:space="preserve"> Sources!I$8</f>
        <v>IV</v>
      </c>
      <c r="D23" s="189"/>
      <c r="E23" s="188" t="str">
        <f xml:space="preserve"> Sources!K$8</f>
        <v>EIA Historical Data</v>
      </c>
      <c r="F23" s="189"/>
      <c r="G23" s="189">
        <f ca="1">SUM(G3:G22)</f>
        <v>4496186090.5154676</v>
      </c>
      <c r="H23" s="188" t="str">
        <f xml:space="preserve"> Sources!I$9</f>
        <v>V</v>
      </c>
      <c r="I23" s="54"/>
      <c r="J23" s="54"/>
      <c r="K23" s="54"/>
      <c r="L23" s="54"/>
      <c r="M23" s="54"/>
      <c r="N23" s="54"/>
    </row>
    <row r="24" spans="1:14" s="2" customFormat="1" x14ac:dyDescent="0.3">
      <c r="A24" s="12"/>
      <c r="B24" s="22"/>
      <c r="C24" s="6"/>
      <c r="D24" s="6"/>
      <c r="E24" s="6"/>
      <c r="F24" s="6"/>
      <c r="G24" s="6"/>
      <c r="H24" s="6">
        <f ca="1">SUM(H3:H22)</f>
        <v>227009783072.23813</v>
      </c>
      <c r="I24" s="6"/>
      <c r="J24" s="6"/>
      <c r="K24" s="46"/>
      <c r="L24" s="46"/>
      <c r="M24" s="46"/>
      <c r="N24" s="51"/>
    </row>
    <row r="25" spans="1:14" s="2" customFormat="1" x14ac:dyDescent="0.3">
      <c r="A25" s="12"/>
      <c r="B25" s="33"/>
      <c r="C25" s="6"/>
      <c r="D25" s="6"/>
      <c r="E25" s="197"/>
      <c r="F25" s="6"/>
      <c r="G25" s="6"/>
      <c r="H25" s="6"/>
      <c r="I25" s="6"/>
      <c r="J25" s="6"/>
      <c r="K25" s="4"/>
      <c r="L25" s="4"/>
      <c r="M25" s="33"/>
      <c r="N25" s="33"/>
    </row>
    <row r="26" spans="1:14" s="2" customFormat="1" x14ac:dyDescent="0.3">
      <c r="A26" s="12"/>
      <c r="B26" s="33"/>
      <c r="C26" s="22"/>
      <c r="D26" s="22"/>
      <c r="E26" s="22"/>
      <c r="F26" s="22"/>
      <c r="G26" s="22"/>
      <c r="H26" s="22"/>
      <c r="I26" s="22"/>
      <c r="J26" s="22"/>
      <c r="K26" s="4"/>
      <c r="L26" s="4"/>
      <c r="M26" s="22"/>
      <c r="N26" s="22"/>
    </row>
    <row r="27" spans="1:14" s="2" customFormat="1" x14ac:dyDescent="0.3">
      <c r="A27" s="12"/>
      <c r="B27" s="22"/>
      <c r="C27" s="22"/>
      <c r="D27" s="22"/>
      <c r="E27" s="22"/>
      <c r="F27" s="22"/>
      <c r="G27" s="22"/>
      <c r="H27" s="22"/>
      <c r="I27" s="22"/>
      <c r="J27" s="22"/>
      <c r="K27" s="4"/>
      <c r="L27" s="4"/>
      <c r="M27" s="22"/>
      <c r="N27" s="22"/>
    </row>
    <row r="28" spans="1:14" s="2" customFormat="1" x14ac:dyDescent="0.3">
      <c r="A28" s="12"/>
      <c r="B28" s="6"/>
      <c r="C28" s="46"/>
      <c r="D28" s="46"/>
      <c r="E28" s="46"/>
      <c r="F28" s="46"/>
      <c r="G28" s="46"/>
      <c r="H28" s="46"/>
      <c r="I28" s="46"/>
      <c r="J28" s="22"/>
      <c r="K28" s="4"/>
      <c r="L28" s="4"/>
      <c r="M28" s="46"/>
      <c r="N28" s="56"/>
    </row>
    <row r="29" spans="1:14" s="2" customFormat="1" x14ac:dyDescent="0.3">
      <c r="A29" s="12"/>
      <c r="B29" s="6"/>
      <c r="C29" s="46"/>
      <c r="D29" s="46"/>
      <c r="E29" s="46"/>
      <c r="F29" s="46"/>
      <c r="G29" s="46"/>
      <c r="H29" s="90"/>
      <c r="I29" s="90"/>
      <c r="J29" s="22"/>
      <c r="K29" s="4"/>
      <c r="L29" s="4"/>
      <c r="M29" s="90"/>
      <c r="N29" s="56"/>
    </row>
    <row r="30" spans="1:14" s="5" customFormat="1" x14ac:dyDescent="0.3">
      <c r="A30" s="21"/>
      <c r="B30" s="6"/>
      <c r="C30" s="6"/>
      <c r="D30" s="6"/>
      <c r="E30" s="46"/>
      <c r="F30" s="46"/>
      <c r="G30" s="46"/>
      <c r="H30" s="6"/>
      <c r="I30" s="6"/>
      <c r="J30" s="22"/>
      <c r="K30" s="4"/>
      <c r="L30" s="4"/>
      <c r="M30" s="6"/>
      <c r="N30" s="56"/>
    </row>
    <row r="31" spans="1:14" s="5" customFormat="1" x14ac:dyDescent="0.3">
      <c r="A31" s="21"/>
      <c r="B31" s="33"/>
      <c r="C31" s="33"/>
      <c r="D31" s="33"/>
      <c r="E31" s="33"/>
      <c r="F31" s="33"/>
      <c r="G31" s="33"/>
      <c r="H31" s="33"/>
      <c r="I31" s="33"/>
      <c r="J31" s="22"/>
      <c r="K31" s="4"/>
      <c r="L31" s="4"/>
      <c r="M31" s="33"/>
      <c r="N31" s="33"/>
    </row>
    <row r="32" spans="1:14" s="5" customFormat="1" x14ac:dyDescent="0.3">
      <c r="A32" s="21"/>
      <c r="B32" s="33"/>
      <c r="C32" s="33"/>
      <c r="D32" s="33"/>
      <c r="E32" s="33"/>
      <c r="F32" s="33"/>
      <c r="G32" s="33"/>
      <c r="H32" s="33"/>
      <c r="I32" s="33"/>
      <c r="J32" s="22"/>
      <c r="K32" s="4"/>
      <c r="L32" s="4"/>
      <c r="M32" s="33"/>
      <c r="N32" s="33"/>
    </row>
    <row r="33" spans="1:14" s="5" customFormat="1" x14ac:dyDescent="0.3">
      <c r="A33" s="21"/>
      <c r="B33" s="33"/>
      <c r="C33" s="22"/>
      <c r="D33" s="22"/>
      <c r="E33" s="22"/>
      <c r="F33" s="22"/>
      <c r="G33" s="22"/>
      <c r="H33" s="22"/>
      <c r="I33" s="22"/>
      <c r="J33" s="22"/>
      <c r="K33" s="4"/>
      <c r="L33" s="4"/>
      <c r="M33" s="22"/>
      <c r="N33" s="22"/>
    </row>
    <row r="34" spans="1:14" s="21" customFormat="1" x14ac:dyDescent="0.3">
      <c r="B34" s="33"/>
      <c r="C34" s="22"/>
      <c r="D34" s="22"/>
      <c r="E34" s="22"/>
      <c r="F34" s="22"/>
      <c r="G34" s="22"/>
      <c r="H34" s="22"/>
      <c r="I34" s="22"/>
      <c r="J34" s="22"/>
      <c r="K34" s="4"/>
      <c r="L34" s="4"/>
      <c r="M34" s="22"/>
      <c r="N34" s="22"/>
    </row>
    <row r="35" spans="1:14" s="4" customFormat="1" x14ac:dyDescent="0.3">
      <c r="A35" s="21"/>
      <c r="B35" s="22"/>
      <c r="C35" s="22"/>
      <c r="D35" s="22"/>
      <c r="E35" s="22"/>
      <c r="F35" s="22"/>
      <c r="G35" s="22"/>
      <c r="H35" s="22"/>
      <c r="I35" s="22"/>
      <c r="J35" s="22"/>
      <c r="M35" s="22"/>
    </row>
    <row r="36" spans="1:14" s="4" customFormat="1" x14ac:dyDescent="0.3">
      <c r="A36" s="21"/>
      <c r="B36" s="83"/>
      <c r="C36" s="83"/>
      <c r="D36" s="83"/>
      <c r="E36" s="83"/>
      <c r="F36" s="83"/>
      <c r="G36" s="83"/>
      <c r="J36" s="22"/>
    </row>
    <row r="37" spans="1:14" s="4" customFormat="1" x14ac:dyDescent="0.3">
      <c r="A37" s="21"/>
      <c r="B37" s="22"/>
      <c r="C37" s="37"/>
      <c r="D37" s="37"/>
      <c r="E37" s="22"/>
      <c r="F37" s="22"/>
      <c r="G37" s="22"/>
      <c r="J37" s="22"/>
      <c r="N37" s="22"/>
    </row>
    <row r="38" spans="1:14" s="4" customFormat="1" x14ac:dyDescent="0.3">
      <c r="A38" s="21"/>
      <c r="C38" s="59"/>
      <c r="D38" s="59"/>
      <c r="H38" s="22"/>
      <c r="I38" s="22"/>
      <c r="J38" s="22"/>
      <c r="M38" s="22"/>
      <c r="N38" s="22"/>
    </row>
    <row r="39" spans="1:14" s="4" customFormat="1" x14ac:dyDescent="0.3">
      <c r="A39" s="21"/>
      <c r="B39" s="87"/>
      <c r="C39" s="37"/>
      <c r="D39" s="37"/>
      <c r="E39" s="87"/>
      <c r="F39" s="87"/>
      <c r="G39" s="87"/>
      <c r="H39" s="22"/>
      <c r="I39" s="22"/>
      <c r="J39" s="22"/>
      <c r="M39" s="22"/>
    </row>
    <row r="40" spans="1:14" s="4" customFormat="1" x14ac:dyDescent="0.3">
      <c r="A40" s="21"/>
      <c r="J40" s="22"/>
    </row>
    <row r="41" spans="1:14" s="4" customFormat="1" x14ac:dyDescent="0.3">
      <c r="A41" s="21"/>
      <c r="J41" s="22"/>
    </row>
    <row r="42" spans="1:14" s="4" customFormat="1" x14ac:dyDescent="0.3">
      <c r="A42" s="21"/>
      <c r="C42" s="22"/>
      <c r="D42" s="22"/>
      <c r="E42" s="22"/>
      <c r="F42" s="22"/>
      <c r="G42" s="22"/>
      <c r="H42" s="22"/>
      <c r="I42" s="22"/>
      <c r="J42" s="22"/>
      <c r="M42" s="22"/>
    </row>
    <row r="43" spans="1:14" s="21" customFormat="1" x14ac:dyDescent="0.3">
      <c r="B43" s="4"/>
      <c r="C43" s="46"/>
      <c r="D43" s="46"/>
      <c r="E43" s="46"/>
      <c r="F43" s="46"/>
      <c r="G43" s="46"/>
      <c r="H43" s="46"/>
      <c r="I43" s="46"/>
      <c r="J43" s="22"/>
      <c r="K43" s="4"/>
      <c r="L43" s="4"/>
      <c r="M43" s="46"/>
      <c r="N43" s="56"/>
    </row>
    <row r="44" spans="1:14" s="21" customFormat="1" x14ac:dyDescent="0.3">
      <c r="B44" s="33"/>
      <c r="C44" s="91"/>
      <c r="D44" s="91"/>
      <c r="E44" s="91"/>
      <c r="F44" s="91"/>
      <c r="G44" s="91"/>
      <c r="H44" s="91"/>
      <c r="I44" s="91"/>
      <c r="J44" s="22"/>
      <c r="K44" s="4"/>
      <c r="L44" s="4"/>
      <c r="M44" s="91"/>
      <c r="N44" s="91"/>
    </row>
    <row r="45" spans="1:14" s="21" customFormat="1" x14ac:dyDescent="0.3">
      <c r="B45" s="33"/>
      <c r="C45" s="22"/>
      <c r="D45" s="22"/>
      <c r="E45" s="22"/>
      <c r="F45" s="22"/>
      <c r="G45" s="22"/>
      <c r="H45" s="22"/>
      <c r="I45" s="22"/>
      <c r="J45" s="22"/>
      <c r="K45" s="22">
        <f ca="1">SUM(K25:K44)</f>
        <v>1604638887.2719209</v>
      </c>
      <c r="L45" s="22">
        <f ca="1">SUM(L25:L44)</f>
        <v>27428530790.296734</v>
      </c>
      <c r="M45" s="22"/>
      <c r="N45" s="22"/>
    </row>
    <row r="46" spans="1:14" s="21" customFormat="1" x14ac:dyDescent="0.3">
      <c r="B46" s="22"/>
      <c r="C46" s="50"/>
      <c r="D46" s="50"/>
      <c r="E46" s="22"/>
      <c r="F46" s="22"/>
      <c r="G46" s="22"/>
      <c r="H46" s="22"/>
      <c r="I46" s="22"/>
      <c r="J46" s="22"/>
      <c r="K46" s="51">
        <f ca="1">L45/K45</f>
        <v>17.093273139434217</v>
      </c>
      <c r="L46" s="22"/>
      <c r="M46" s="22"/>
      <c r="N46" s="22"/>
    </row>
    <row r="47" spans="1:14" s="21" customFormat="1" x14ac:dyDescent="0.3">
      <c r="B47" s="88"/>
      <c r="C47" s="37"/>
      <c r="D47" s="37"/>
      <c r="E47" s="88"/>
      <c r="F47" s="88"/>
      <c r="G47" s="88"/>
      <c r="H47" s="22"/>
      <c r="I47" s="22"/>
      <c r="J47" s="22"/>
      <c r="K47" s="22"/>
      <c r="L47" s="22"/>
      <c r="M47" s="22"/>
      <c r="N47" s="22"/>
    </row>
    <row r="48" spans="1:14" s="21" customFormat="1" x14ac:dyDescent="0.3">
      <c r="B48" s="89"/>
      <c r="C48" s="89"/>
      <c r="D48" s="89"/>
      <c r="E48" s="89"/>
      <c r="F48" s="89"/>
      <c r="G48" s="89"/>
      <c r="H48" s="22"/>
      <c r="I48" s="22"/>
      <c r="J48" s="22"/>
      <c r="K48" s="22"/>
      <c r="L48" s="22"/>
      <c r="M48" s="22"/>
      <c r="N48" s="22"/>
    </row>
    <row r="49" spans="1:14" s="2" customFormat="1" x14ac:dyDescent="0.3">
      <c r="A49" s="21"/>
      <c r="B49" s="4"/>
      <c r="C49" s="4"/>
      <c r="D49" s="4"/>
      <c r="E49" s="4"/>
      <c r="F49" s="4"/>
      <c r="G49" s="4"/>
      <c r="H49" s="22"/>
      <c r="I49" s="22"/>
      <c r="J49" s="22"/>
      <c r="K49" s="22"/>
      <c r="L49" s="22"/>
      <c r="M49" s="22"/>
      <c r="N49" s="22"/>
    </row>
    <row r="50" spans="1:14" x14ac:dyDescent="0.3">
      <c r="A50" s="12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s="2" customFormat="1" x14ac:dyDescent="0.3">
      <c r="A51" s="1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</row>
    <row r="52" spans="1:14" x14ac:dyDescent="0.3">
      <c r="A52" s="12"/>
      <c r="B52" s="4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46"/>
    </row>
    <row r="53" spans="1:14" x14ac:dyDescent="0.3">
      <c r="A53" s="12"/>
      <c r="B53" s="4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46"/>
    </row>
    <row r="54" spans="1:14" x14ac:dyDescent="0.3">
      <c r="A54" s="12"/>
      <c r="B54" s="33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</row>
    <row r="55" spans="1:14" x14ac:dyDescent="0.3">
      <c r="A55" s="1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</row>
    <row r="56" spans="1:14" x14ac:dyDescent="0.3">
      <c r="A56" s="12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</sheetData>
  <mergeCells count="3">
    <mergeCell ref="C1:I1"/>
    <mergeCell ref="J1:K1"/>
    <mergeCell ref="L1:M1"/>
  </mergeCells>
  <dataValidations disablePrompts="1" count="1">
    <dataValidation allowBlank="1" showInputMessage="1" showErrorMessage="1" sqref="B47:G47 C37:D37" xr:uid="{FB5CD3F0-D969-4F94-A93D-7ED838E9FAC1}"/>
  </dataValidation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4800-3ECE-49B1-BB77-D58D9257492D}">
  <dimension ref="A1:W58"/>
  <sheetViews>
    <sheetView zoomScaleNormal="100" workbookViewId="0">
      <selection activeCell="G11" sqref="G11"/>
    </sheetView>
  </sheetViews>
  <sheetFormatPr defaultColWidth="0" defaultRowHeight="13.8" x14ac:dyDescent="0.3"/>
  <cols>
    <col min="1" max="1" width="0.88671875" style="1" customWidth="1"/>
    <col min="2" max="2" width="30.33203125" style="1" customWidth="1"/>
    <col min="3" max="3" width="14.77734375" style="1" customWidth="1"/>
    <col min="4" max="4" width="12.77734375" style="1" customWidth="1"/>
    <col min="5" max="5" width="14.77734375" style="1" customWidth="1"/>
    <col min="6" max="6" width="13.77734375" style="10" customWidth="1"/>
    <col min="7" max="7" width="13.77734375" style="1" customWidth="1"/>
    <col min="8" max="8" width="1.5546875" style="1" customWidth="1"/>
    <col min="9" max="23" width="0" style="1" hidden="1" customWidth="1"/>
    <col min="24" max="16384" width="9.109375" style="1" hidden="1"/>
  </cols>
  <sheetData>
    <row r="1" spans="1:8" ht="21" customHeight="1" x14ac:dyDescent="0.4">
      <c r="A1" s="8"/>
      <c r="B1" s="36" t="s">
        <v>15</v>
      </c>
      <c r="C1" s="9"/>
      <c r="D1" s="9"/>
      <c r="E1" s="36" t="s">
        <v>14</v>
      </c>
      <c r="F1" s="9"/>
      <c r="G1" s="9"/>
      <c r="H1" s="8"/>
    </row>
    <row r="2" spans="1:8" s="2" customFormat="1" ht="14.4" x14ac:dyDescent="0.3">
      <c r="A2" s="11"/>
      <c r="B2" s="82" t="s">
        <v>124</v>
      </c>
      <c r="C2" s="191">
        <v>2082.9401698630099</v>
      </c>
      <c r="D2" s="111" t="s">
        <v>152</v>
      </c>
      <c r="E2" s="31" t="s">
        <v>148</v>
      </c>
      <c r="F2" s="75"/>
      <c r="G2" s="119"/>
      <c r="H2" s="11"/>
    </row>
    <row r="3" spans="1:8" s="12" customFormat="1" x14ac:dyDescent="0.3">
      <c r="A3" s="11"/>
      <c r="B3" s="17" t="s">
        <v>139</v>
      </c>
      <c r="C3" s="190">
        <v>999.37297760000001</v>
      </c>
      <c r="D3" s="20" t="s">
        <v>114</v>
      </c>
      <c r="E3" s="120" t="s">
        <v>118</v>
      </c>
      <c r="F3" s="14">
        <f>C34</f>
        <v>311682623.01404685</v>
      </c>
      <c r="G3" s="121"/>
      <c r="H3" s="8"/>
    </row>
    <row r="4" spans="1:8" s="12" customFormat="1" x14ac:dyDescent="0.3">
      <c r="A4" s="11"/>
      <c r="B4" s="31" t="s">
        <v>111</v>
      </c>
      <c r="C4" s="115"/>
      <c r="D4" s="116"/>
      <c r="E4" s="122" t="s">
        <v>116</v>
      </c>
      <c r="F4" s="4">
        <f>D34</f>
        <v>364853562.63869298</v>
      </c>
      <c r="G4" s="121"/>
      <c r="H4" s="8"/>
    </row>
    <row r="5" spans="1:8" s="12" customFormat="1" x14ac:dyDescent="0.3">
      <c r="A5" s="11"/>
      <c r="B5" s="17" t="s">
        <v>108</v>
      </c>
      <c r="C5" s="114" t="s">
        <v>116</v>
      </c>
      <c r="D5" s="20" t="s">
        <v>110</v>
      </c>
      <c r="E5" s="122" t="s">
        <v>10</v>
      </c>
      <c r="F5" s="4">
        <f>E34</f>
        <v>502176852.48295426</v>
      </c>
      <c r="G5" s="121"/>
      <c r="H5" s="8"/>
    </row>
    <row r="6" spans="1:8" s="12" customFormat="1" x14ac:dyDescent="0.3">
      <c r="A6" s="11"/>
      <c r="B6" s="17" t="s">
        <v>119</v>
      </c>
      <c r="C6" s="117" t="s">
        <v>116</v>
      </c>
      <c r="D6" s="20" t="s">
        <v>110</v>
      </c>
      <c r="E6" s="123" t="s">
        <v>117</v>
      </c>
      <c r="F6" s="27">
        <f>F34</f>
        <v>364853562.63869298</v>
      </c>
      <c r="G6" s="124"/>
      <c r="H6" s="8"/>
    </row>
    <row r="7" spans="1:8" ht="14.4" x14ac:dyDescent="0.3">
      <c r="A7" s="8"/>
      <c r="B7" s="31" t="s">
        <v>112</v>
      </c>
      <c r="C7" s="118"/>
      <c r="D7" s="18"/>
      <c r="E7" s="31" t="s">
        <v>149</v>
      </c>
      <c r="F7" s="75"/>
      <c r="G7" s="119"/>
      <c r="H7" s="8"/>
    </row>
    <row r="8" spans="1:8" x14ac:dyDescent="0.3">
      <c r="A8" s="8"/>
      <c r="B8" s="23" t="s">
        <v>16</v>
      </c>
      <c r="C8" s="13" t="s">
        <v>52</v>
      </c>
      <c r="D8" s="20" t="s">
        <v>109</v>
      </c>
      <c r="E8" s="120" t="s">
        <v>118</v>
      </c>
      <c r="F8" s="4">
        <f>C57</f>
        <v>64306007.726644985</v>
      </c>
      <c r="G8" s="15">
        <f>F8+F3</f>
        <v>375988630.74069184</v>
      </c>
      <c r="H8" s="8"/>
    </row>
    <row r="9" spans="1:8" x14ac:dyDescent="0.3">
      <c r="A9" s="8"/>
      <c r="B9" s="17" t="s">
        <v>113</v>
      </c>
      <c r="C9" s="13" t="s">
        <v>107</v>
      </c>
      <c r="D9" s="20" t="s">
        <v>120</v>
      </c>
      <c r="E9" s="122" t="s">
        <v>116</v>
      </c>
      <c r="F9" s="4">
        <f>D57</f>
        <v>69739850.676226377</v>
      </c>
      <c r="G9" s="15"/>
      <c r="H9" s="8"/>
    </row>
    <row r="10" spans="1:8" x14ac:dyDescent="0.3">
      <c r="A10" s="8"/>
      <c r="B10" s="17" t="s">
        <v>121</v>
      </c>
      <c r="C10" s="13" t="s">
        <v>116</v>
      </c>
      <c r="D10" s="20" t="s">
        <v>110</v>
      </c>
      <c r="E10" s="122" t="s">
        <v>10</v>
      </c>
      <c r="F10" s="4">
        <f>E57</f>
        <v>82668647.725261748</v>
      </c>
      <c r="G10" s="15"/>
      <c r="H10" s="8"/>
    </row>
    <row r="11" spans="1:8" x14ac:dyDescent="0.3">
      <c r="A11" s="8"/>
      <c r="B11" s="24" t="s">
        <v>13</v>
      </c>
      <c r="C11" s="112" t="s">
        <v>201</v>
      </c>
      <c r="D11" s="113" t="s">
        <v>0</v>
      </c>
      <c r="E11" s="123" t="s">
        <v>117</v>
      </c>
      <c r="F11" s="27">
        <f>F57</f>
        <v>69739850.676226377</v>
      </c>
      <c r="G11" s="15">
        <f>F5+F10</f>
        <v>584845500.20821595</v>
      </c>
      <c r="H11" s="8"/>
    </row>
    <row r="12" spans="1:8" s="2" customFormat="1" ht="21" x14ac:dyDescent="0.4">
      <c r="A12" s="11"/>
      <c r="B12" s="36" t="s">
        <v>138</v>
      </c>
      <c r="C12" s="9"/>
      <c r="D12" s="9"/>
      <c r="E12" s="9"/>
      <c r="F12" s="9"/>
      <c r="G12" s="9"/>
      <c r="H12" s="8"/>
    </row>
    <row r="13" spans="1:8" s="2" customFormat="1" ht="14.4" customHeight="1" x14ac:dyDescent="0.3">
      <c r="A13" s="11"/>
      <c r="B13" s="31" t="s">
        <v>127</v>
      </c>
      <c r="C13" s="34"/>
      <c r="D13" s="34"/>
      <c r="E13" s="34"/>
      <c r="F13" s="34"/>
      <c r="G13" s="71"/>
      <c r="H13" s="8"/>
    </row>
    <row r="14" spans="1:8" s="12" customFormat="1" ht="14.4" customHeight="1" x14ac:dyDescent="0.3">
      <c r="A14" s="11"/>
      <c r="B14" s="122" t="s">
        <v>131</v>
      </c>
      <c r="H14" s="11"/>
    </row>
    <row r="15" spans="1:8" s="12" customFormat="1" ht="14.4" customHeight="1" x14ac:dyDescent="0.3">
      <c r="A15" s="11"/>
      <c r="B15" s="128" t="str">
        <f xml:space="preserve"> B$2</f>
        <v>Crude Oil Volume</v>
      </c>
      <c r="C15" s="128">
        <f t="shared" ref="C15:D15" si="0" xml:space="preserve"> C$2</f>
        <v>2082.9401698630099</v>
      </c>
      <c r="D15" s="128" t="str">
        <f t="shared" si="0"/>
        <v>e3bbls/day</v>
      </c>
      <c r="E15" s="22"/>
      <c r="F15" s="22"/>
      <c r="G15" s="86"/>
      <c r="H15" s="11"/>
    </row>
    <row r="16" spans="1:8" s="2" customFormat="1" x14ac:dyDescent="0.3">
      <c r="A16" s="11"/>
      <c r="B16" s="129" t="str">
        <f xml:space="preserve"> Inputs!E$118</f>
        <v>Days in a year</v>
      </c>
      <c r="C16" s="129">
        <f xml:space="preserve"> Inputs!F$118</f>
        <v>365</v>
      </c>
      <c r="D16" s="129" t="str">
        <f xml:space="preserve"> Inputs!G$118</f>
        <v>days</v>
      </c>
      <c r="E16" s="22"/>
      <c r="F16" s="22"/>
      <c r="G16" s="86"/>
      <c r="H16" s="11"/>
    </row>
    <row r="17" spans="1:8" s="2" customFormat="1" x14ac:dyDescent="0.3">
      <c r="A17" s="11"/>
      <c r="B17" s="96" t="s">
        <v>124</v>
      </c>
      <c r="C17" s="93">
        <f>C15*C16</f>
        <v>760273.16199999861</v>
      </c>
      <c r="D17" s="93" t="s">
        <v>7</v>
      </c>
      <c r="E17" s="22"/>
      <c r="F17" s="22"/>
      <c r="G17" s="62"/>
      <c r="H17" s="11"/>
    </row>
    <row r="18" spans="1:8" s="2" customFormat="1" x14ac:dyDescent="0.3">
      <c r="A18" s="11"/>
      <c r="B18" s="130" t="str">
        <f xml:space="preserve"> Inputs!E$119</f>
        <v>Barrels per tonne</v>
      </c>
      <c r="C18" s="131">
        <f xml:space="preserve"> Inputs!F$119</f>
        <v>7.33</v>
      </c>
      <c r="D18" s="130" t="str">
        <f xml:space="preserve"> Inputs!G$119</f>
        <v>barrels</v>
      </c>
      <c r="E18" s="22"/>
      <c r="F18" s="22"/>
      <c r="G18" s="29"/>
      <c r="H18" s="11"/>
    </row>
    <row r="19" spans="1:8" s="2" customFormat="1" x14ac:dyDescent="0.3">
      <c r="A19" s="11"/>
      <c r="B19" s="96" t="s">
        <v>124</v>
      </c>
      <c r="C19" s="132">
        <f>C17/C18</f>
        <v>103720.75879945411</v>
      </c>
      <c r="D19" s="96" t="s">
        <v>123</v>
      </c>
      <c r="E19" s="63"/>
      <c r="F19" s="63"/>
      <c r="G19" s="64"/>
      <c r="H19" s="11"/>
    </row>
    <row r="20" spans="1:8" s="2" customFormat="1" x14ac:dyDescent="0.3">
      <c r="A20" s="11"/>
      <c r="B20" s="125" t="s">
        <v>134</v>
      </c>
      <c r="C20" s="65"/>
      <c r="D20" s="65"/>
      <c r="E20" s="65"/>
      <c r="F20" s="66"/>
      <c r="G20" s="67"/>
      <c r="H20" s="11"/>
    </row>
    <row r="21" spans="1:8" s="5" customFormat="1" x14ac:dyDescent="0.3">
      <c r="A21" s="30"/>
      <c r="B21" s="96"/>
      <c r="C21" s="133" t="s">
        <v>118</v>
      </c>
      <c r="D21" s="133" t="s">
        <v>116</v>
      </c>
      <c r="E21" s="133" t="s">
        <v>10</v>
      </c>
      <c r="F21" s="133" t="s">
        <v>117</v>
      </c>
      <c r="G21" s="107"/>
      <c r="H21" s="30"/>
    </row>
    <row r="22" spans="1:8" s="5" customFormat="1" x14ac:dyDescent="0.3">
      <c r="A22" s="30"/>
      <c r="B22" s="129" t="str">
        <f xml:space="preserve"> Inputs!E$112</f>
        <v>Oil: Terajoules per e3tons</v>
      </c>
      <c r="C22" s="131">
        <f xml:space="preserve"> Inputs!F$112</f>
        <v>40.1</v>
      </c>
      <c r="D22" s="131">
        <f xml:space="preserve"> Inputs!G$112</f>
        <v>42.3</v>
      </c>
      <c r="E22" s="131">
        <f xml:space="preserve"> Inputs!H$112</f>
        <v>44.8</v>
      </c>
      <c r="F22" s="95">
        <f>INDEX(C22:E22,MATCH(C5,C21:E21,0))</f>
        <v>42.3</v>
      </c>
      <c r="G22" s="68"/>
      <c r="H22" s="30"/>
    </row>
    <row r="23" spans="1:8" s="5" customFormat="1" x14ac:dyDescent="0.3">
      <c r="A23" s="30"/>
      <c r="B23" s="96" t="s">
        <v>132</v>
      </c>
      <c r="C23" s="96">
        <f>$C$19*C22</f>
        <v>4159202.4278581101</v>
      </c>
      <c r="D23" s="96">
        <f>$C$19*D22</f>
        <v>4387388.0972169088</v>
      </c>
      <c r="E23" s="96">
        <f>$C$19*E22</f>
        <v>4646689.9942155434</v>
      </c>
      <c r="F23" s="96">
        <f>$C$19*F22</f>
        <v>4387388.0972169088</v>
      </c>
      <c r="G23" s="108"/>
      <c r="H23" s="30"/>
    </row>
    <row r="24" spans="1:8" s="5" customFormat="1" x14ac:dyDescent="0.3">
      <c r="A24" s="30"/>
      <c r="B24" s="126" t="s">
        <v>133</v>
      </c>
      <c r="C24" s="78"/>
      <c r="D24" s="78"/>
      <c r="E24" s="78"/>
      <c r="F24" s="78"/>
      <c r="G24" s="109"/>
      <c r="H24" s="30"/>
    </row>
    <row r="25" spans="1:8" s="5" customFormat="1" x14ac:dyDescent="0.3">
      <c r="A25" s="30"/>
      <c r="B25" s="96"/>
      <c r="C25" s="133" t="s">
        <v>118</v>
      </c>
      <c r="D25" s="133" t="s">
        <v>116</v>
      </c>
      <c r="E25" s="133" t="s">
        <v>10</v>
      </c>
      <c r="F25" s="133" t="s">
        <v>117</v>
      </c>
      <c r="H25" s="30"/>
    </row>
    <row r="26" spans="1:8" s="5" customFormat="1" x14ac:dyDescent="0.3">
      <c r="A26" s="30"/>
      <c r="B26" s="129" t="str">
        <f xml:space="preserve"> Inputs!E$113</f>
        <v>Tons CO2E per TJ (oil)</v>
      </c>
      <c r="C26" s="131">
        <f xml:space="preserve"> Inputs!F$113</f>
        <v>71.099999999999994</v>
      </c>
      <c r="D26" s="131">
        <f xml:space="preserve"> Inputs!G$113</f>
        <v>73.3</v>
      </c>
      <c r="E26" s="131">
        <f xml:space="preserve"> Inputs!H$113</f>
        <v>75.5</v>
      </c>
      <c r="F26" s="95">
        <f>INDEX(C26:E26,MATCH(C6,C25:E25,0))</f>
        <v>73.3</v>
      </c>
      <c r="G26" s="110"/>
      <c r="H26" s="30"/>
    </row>
    <row r="27" spans="1:8" s="2" customFormat="1" x14ac:dyDescent="0.3">
      <c r="A27" s="11"/>
      <c r="B27" s="134" t="s">
        <v>135</v>
      </c>
      <c r="C27" s="134">
        <f>C23*C26</f>
        <v>295719292.62071162</v>
      </c>
      <c r="D27" s="134">
        <f>D23*D26</f>
        <v>321595547.52599943</v>
      </c>
      <c r="E27" s="134">
        <f>E23*E26</f>
        <v>350825094.56327355</v>
      </c>
      <c r="F27" s="134">
        <f>F23*F26</f>
        <v>321595547.52599943</v>
      </c>
      <c r="G27" s="70"/>
      <c r="H27" s="11"/>
    </row>
    <row r="28" spans="1:8" s="2" customFormat="1" x14ac:dyDescent="0.3">
      <c r="A28" s="11"/>
      <c r="B28" s="31" t="s">
        <v>128</v>
      </c>
      <c r="C28" s="34"/>
      <c r="D28" s="34"/>
      <c r="E28" s="34"/>
      <c r="F28" s="34"/>
      <c r="G28" s="72"/>
      <c r="H28" s="11"/>
    </row>
    <row r="29" spans="1:8" s="5" customFormat="1" x14ac:dyDescent="0.3">
      <c r="A29" s="30"/>
      <c r="B29" s="96"/>
      <c r="C29" s="133" t="s">
        <v>118</v>
      </c>
      <c r="D29" s="133" t="s">
        <v>116</v>
      </c>
      <c r="E29" s="133" t="s">
        <v>10</v>
      </c>
      <c r="F29" s="133" t="s">
        <v>117</v>
      </c>
      <c r="G29" s="106"/>
      <c r="H29" s="30"/>
    </row>
    <row r="30" spans="1:8" s="2" customFormat="1" x14ac:dyDescent="0.3">
      <c r="A30" s="11"/>
      <c r="B30" s="130" t="str">
        <f xml:space="preserve"> Inputs!E$104</f>
        <v>IEA (GWP100)</v>
      </c>
      <c r="C30" s="131">
        <f xml:space="preserve"> Inputs!F$104</f>
        <v>20.996835336580325</v>
      </c>
      <c r="D30" s="131">
        <f xml:space="preserve"> Inputs!G$104</f>
        <v>57.23304572</v>
      </c>
      <c r="E30" s="131">
        <f xml:space="preserve"> Inputs!H$104</f>
        <v>106.00917424659679</v>
      </c>
      <c r="F30" s="135">
        <f>IF(AND(C9="IEA",C11="GWP100"),INDEX(C30:E30,MATCH(C10,C29:E29,0)),0)</f>
        <v>0</v>
      </c>
      <c r="G30" s="55"/>
      <c r="H30" s="11"/>
    </row>
    <row r="31" spans="1:8" s="2" customFormat="1" x14ac:dyDescent="0.3">
      <c r="A31" s="11"/>
      <c r="B31" s="130" t="str">
        <f xml:space="preserve"> Inputs!E$105</f>
        <v>IEA (GWP20)</v>
      </c>
      <c r="C31" s="131">
        <f xml:space="preserve"> Inputs!F$105</f>
        <v>40.838368647457628</v>
      </c>
      <c r="D31" s="131">
        <f xml:space="preserve"> Inputs!G$105</f>
        <v>109.96262041926359</v>
      </c>
      <c r="E31" s="136">
        <f xml:space="preserve"> Inputs!H$105</f>
        <v>199.07549744558918</v>
      </c>
      <c r="F31" s="135">
        <f>IF(AND(C9="IEA",C11="GWP20"),INDEX(C31:E31,MATCH(C10,C29:E29,0)),0)</f>
        <v>0</v>
      </c>
      <c r="G31" s="55"/>
      <c r="H31" s="11"/>
    </row>
    <row r="32" spans="1:8" s="5" customFormat="1" x14ac:dyDescent="0.3">
      <c r="A32" s="30"/>
      <c r="B32" s="137" t="str">
        <f xml:space="preserve"> "Opgee " &amp; C8 &amp; " " &amp; C11</f>
        <v>Opgee Mexico GWP100</v>
      </c>
      <c r="C32" s="137"/>
      <c r="D32" s="138">
        <f>INDEX(Inputs!I6:K95,MATCH($C$8,Inputs!$E$6:$E$95),MATCH($C$10,Inputs!$E$98:$E$100,0))</f>
        <v>56.897990452402226</v>
      </c>
      <c r="E32" s="137"/>
      <c r="F32" s="135">
        <f>IF(C9="IEA",0,D32)</f>
        <v>56.897990452402226</v>
      </c>
      <c r="G32" s="55"/>
      <c r="H32" s="11"/>
    </row>
    <row r="33" spans="1:8" s="5" customFormat="1" x14ac:dyDescent="0.3">
      <c r="A33" s="30"/>
      <c r="B33" s="134" t="s">
        <v>136</v>
      </c>
      <c r="C33" s="139">
        <f>$C$17*C30</f>
        <v>15963330.393335229</v>
      </c>
      <c r="D33" s="139">
        <f>C17*D32</f>
        <v>43258015.112693571</v>
      </c>
      <c r="E33" s="139">
        <f>$C$17*E31</f>
        <v>151351757.91968074</v>
      </c>
      <c r="F33" s="139">
        <f>$C$17*SUM(F30:F32)</f>
        <v>43258015.112693571</v>
      </c>
      <c r="G33" s="55"/>
      <c r="H33" s="30"/>
    </row>
    <row r="34" spans="1:8" s="5" customFormat="1" x14ac:dyDescent="0.3">
      <c r="A34" s="30"/>
      <c r="B34" s="31" t="s">
        <v>150</v>
      </c>
      <c r="C34" s="74">
        <f>C27+C33</f>
        <v>311682623.01404685</v>
      </c>
      <c r="D34" s="74">
        <f t="shared" ref="D34:F34" si="1">D27+D33</f>
        <v>364853562.63869298</v>
      </c>
      <c r="E34" s="74">
        <f t="shared" si="1"/>
        <v>502176852.48295426</v>
      </c>
      <c r="F34" s="74">
        <f t="shared" si="1"/>
        <v>364853562.63869298</v>
      </c>
      <c r="G34" s="75"/>
      <c r="H34" s="30"/>
    </row>
    <row r="35" spans="1:8" s="5" customFormat="1" ht="21" x14ac:dyDescent="0.3">
      <c r="A35" s="30"/>
      <c r="B35" s="7" t="s">
        <v>137</v>
      </c>
      <c r="C35" s="11"/>
      <c r="D35" s="11"/>
      <c r="E35" s="11"/>
      <c r="F35" s="11"/>
      <c r="G35" s="11"/>
      <c r="H35" s="30"/>
    </row>
    <row r="36" spans="1:8" s="21" customFormat="1" x14ac:dyDescent="0.3">
      <c r="A36" s="30"/>
      <c r="B36" s="16" t="s">
        <v>141</v>
      </c>
      <c r="C36" s="32"/>
      <c r="D36" s="32"/>
      <c r="E36" s="32"/>
      <c r="F36" s="32"/>
      <c r="G36" s="61"/>
      <c r="H36" s="30"/>
    </row>
    <row r="37" spans="1:8" s="4" customFormat="1" x14ac:dyDescent="0.3">
      <c r="A37" s="30"/>
      <c r="B37" s="140" t="s">
        <v>142</v>
      </c>
      <c r="C37" s="96"/>
      <c r="D37" s="96"/>
      <c r="E37" s="78"/>
      <c r="F37" s="41"/>
      <c r="G37" s="127"/>
      <c r="H37" s="30"/>
    </row>
    <row r="38" spans="1:8" s="4" customFormat="1" x14ac:dyDescent="0.3">
      <c r="A38" s="30"/>
      <c r="B38" s="141" t="str">
        <f xml:space="preserve"> B$3</f>
        <v>Gas Volume</v>
      </c>
      <c r="C38" s="141">
        <f xml:space="preserve"> C$3</f>
        <v>999.37297760000001</v>
      </c>
      <c r="D38" s="141" t="str">
        <f xml:space="preserve"> D$3</f>
        <v>e9feet3</v>
      </c>
      <c r="H38" s="30"/>
    </row>
    <row r="39" spans="1:8" s="4" customFormat="1" x14ac:dyDescent="0.3">
      <c r="A39" s="30"/>
      <c r="B39" s="130" t="str">
        <f xml:space="preserve"> Inputs!E$120</f>
        <v>Meter to foot3 conversion</v>
      </c>
      <c r="C39" s="142">
        <f xml:space="preserve"> Inputs!F$120</f>
        <v>35.314662471284763</v>
      </c>
      <c r="D39" s="130" t="str">
        <f xml:space="preserve"> Inputs!G$120</f>
        <v>feet</v>
      </c>
      <c r="F39" s="28"/>
      <c r="G39" s="69"/>
      <c r="H39" s="30"/>
    </row>
    <row r="40" spans="1:8" s="4" customFormat="1" x14ac:dyDescent="0.3">
      <c r="A40" s="30"/>
      <c r="B40" s="96" t="str">
        <f>B38</f>
        <v>Gas Volume</v>
      </c>
      <c r="C40" s="143">
        <f>C38/C39</f>
        <v>28.299094700752562</v>
      </c>
      <c r="D40" s="96" t="s">
        <v>1</v>
      </c>
      <c r="E40" s="28"/>
      <c r="F40" s="28"/>
      <c r="G40" s="26"/>
      <c r="H40" s="30"/>
    </row>
    <row r="41" spans="1:8" s="4" customFormat="1" x14ac:dyDescent="0.3">
      <c r="A41" s="30"/>
      <c r="B41" s="144" t="str">
        <f xml:space="preserve"> Inputs!E$121</f>
        <v>Petajoules per e6m3</v>
      </c>
      <c r="C41" s="142">
        <f xml:space="preserve"> Inputs!F$121</f>
        <v>36</v>
      </c>
      <c r="D41" s="144" t="str">
        <f xml:space="preserve"> Inputs!G$121</f>
        <v>PJ / e9m3</v>
      </c>
      <c r="E41" s="28"/>
      <c r="F41" s="14"/>
      <c r="G41" s="69"/>
      <c r="H41" s="30"/>
    </row>
    <row r="42" spans="1:8" s="4" customFormat="1" x14ac:dyDescent="0.3">
      <c r="A42" s="30"/>
      <c r="B42" s="96" t="s">
        <v>151</v>
      </c>
      <c r="C42" s="96">
        <f>C40*C41</f>
        <v>1018.7674092270922</v>
      </c>
      <c r="D42" s="96" t="s">
        <v>6</v>
      </c>
      <c r="E42" s="25"/>
      <c r="F42" s="25"/>
      <c r="G42" s="70"/>
      <c r="H42" s="30"/>
    </row>
    <row r="43" spans="1:8" s="4" customFormat="1" x14ac:dyDescent="0.3">
      <c r="A43" s="30"/>
      <c r="B43" s="126" t="s">
        <v>143</v>
      </c>
      <c r="C43" s="78"/>
      <c r="D43" s="78"/>
      <c r="E43" s="78"/>
      <c r="F43" s="78"/>
      <c r="G43" s="77"/>
      <c r="H43" s="30"/>
    </row>
    <row r="44" spans="1:8" s="4" customFormat="1" x14ac:dyDescent="0.3">
      <c r="A44" s="30"/>
      <c r="B44" s="93"/>
      <c r="C44" s="133" t="s">
        <v>118</v>
      </c>
      <c r="D44" s="133" t="s">
        <v>116</v>
      </c>
      <c r="E44" s="133" t="s">
        <v>10</v>
      </c>
      <c r="F44" s="93"/>
      <c r="H44" s="30"/>
    </row>
    <row r="45" spans="1:8" s="21" customFormat="1" x14ac:dyDescent="0.3">
      <c r="A45" s="30"/>
      <c r="B45" s="145" t="str">
        <f xml:space="preserve"> Inputs!E$115</f>
        <v>Tons CO2E per TJ (gas)</v>
      </c>
      <c r="C45" s="131">
        <f xml:space="preserve"> Inputs!F$115</f>
        <v>54.3</v>
      </c>
      <c r="D45" s="131">
        <f xml:space="preserve"> Inputs!G$115</f>
        <v>56.1</v>
      </c>
      <c r="E45" s="131">
        <f xml:space="preserve"> Inputs!H$115</f>
        <v>58.3</v>
      </c>
      <c r="F45" s="135">
        <f>INDEX(C45:E45,MATCH(C6,C44:E44,0))</f>
        <v>56.1</v>
      </c>
      <c r="G45" s="69"/>
      <c r="H45" s="30"/>
    </row>
    <row r="46" spans="1:8" s="21" customFormat="1" x14ac:dyDescent="0.3">
      <c r="A46" s="30"/>
      <c r="B46" s="134" t="s">
        <v>135</v>
      </c>
      <c r="C46" s="146">
        <f>C45*$C$42*1000</f>
        <v>55319070.321031101</v>
      </c>
      <c r="D46" s="146">
        <f t="shared" ref="D46:F46" si="2">D45*$C$42*1000</f>
        <v>57152851.657639876</v>
      </c>
      <c r="E46" s="146">
        <f t="shared" si="2"/>
        <v>59394139.957939468</v>
      </c>
      <c r="F46" s="146">
        <f t="shared" si="2"/>
        <v>57152851.657639876</v>
      </c>
      <c r="G46" s="84"/>
      <c r="H46" s="30"/>
    </row>
    <row r="47" spans="1:8" s="21" customFormat="1" x14ac:dyDescent="0.3">
      <c r="A47" s="30"/>
      <c r="B47" s="16" t="s">
        <v>128</v>
      </c>
      <c r="C47" s="32"/>
      <c r="D47" s="32"/>
      <c r="E47" s="32"/>
      <c r="F47" s="32"/>
      <c r="G47" s="61"/>
      <c r="H47" s="30"/>
    </row>
    <row r="48" spans="1:8" s="21" customFormat="1" x14ac:dyDescent="0.3">
      <c r="A48" s="30"/>
      <c r="B48" s="151" t="s">
        <v>144</v>
      </c>
      <c r="C48" s="149">
        <f>C40</f>
        <v>28.299094700752562</v>
      </c>
      <c r="D48" s="93" t="s">
        <v>1</v>
      </c>
      <c r="E48" s="41"/>
      <c r="F48" s="41"/>
      <c r="G48" s="127"/>
      <c r="H48" s="30"/>
    </row>
    <row r="49" spans="1:8" s="21" customFormat="1" x14ac:dyDescent="0.3">
      <c r="A49" s="30"/>
      <c r="B49" s="150" t="str">
        <f xml:space="preserve"> Inputs!E$122</f>
        <v>Barrels of oil equivalent per e6m3</v>
      </c>
      <c r="C49" s="142">
        <f xml:space="preserve"> Inputs!F$122</f>
        <v>5.883</v>
      </c>
      <c r="D49" s="144" t="str">
        <f xml:space="preserve"> Inputs!G$122</f>
        <v>e6boe / e9m3</v>
      </c>
      <c r="E49" s="22"/>
      <c r="F49" s="22"/>
      <c r="G49" s="69"/>
      <c r="H49" s="30"/>
    </row>
    <row r="50" spans="1:8" s="21" customFormat="1" x14ac:dyDescent="0.3">
      <c r="A50" s="30"/>
      <c r="B50" s="147" t="str">
        <f xml:space="preserve"> Inputs!E$123</f>
        <v>Thousands in a million</v>
      </c>
      <c r="C50" s="148">
        <f xml:space="preserve"> Inputs!F$123</f>
        <v>1000</v>
      </c>
      <c r="D50" s="147" t="str">
        <f xml:space="preserve"> Inputs!G$123</f>
        <v>constant</v>
      </c>
      <c r="E50" s="22"/>
      <c r="F50" s="22"/>
      <c r="G50" s="69"/>
      <c r="H50" s="30"/>
    </row>
    <row r="51" spans="1:8" s="2" customFormat="1" x14ac:dyDescent="0.3">
      <c r="A51" s="30"/>
      <c r="B51" s="93" t="s">
        <v>11</v>
      </c>
      <c r="C51" s="93">
        <f>C48*C49*C50</f>
        <v>166483.57412452731</v>
      </c>
      <c r="D51" s="93" t="s">
        <v>8</v>
      </c>
      <c r="E51" s="63"/>
      <c r="F51" s="63"/>
      <c r="G51" s="70"/>
      <c r="H51" s="30"/>
    </row>
    <row r="52" spans="1:8" x14ac:dyDescent="0.3">
      <c r="A52" s="11"/>
      <c r="B52" s="152" t="s">
        <v>145</v>
      </c>
      <c r="C52" s="41"/>
      <c r="D52" s="41"/>
      <c r="E52" s="41"/>
      <c r="F52" s="41"/>
      <c r="G52" s="77"/>
      <c r="H52" s="30"/>
    </row>
    <row r="53" spans="1:8" s="2" customFormat="1" x14ac:dyDescent="0.3">
      <c r="A53" s="11"/>
      <c r="B53" s="153"/>
      <c r="C53" s="153" t="s">
        <v>118</v>
      </c>
      <c r="D53" s="153" t="s">
        <v>116</v>
      </c>
      <c r="E53" s="153" t="s">
        <v>10</v>
      </c>
      <c r="F53" s="154"/>
      <c r="G53" s="69"/>
      <c r="H53" s="30"/>
    </row>
    <row r="54" spans="1:8" x14ac:dyDescent="0.3">
      <c r="A54" s="11"/>
      <c r="B54" s="129" t="str">
        <f xml:space="preserve"> Inputs!E$107</f>
        <v>IEA GWP100 (kgco2e / boe)</v>
      </c>
      <c r="C54" s="136">
        <f xml:space="preserve"> Inputs!F$107</f>
        <v>53.980925462903528</v>
      </c>
      <c r="D54" s="136">
        <f xml:space="preserve"> Inputs!G$107</f>
        <v>75.605050436817308</v>
      </c>
      <c r="E54" s="136">
        <f xml:space="preserve"> Inputs!H$107</f>
        <v>139.80062531522347</v>
      </c>
      <c r="F54" s="95">
        <f>IF(C11="GWP100",INDEX(C54:E54,MATCH(C10,C53:E53,0)),0)</f>
        <v>75.605050436817308</v>
      </c>
      <c r="G54" s="69"/>
      <c r="H54" s="11"/>
    </row>
    <row r="55" spans="1:8" x14ac:dyDescent="0.3">
      <c r="A55" s="11"/>
      <c r="B55" s="129" t="str">
        <f xml:space="preserve"> Inputs!E$108</f>
        <v>IEA GWP20 (kgco2e / boe)</v>
      </c>
      <c r="C55" s="136">
        <f xml:space="preserve"> Inputs!F$108</f>
        <v>130.46358286683534</v>
      </c>
      <c r="D55" s="136">
        <f xml:space="preserve"> Inputs!G$108</f>
        <v>196.65926597362139</v>
      </c>
      <c r="E55" s="136">
        <f xml:space="preserve"> Inputs!H$108</f>
        <v>430.96146886443381</v>
      </c>
      <c r="F55" s="95">
        <f>IF(C11="GWP20",INDEX(C55:E55,MATCH(C10,C53:E53,0)),0)</f>
        <v>0</v>
      </c>
      <c r="G55" s="69"/>
      <c r="H55" s="11"/>
    </row>
    <row r="56" spans="1:8" x14ac:dyDescent="0.3">
      <c r="A56" s="11"/>
      <c r="B56" s="134" t="s">
        <v>135</v>
      </c>
      <c r="C56" s="146">
        <f>(C54*$C$51)</f>
        <v>8986937.4056138825</v>
      </c>
      <c r="D56" s="146">
        <f t="shared" ref="D56:F56" si="3">(D54*$C$51)</f>
        <v>12586999.0185865</v>
      </c>
      <c r="E56" s="146">
        <f t="shared" si="3"/>
        <v>23274507.767322276</v>
      </c>
      <c r="F56" s="146">
        <f t="shared" si="3"/>
        <v>12586999.0185865</v>
      </c>
      <c r="G56" s="84"/>
      <c r="H56" s="30"/>
    </row>
    <row r="57" spans="1:8" x14ac:dyDescent="0.3">
      <c r="A57" s="11"/>
      <c r="B57" s="31" t="s">
        <v>12</v>
      </c>
      <c r="C57" s="74">
        <f>C46+C56</f>
        <v>64306007.726644985</v>
      </c>
      <c r="D57" s="74">
        <f t="shared" ref="D57:F57" si="4">D46+D56</f>
        <v>69739850.676226377</v>
      </c>
      <c r="E57" s="74">
        <f t="shared" si="4"/>
        <v>82668647.725261748</v>
      </c>
      <c r="F57" s="74">
        <f t="shared" si="4"/>
        <v>69739850.676226377</v>
      </c>
      <c r="G57" s="75"/>
      <c r="H57" s="11"/>
    </row>
    <row r="58" spans="1:8" x14ac:dyDescent="0.3">
      <c r="A58" s="11"/>
      <c r="B58" s="11"/>
      <c r="C58" s="11"/>
      <c r="D58" s="11"/>
      <c r="E58" s="11"/>
      <c r="F58" s="11"/>
      <c r="G58" s="11"/>
      <c r="H58" s="11"/>
    </row>
  </sheetData>
  <dataValidations count="4">
    <dataValidation type="list" allowBlank="1" showInputMessage="1" showErrorMessage="1" sqref="C9" xr:uid="{9E93FF43-012C-4E9D-B23C-250522A2F84C}">
      <formula1>"IEA,Opgee"</formula1>
    </dataValidation>
    <dataValidation type="list" allowBlank="1" showInputMessage="1" showErrorMessage="1" sqref="C10 C5:C6" xr:uid="{714D7561-823C-492B-8FAE-C555F96B1585}">
      <formula1>"Low,Mid,High"</formula1>
    </dataValidation>
    <dataValidation allowBlank="1" showInputMessage="1" showErrorMessage="1" sqref="B49:D49 C39" xr:uid="{5FE02663-3CC6-42EF-A388-D16E835F0EED}"/>
    <dataValidation type="list" allowBlank="1" showInputMessage="1" showErrorMessage="1" sqref="C11" xr:uid="{4FE61BE5-76E8-4AEA-8C77-B40ECFF065FC}">
      <formula1>"GWP100,GWP20"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237A52-6C13-4A75-AC78-354A41C6DEDB}">
          <x14:formula1>
            <xm:f>Inputs!$E$6:$E$95</xm:f>
          </x14:formula1>
          <xm:sqref>C8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7144-BA47-4373-8F2E-5F5EA49DD039}">
  <dimension ref="B1:L123"/>
  <sheetViews>
    <sheetView workbookViewId="0">
      <pane ySplit="1" topLeftCell="A69" activePane="bottomLeft" state="frozen"/>
      <selection pane="bottomLeft" activeCell="E50" sqref="E50"/>
    </sheetView>
  </sheetViews>
  <sheetFormatPr defaultRowHeight="14.4" x14ac:dyDescent="0.3"/>
  <cols>
    <col min="1" max="4" width="1" customWidth="1"/>
    <col min="5" max="5" width="41.33203125" customWidth="1"/>
    <col min="12" max="12" width="17.77734375" style="155" customWidth="1"/>
  </cols>
  <sheetData>
    <row r="1" spans="2:12" s="183" customFormat="1" x14ac:dyDescent="0.3">
      <c r="E1" s="184" t="s">
        <v>192</v>
      </c>
      <c r="L1" s="185" t="s">
        <v>188</v>
      </c>
    </row>
    <row r="2" spans="2:12" x14ac:dyDescent="0.3">
      <c r="B2" s="156"/>
      <c r="F2" s="155" t="s">
        <v>118</v>
      </c>
      <c r="G2" s="155" t="s">
        <v>116</v>
      </c>
      <c r="H2" s="155" t="s">
        <v>10</v>
      </c>
    </row>
    <row r="3" spans="2:12" x14ac:dyDescent="0.3">
      <c r="E3" t="s">
        <v>181</v>
      </c>
      <c r="F3" s="40">
        <v>5.4706684856753043</v>
      </c>
      <c r="G3" s="40">
        <v>5.7708049113233253</v>
      </c>
      <c r="H3" s="40">
        <v>6.1118690313778954</v>
      </c>
    </row>
    <row r="5" spans="2:12" ht="15.6" x14ac:dyDescent="0.3">
      <c r="B5" s="156" t="s">
        <v>183</v>
      </c>
      <c r="E5" s="38"/>
      <c r="F5" s="163" t="s">
        <v>179</v>
      </c>
      <c r="G5" s="163" t="s">
        <v>182</v>
      </c>
      <c r="H5" s="163" t="s">
        <v>180</v>
      </c>
      <c r="I5" s="155" t="s">
        <v>118</v>
      </c>
      <c r="J5" s="155" t="s">
        <v>116</v>
      </c>
      <c r="K5" s="155" t="s">
        <v>10</v>
      </c>
    </row>
    <row r="6" spans="2:12" x14ac:dyDescent="0.3">
      <c r="E6" s="103" t="s">
        <v>74</v>
      </c>
      <c r="F6" s="104">
        <v>6.8614067798426337</v>
      </c>
      <c r="G6" s="104">
        <v>8.255936431840464</v>
      </c>
      <c r="H6" s="104">
        <v>16.601299109284611</v>
      </c>
      <c r="I6" s="39">
        <f t="shared" ref="I6:I37" si="0">F6*F$3</f>
        <v>37.536481837883969</v>
      </c>
      <c r="J6" s="39">
        <f t="shared" ref="J6:J37" si="1">G6*G$3</f>
        <v>47.643398508438118</v>
      </c>
      <c r="K6" s="39">
        <f t="shared" ref="K6:K37" si="2">H6*H$3</f>
        <v>101.46496590667805</v>
      </c>
      <c r="L6" s="182" t="str">
        <f xml:space="preserve"> Sources!I$5</f>
        <v>I</v>
      </c>
    </row>
    <row r="7" spans="2:12" x14ac:dyDescent="0.3">
      <c r="E7" s="103" t="s">
        <v>21</v>
      </c>
      <c r="F7" s="104">
        <v>13.34628654815538</v>
      </c>
      <c r="G7" s="104">
        <v>23.747564426458535</v>
      </c>
      <c r="H7" s="104">
        <v>39.691545336982053</v>
      </c>
      <c r="I7" s="39">
        <f t="shared" si="0"/>
        <v>73.013109219785875</v>
      </c>
      <c r="J7" s="39">
        <f t="shared" si="1"/>
        <v>137.04256142417401</v>
      </c>
      <c r="K7" s="39">
        <f t="shared" si="2"/>
        <v>242.58952675263231</v>
      </c>
      <c r="L7" s="182" t="str">
        <f xml:space="preserve"> Sources!I$5</f>
        <v>I</v>
      </c>
    </row>
    <row r="8" spans="2:12" x14ac:dyDescent="0.3">
      <c r="E8" s="103" t="s">
        <v>22</v>
      </c>
      <c r="F8" s="104">
        <v>17.724275249474516</v>
      </c>
      <c r="G8" s="104">
        <v>20.280020632329251</v>
      </c>
      <c r="H8" s="104">
        <v>30.325266146416613</v>
      </c>
      <c r="I8" s="39">
        <f t="shared" si="0"/>
        <v>96.963634038735023</v>
      </c>
      <c r="J8" s="39">
        <f t="shared" si="1"/>
        <v>117.03204266678401</v>
      </c>
      <c r="K8" s="39">
        <f t="shared" si="2"/>
        <v>185.34405502857618</v>
      </c>
      <c r="L8" s="182" t="str">
        <f xml:space="preserve"> Sources!I$5</f>
        <v>I</v>
      </c>
    </row>
    <row r="9" spans="2:12" x14ac:dyDescent="0.3">
      <c r="E9" s="103" t="s">
        <v>86</v>
      </c>
      <c r="F9" s="104">
        <v>6.6360002237130509</v>
      </c>
      <c r="G9" s="104">
        <v>7.4916126352251773</v>
      </c>
      <c r="H9" s="104">
        <v>14.123873958548028</v>
      </c>
      <c r="I9" s="39">
        <f t="shared" si="0"/>
        <v>36.303357294801259</v>
      </c>
      <c r="J9" s="39">
        <f t="shared" si="1"/>
        <v>43.232634989089334</v>
      </c>
      <c r="K9" s="39">
        <f t="shared" si="2"/>
        <v>86.323267850334418</v>
      </c>
      <c r="L9" s="182" t="str">
        <f xml:space="preserve"> Sources!I$5</f>
        <v>I</v>
      </c>
    </row>
    <row r="10" spans="2:12" x14ac:dyDescent="0.3">
      <c r="E10" s="103" t="s">
        <v>62</v>
      </c>
      <c r="F10" s="104">
        <v>6.7885483984669808</v>
      </c>
      <c r="G10" s="104">
        <v>9.1373664880547363</v>
      </c>
      <c r="H10" s="104">
        <v>20.186587816133958</v>
      </c>
      <c r="I10" s="39">
        <f t="shared" si="0"/>
        <v>37.137897786974868</v>
      </c>
      <c r="J10" s="39">
        <f t="shared" si="1"/>
        <v>52.729959405827437</v>
      </c>
      <c r="K10" s="39">
        <f t="shared" si="2"/>
        <v>123.37778092261948</v>
      </c>
      <c r="L10" s="182" t="str">
        <f xml:space="preserve"> Sources!I$5</f>
        <v>I</v>
      </c>
    </row>
    <row r="11" spans="2:12" x14ac:dyDescent="0.3">
      <c r="E11" s="103" t="s">
        <v>63</v>
      </c>
      <c r="F11" s="104">
        <v>7.9687551067909057</v>
      </c>
      <c r="G11" s="104">
        <v>9.0888772612375508</v>
      </c>
      <c r="H11" s="104">
        <v>16.24654294959053</v>
      </c>
      <c r="I11" s="39">
        <f t="shared" si="0"/>
        <v>43.59441743278515</v>
      </c>
      <c r="J11" s="39">
        <f t="shared" si="1"/>
        <v>52.450137537564551</v>
      </c>
      <c r="K11" s="39">
        <f t="shared" si="2"/>
        <v>99.296742720553254</v>
      </c>
      <c r="L11" s="182" t="str">
        <f xml:space="preserve"> Sources!I$5</f>
        <v>I</v>
      </c>
    </row>
    <row r="12" spans="2:12" x14ac:dyDescent="0.3">
      <c r="E12" s="103" t="s">
        <v>84</v>
      </c>
      <c r="F12" s="104">
        <v>5.9405703166228143</v>
      </c>
      <c r="G12" s="104">
        <v>7.5538816131761326</v>
      </c>
      <c r="H12" s="104">
        <v>21.33619173268589</v>
      </c>
      <c r="I12" s="39">
        <f t="shared" si="0"/>
        <v>32.498890818086593</v>
      </c>
      <c r="J12" s="39">
        <f t="shared" si="1"/>
        <v>43.591977112871788</v>
      </c>
      <c r="K12" s="39">
        <f t="shared" si="2"/>
        <v>130.40400949854396</v>
      </c>
      <c r="L12" s="182" t="str">
        <f xml:space="preserve"> Sources!I$5</f>
        <v>I</v>
      </c>
    </row>
    <row r="13" spans="2:12" x14ac:dyDescent="0.3">
      <c r="E13" s="103" t="s">
        <v>94</v>
      </c>
      <c r="F13" s="104">
        <v>4.8747708941304424</v>
      </c>
      <c r="G13" s="104">
        <v>6.3227902165669416</v>
      </c>
      <c r="H13" s="104">
        <v>9.3775733988484742</v>
      </c>
      <c r="I13" s="39">
        <f t="shared" si="0"/>
        <v>26.668255505406638</v>
      </c>
      <c r="J13" s="39">
        <f t="shared" si="1"/>
        <v>36.48758883503158</v>
      </c>
      <c r="K13" s="39">
        <f t="shared" si="2"/>
        <v>57.314500445895142</v>
      </c>
      <c r="L13" s="182" t="str">
        <f xml:space="preserve"> Sources!I$5</f>
        <v>I</v>
      </c>
    </row>
    <row r="14" spans="2:12" x14ac:dyDescent="0.3">
      <c r="E14" s="103" t="s">
        <v>102</v>
      </c>
      <c r="F14" s="104">
        <v>4.8232551934661219</v>
      </c>
      <c r="G14" s="104">
        <v>5.0487152151867418</v>
      </c>
      <c r="H14" s="104">
        <v>10.067177138755241</v>
      </c>
      <c r="I14" s="39">
        <f t="shared" si="0"/>
        <v>26.386430185264857</v>
      </c>
      <c r="J14" s="39">
        <f t="shared" si="1"/>
        <v>29.13515055967245</v>
      </c>
      <c r="K14" s="39">
        <f t="shared" si="2"/>
        <v>61.529268187753686</v>
      </c>
      <c r="L14" s="182" t="str">
        <f xml:space="preserve"> Sources!I$5</f>
        <v>I</v>
      </c>
    </row>
    <row r="15" spans="2:12" x14ac:dyDescent="0.3">
      <c r="E15" s="103" t="s">
        <v>61</v>
      </c>
      <c r="F15" s="104">
        <v>8.1704821757430963</v>
      </c>
      <c r="G15" s="104">
        <v>9.2679413238550765</v>
      </c>
      <c r="H15" s="104">
        <v>20.458495170700303</v>
      </c>
      <c r="I15" s="39">
        <f t="shared" si="0"/>
        <v>44.697999351609553</v>
      </c>
      <c r="J15" s="39">
        <f t="shared" si="1"/>
        <v>53.483481309559274</v>
      </c>
      <c r="K15" s="39">
        <f t="shared" si="2"/>
        <v>125.03964306239742</v>
      </c>
      <c r="L15" s="182" t="str">
        <f xml:space="preserve"> Sources!I$5</f>
        <v>I</v>
      </c>
    </row>
    <row r="16" spans="2:12" x14ac:dyDescent="0.3">
      <c r="E16" s="103" t="s">
        <v>68</v>
      </c>
      <c r="F16" s="104">
        <v>8.111844874175123</v>
      </c>
      <c r="G16" s="104">
        <v>8.8078078772842083</v>
      </c>
      <c r="H16" s="104">
        <v>18.614174190228965</v>
      </c>
      <c r="I16" s="39">
        <f t="shared" si="0"/>
        <v>44.377214113836601</v>
      </c>
      <c r="J16" s="39">
        <f t="shared" si="1"/>
        <v>50.828140956223983</v>
      </c>
      <c r="K16" s="39">
        <f t="shared" si="2"/>
        <v>113.76739477793413</v>
      </c>
      <c r="L16" s="182" t="str">
        <f xml:space="preserve"> Sources!I$5</f>
        <v>I</v>
      </c>
    </row>
    <row r="17" spans="5:12" x14ac:dyDescent="0.3">
      <c r="E17" s="103" t="s">
        <v>65</v>
      </c>
      <c r="F17" s="104">
        <v>4.8681798406390504</v>
      </c>
      <c r="G17" s="104">
        <v>8.9586068907621463</v>
      </c>
      <c r="H17" s="104">
        <v>17.563545551484232</v>
      </c>
      <c r="I17" s="39">
        <f t="shared" si="0"/>
        <v>26.63219803678388</v>
      </c>
      <c r="J17" s="39">
        <f t="shared" si="1"/>
        <v>51.698372643825181</v>
      </c>
      <c r="K17" s="39">
        <f t="shared" si="2"/>
        <v>107.34609013731148</v>
      </c>
      <c r="L17" s="182" t="str">
        <f xml:space="preserve"> Sources!I$5</f>
        <v>I</v>
      </c>
    </row>
    <row r="18" spans="5:12" x14ac:dyDescent="0.3">
      <c r="E18" s="103" t="s">
        <v>50</v>
      </c>
      <c r="F18" s="104">
        <v>7.3352427329402428</v>
      </c>
      <c r="G18" s="104">
        <v>10.300147091906457</v>
      </c>
      <c r="H18" s="104">
        <v>13.162321210240316</v>
      </c>
      <c r="I18" s="39">
        <f t="shared" si="0"/>
        <v>40.12868125387498</v>
      </c>
      <c r="J18" s="39">
        <f t="shared" si="1"/>
        <v>59.440139425326443</v>
      </c>
      <c r="K18" s="39">
        <f t="shared" si="2"/>
        <v>80.446383385916207</v>
      </c>
      <c r="L18" s="182" t="str">
        <f xml:space="preserve"> Sources!I$5</f>
        <v>I</v>
      </c>
    </row>
    <row r="19" spans="5:12" x14ac:dyDescent="0.3">
      <c r="E19" s="103" t="s">
        <v>98</v>
      </c>
      <c r="F19" s="104">
        <v>3.686424225314247</v>
      </c>
      <c r="G19" s="104">
        <v>5.6797736303700219</v>
      </c>
      <c r="H19" s="104">
        <v>12.507612635958715</v>
      </c>
      <c r="I19" s="39">
        <f t="shared" si="0"/>
        <v>20.167204834256648</v>
      </c>
      <c r="J19" s="39">
        <f t="shared" si="1"/>
        <v>32.776865561344039</v>
      </c>
      <c r="K19" s="39">
        <f t="shared" si="2"/>
        <v>76.444890326186922</v>
      </c>
      <c r="L19" s="182" t="str">
        <f xml:space="preserve"> Sources!I$5</f>
        <v>I</v>
      </c>
    </row>
    <row r="20" spans="5:12" x14ac:dyDescent="0.3">
      <c r="E20" s="103" t="s">
        <v>69</v>
      </c>
      <c r="F20" s="104">
        <v>7.3693728403045542</v>
      </c>
      <c r="G20" s="104">
        <v>8.636411630007828</v>
      </c>
      <c r="H20" s="104">
        <v>25.480258701187008</v>
      </c>
      <c r="I20" s="39">
        <f t="shared" si="0"/>
        <v>40.315395756645628</v>
      </c>
      <c r="J20" s="39">
        <f t="shared" si="1"/>
        <v>49.839046650659057</v>
      </c>
      <c r="K20" s="39">
        <f t="shared" si="2"/>
        <v>155.73200406728202</v>
      </c>
      <c r="L20" s="182" t="str">
        <f xml:space="preserve"> Sources!I$5</f>
        <v>I</v>
      </c>
    </row>
    <row r="21" spans="5:12" x14ac:dyDescent="0.3">
      <c r="E21" s="103" t="s">
        <v>25</v>
      </c>
      <c r="F21" s="104">
        <v>15.003658953250389</v>
      </c>
      <c r="G21" s="104">
        <v>18.355674502769592</v>
      </c>
      <c r="H21" s="104">
        <v>26.685027705022353</v>
      </c>
      <c r="I21" s="39">
        <f t="shared" si="0"/>
        <v>82.080044205367031</v>
      </c>
      <c r="J21" s="39">
        <f t="shared" si="1"/>
        <v>105.9270165712351</v>
      </c>
      <c r="K21" s="39">
        <f t="shared" si="2"/>
        <v>163.09539443178727</v>
      </c>
      <c r="L21" s="182" t="str">
        <f xml:space="preserve"> Sources!I$5</f>
        <v>I</v>
      </c>
    </row>
    <row r="22" spans="5:12" x14ac:dyDescent="0.3">
      <c r="E22" s="103" t="s">
        <v>26</v>
      </c>
      <c r="F22" s="104">
        <v>15.560978897001487</v>
      </c>
      <c r="G22" s="104">
        <v>17.559055357186018</v>
      </c>
      <c r="H22" s="104">
        <v>22.266204671297309</v>
      </c>
      <c r="I22" s="39">
        <f t="shared" si="0"/>
        <v>85.128956858084493</v>
      </c>
      <c r="J22" s="39">
        <f t="shared" si="1"/>
        <v>101.32988289344722</v>
      </c>
      <c r="K22" s="39">
        <f t="shared" si="2"/>
        <v>136.08812677682386</v>
      </c>
      <c r="L22" s="182" t="str">
        <f xml:space="preserve"> Sources!I$5</f>
        <v>I</v>
      </c>
    </row>
    <row r="23" spans="5:12" x14ac:dyDescent="0.3">
      <c r="E23" s="103" t="s">
        <v>51</v>
      </c>
      <c r="F23" s="104">
        <v>8.1340739736064904</v>
      </c>
      <c r="G23" s="104">
        <v>10.18913890485446</v>
      </c>
      <c r="H23" s="104">
        <v>17.196189017757924</v>
      </c>
      <c r="I23" s="39">
        <f t="shared" si="0"/>
        <v>44.498822147560723</v>
      </c>
      <c r="J23" s="39">
        <f t="shared" si="1"/>
        <v>58.799532834289685</v>
      </c>
      <c r="K23" s="39">
        <f t="shared" si="2"/>
        <v>105.10085511535532</v>
      </c>
      <c r="L23" s="182" t="str">
        <f xml:space="preserve"> Sources!I$5</f>
        <v>I</v>
      </c>
    </row>
    <row r="24" spans="5:12" x14ac:dyDescent="0.3">
      <c r="E24" s="103" t="s">
        <v>45</v>
      </c>
      <c r="F24" s="104">
        <v>10.01943796518413</v>
      </c>
      <c r="G24" s="104">
        <v>11.218195819786702</v>
      </c>
      <c r="H24" s="104">
        <v>24.04053541651329</v>
      </c>
      <c r="I24" s="39">
        <f t="shared" si="0"/>
        <v>54.813023520311518</v>
      </c>
      <c r="J24" s="39">
        <f t="shared" si="1"/>
        <v>64.738019533011894</v>
      </c>
      <c r="K24" s="39">
        <f t="shared" si="2"/>
        <v>146.93260390993106</v>
      </c>
      <c r="L24" s="182" t="str">
        <f xml:space="preserve"> Sources!I$5</f>
        <v>I</v>
      </c>
    </row>
    <row r="25" spans="5:12" x14ac:dyDescent="0.3">
      <c r="E25" s="103" t="s">
        <v>89</v>
      </c>
      <c r="F25" s="104">
        <v>5.5996891349397639</v>
      </c>
      <c r="G25" s="104">
        <v>6.9851773120044145</v>
      </c>
      <c r="H25" s="104">
        <v>14.000946219877449</v>
      </c>
      <c r="I25" s="39">
        <f t="shared" si="0"/>
        <v>30.634042880093372</v>
      </c>
      <c r="J25" s="39">
        <f t="shared" si="1"/>
        <v>40.31009553857934</v>
      </c>
      <c r="K25" s="39">
        <f t="shared" si="2"/>
        <v>85.571949611256386</v>
      </c>
      <c r="L25" s="182" t="str">
        <f xml:space="preserve"> Sources!I$5</f>
        <v>I</v>
      </c>
    </row>
    <row r="26" spans="5:12" x14ac:dyDescent="0.3">
      <c r="E26" s="103" t="s">
        <v>73</v>
      </c>
      <c r="F26" s="104">
        <v>5.9251512058604749</v>
      </c>
      <c r="G26" s="104">
        <v>8.2718181229715917</v>
      </c>
      <c r="H26" s="104">
        <v>15.875714938567993</v>
      </c>
      <c r="I26" s="39">
        <f t="shared" si="0"/>
        <v>32.414537974761927</v>
      </c>
      <c r="J26" s="39">
        <f t="shared" si="1"/>
        <v>47.735048649617752</v>
      </c>
      <c r="K26" s="39">
        <f t="shared" si="2"/>
        <v>97.030290484017144</v>
      </c>
      <c r="L26" s="182" t="str">
        <f xml:space="preserve"> Sources!I$5</f>
        <v>I</v>
      </c>
    </row>
    <row r="27" spans="5:12" x14ac:dyDescent="0.3">
      <c r="E27" s="103" t="s">
        <v>95</v>
      </c>
      <c r="F27" s="104">
        <v>5.794910682182711</v>
      </c>
      <c r="G27" s="104">
        <v>6.1499464100826051</v>
      </c>
      <c r="H27" s="104">
        <v>9.0544605798903461</v>
      </c>
      <c r="I27" s="39">
        <f t="shared" si="0"/>
        <v>31.702035246320136</v>
      </c>
      <c r="J27" s="39">
        <f t="shared" si="1"/>
        <v>35.490140947679954</v>
      </c>
      <c r="K27" s="39">
        <f t="shared" si="2"/>
        <v>55.339677214063748</v>
      </c>
      <c r="L27" s="182" t="str">
        <f xml:space="preserve"> Sources!I$5</f>
        <v>I</v>
      </c>
    </row>
    <row r="28" spans="5:12" x14ac:dyDescent="0.3">
      <c r="E28" s="103" t="s">
        <v>80</v>
      </c>
      <c r="F28" s="104">
        <v>6.8441387527947155</v>
      </c>
      <c r="G28" s="104">
        <v>7.8014998085016645</v>
      </c>
      <c r="H28" s="104">
        <v>17.61352331807856</v>
      </c>
      <c r="I28" s="39">
        <f t="shared" si="0"/>
        <v>37.44201418650313</v>
      </c>
      <c r="J28" s="39">
        <f t="shared" si="1"/>
        <v>45.020933410589386</v>
      </c>
      <c r="K28" s="39">
        <f t="shared" si="2"/>
        <v>107.65154770121678</v>
      </c>
      <c r="L28" s="182" t="str">
        <f xml:space="preserve"> Sources!I$5</f>
        <v>I</v>
      </c>
    </row>
    <row r="29" spans="5:12" x14ac:dyDescent="0.3">
      <c r="E29" s="103" t="s">
        <v>64</v>
      </c>
      <c r="F29" s="104">
        <v>7.5349037316208758</v>
      </c>
      <c r="G29" s="104">
        <v>8.9837610358971158</v>
      </c>
      <c r="H29" s="104">
        <v>17.913038283014803</v>
      </c>
      <c r="I29" s="39">
        <f t="shared" si="0"/>
        <v>41.220960387175573</v>
      </c>
      <c r="J29" s="39">
        <f t="shared" si="1"/>
        <v>51.843532308110198</v>
      </c>
      <c r="K29" s="39">
        <f t="shared" si="2"/>
        <v>109.48214393984485</v>
      </c>
      <c r="L29" s="182" t="str">
        <f xml:space="preserve"> Sources!I$5</f>
        <v>I</v>
      </c>
    </row>
    <row r="30" spans="5:12" x14ac:dyDescent="0.3">
      <c r="E30" s="103" t="s">
        <v>18</v>
      </c>
      <c r="F30" s="104">
        <v>21.401607125730315</v>
      </c>
      <c r="G30" s="104">
        <v>29.24500695128069</v>
      </c>
      <c r="H30" s="104">
        <v>39.232891941677281</v>
      </c>
      <c r="I30" s="39">
        <f t="shared" si="0"/>
        <v>117.08109764553687</v>
      </c>
      <c r="J30" s="39">
        <f t="shared" si="1"/>
        <v>168.7672297461354</v>
      </c>
      <c r="K30" s="39">
        <f t="shared" si="2"/>
        <v>239.78629726973276</v>
      </c>
      <c r="L30" s="182" t="str">
        <f xml:space="preserve"> Sources!I$5</f>
        <v>I</v>
      </c>
    </row>
    <row r="31" spans="5:12" x14ac:dyDescent="0.3">
      <c r="E31" s="103" t="s">
        <v>106</v>
      </c>
      <c r="F31" s="104">
        <v>3.1265855344176279</v>
      </c>
      <c r="G31" s="104">
        <v>3.2765855344176278</v>
      </c>
      <c r="H31" s="104">
        <v>6.9664507705925631</v>
      </c>
      <c r="I31" s="39">
        <f t="shared" si="0"/>
        <v>17.104512950906795</v>
      </c>
      <c r="J31" s="39">
        <f t="shared" si="1"/>
        <v>18.908535894388208</v>
      </c>
      <c r="K31" s="39">
        <f t="shared" si="2"/>
        <v>42.578034723403363</v>
      </c>
      <c r="L31" s="182" t="str">
        <f xml:space="preserve"> Sources!I$5</f>
        <v>I</v>
      </c>
    </row>
    <row r="32" spans="5:12" x14ac:dyDescent="0.3">
      <c r="E32" s="103" t="s">
        <v>60</v>
      </c>
      <c r="F32" s="104">
        <v>7.1854702015512864</v>
      </c>
      <c r="G32" s="104">
        <v>9.3168849973581782</v>
      </c>
      <c r="H32" s="104">
        <v>16.737685933751592</v>
      </c>
      <c r="I32" s="39">
        <f t="shared" si="0"/>
        <v>39.309325386385602</v>
      </c>
      <c r="J32" s="39">
        <f t="shared" si="1"/>
        <v>53.765925700989179</v>
      </c>
      <c r="K32" s="39">
        <f t="shared" si="2"/>
        <v>102.29854431542577</v>
      </c>
      <c r="L32" s="182" t="str">
        <f xml:space="preserve"> Sources!I$5</f>
        <v>I</v>
      </c>
    </row>
    <row r="33" spans="5:12" x14ac:dyDescent="0.3">
      <c r="E33" s="103" t="s">
        <v>49</v>
      </c>
      <c r="F33" s="104">
        <v>8.7415709630217187</v>
      </c>
      <c r="G33" s="104">
        <v>10.561313131393112</v>
      </c>
      <c r="H33" s="104">
        <v>17.680550911654795</v>
      </c>
      <c r="I33" s="39">
        <f t="shared" si="0"/>
        <v>47.822236782697239</v>
      </c>
      <c r="J33" s="39">
        <f t="shared" si="1"/>
        <v>60.947277688666894</v>
      </c>
      <c r="K33" s="39">
        <f t="shared" si="2"/>
        <v>108.06121157464315</v>
      </c>
      <c r="L33" s="182" t="str">
        <f xml:space="preserve"> Sources!I$5</f>
        <v>I</v>
      </c>
    </row>
    <row r="34" spans="5:12" x14ac:dyDescent="0.3">
      <c r="E34" s="103" t="s">
        <v>92</v>
      </c>
      <c r="F34" s="104">
        <v>4.4984964496956472</v>
      </c>
      <c r="G34" s="104">
        <v>6.4018827836904624</v>
      </c>
      <c r="H34" s="104">
        <v>9.4110441224900629</v>
      </c>
      <c r="I34" s="39">
        <f t="shared" si="0"/>
        <v>24.609782760272218</v>
      </c>
      <c r="J34" s="39">
        <f t="shared" si="1"/>
        <v>36.944016609837163</v>
      </c>
      <c r="K34" s="39">
        <f t="shared" si="2"/>
        <v>57.519069125177978</v>
      </c>
      <c r="L34" s="182" t="str">
        <f xml:space="preserve"> Sources!I$5</f>
        <v>I</v>
      </c>
    </row>
    <row r="35" spans="5:12" x14ac:dyDescent="0.3">
      <c r="E35" s="103" t="s">
        <v>85</v>
      </c>
      <c r="F35" s="104">
        <v>5.3207500270052295</v>
      </c>
      <c r="G35" s="104">
        <v>7.4953971235670123</v>
      </c>
      <c r="H35" s="104">
        <v>17.333171286372895</v>
      </c>
      <c r="I35" s="39">
        <f t="shared" si="0"/>
        <v>29.108059492893535</v>
      </c>
      <c r="J35" s="39">
        <f t="shared" si="1"/>
        <v>43.254474532999239</v>
      </c>
      <c r="K35" s="39">
        <f t="shared" si="2"/>
        <v>105.93807280075106</v>
      </c>
      <c r="L35" s="182" t="str">
        <f xml:space="preserve"> Sources!I$5</f>
        <v>I</v>
      </c>
    </row>
    <row r="36" spans="5:12" x14ac:dyDescent="0.3">
      <c r="E36" s="103" t="s">
        <v>36</v>
      </c>
      <c r="F36" s="104">
        <v>11.154059721061049</v>
      </c>
      <c r="G36" s="104">
        <v>13.198203101628851</v>
      </c>
      <c r="H36" s="104">
        <v>20.617000817607796</v>
      </c>
      <c r="I36" s="39">
        <f t="shared" si="0"/>
        <v>61.020163003348955</v>
      </c>
      <c r="J36" s="39">
        <f t="shared" si="1"/>
        <v>76.164255279522521</v>
      </c>
      <c r="K36" s="39">
        <f t="shared" si="2"/>
        <v>126.00840881702983</v>
      </c>
      <c r="L36" s="182" t="str">
        <f xml:space="preserve"> Sources!I$5</f>
        <v>I</v>
      </c>
    </row>
    <row r="37" spans="5:12" x14ac:dyDescent="0.3">
      <c r="E37" s="103" t="s">
        <v>31</v>
      </c>
      <c r="F37" s="104">
        <v>10.45157091617628</v>
      </c>
      <c r="G37" s="104">
        <v>15.179241707941399</v>
      </c>
      <c r="H37" s="104">
        <v>23.465332740831176</v>
      </c>
      <c r="I37" s="39">
        <f t="shared" si="0"/>
        <v>57.177079636926145</v>
      </c>
      <c r="J37" s="39">
        <f t="shared" si="1"/>
        <v>87.596442598352084</v>
      </c>
      <c r="K37" s="39">
        <f t="shared" si="2"/>
        <v>143.41704048966386</v>
      </c>
      <c r="L37" s="182" t="str">
        <f xml:space="preserve"> Sources!I$5</f>
        <v>I</v>
      </c>
    </row>
    <row r="38" spans="5:12" x14ac:dyDescent="0.3">
      <c r="E38" s="103" t="s">
        <v>81</v>
      </c>
      <c r="F38" s="104">
        <v>5.6895257473268526</v>
      </c>
      <c r="G38" s="104">
        <v>7.7430131670760076</v>
      </c>
      <c r="H38" s="104">
        <v>15.28773990168871</v>
      </c>
      <c r="I38" s="39">
        <f t="shared" ref="I38:I69" si="3">F38*F$3</f>
        <v>31.125509204339245</v>
      </c>
      <c r="J38" s="39">
        <f t="shared" ref="J38:J69" si="4">G38*G$3</f>
        <v>44.683418413003402</v>
      </c>
      <c r="K38" s="39">
        <f t="shared" ref="K38:K69" si="5">H38*H$3</f>
        <v>93.436664064891374</v>
      </c>
      <c r="L38" s="182" t="str">
        <f xml:space="preserve"> Sources!I$5</f>
        <v>I</v>
      </c>
    </row>
    <row r="39" spans="5:12" x14ac:dyDescent="0.3">
      <c r="E39" s="103" t="s">
        <v>100</v>
      </c>
      <c r="F39" s="104">
        <v>4.4152456895410079</v>
      </c>
      <c r="G39" s="104">
        <v>5.2469568105010449</v>
      </c>
      <c r="H39" s="104">
        <v>7.4390879027423473</v>
      </c>
      <c r="I39" s="39">
        <f t="shared" si="3"/>
        <v>24.154345450285721</v>
      </c>
      <c r="J39" s="39">
        <f t="shared" si="4"/>
        <v>30.279164131540799</v>
      </c>
      <c r="K39" s="39">
        <f t="shared" si="5"/>
        <v>45.466730974468888</v>
      </c>
      <c r="L39" s="182" t="str">
        <f xml:space="preserve"> Sources!I$5</f>
        <v>I</v>
      </c>
    </row>
    <row r="40" spans="5:12" x14ac:dyDescent="0.3">
      <c r="E40" s="103" t="s">
        <v>97</v>
      </c>
      <c r="F40" s="104">
        <v>5.4447100390838967</v>
      </c>
      <c r="G40" s="104">
        <v>5.857302643675915</v>
      </c>
      <c r="H40" s="104">
        <v>10.392950916272545</v>
      </c>
      <c r="I40" s="39">
        <f t="shared" si="3"/>
        <v>29.786203624456228</v>
      </c>
      <c r="J40" s="39">
        <f t="shared" si="4"/>
        <v>33.801350863232067</v>
      </c>
      <c r="K40" s="39">
        <f t="shared" si="5"/>
        <v>63.520354849796689</v>
      </c>
      <c r="L40" s="182" t="str">
        <f xml:space="preserve"> Sources!I$5</f>
        <v>I</v>
      </c>
    </row>
    <row r="41" spans="5:12" x14ac:dyDescent="0.3">
      <c r="E41" s="103" t="s">
        <v>53</v>
      </c>
      <c r="F41" s="104">
        <v>6.8073705605993755</v>
      </c>
      <c r="G41" s="104">
        <v>9.7914554973771644</v>
      </c>
      <c r="H41" s="104">
        <v>16.15783606866103</v>
      </c>
      <c r="I41" s="39">
        <f t="shared" si="3"/>
        <v>37.240867596184835</v>
      </c>
      <c r="J41" s="39">
        <f t="shared" si="4"/>
        <v>56.50457947326791</v>
      </c>
      <c r="K41" s="39">
        <f t="shared" si="5"/>
        <v>98.754577882130107</v>
      </c>
      <c r="L41" s="182" t="str">
        <f xml:space="preserve"> Sources!I$5</f>
        <v>I</v>
      </c>
    </row>
    <row r="42" spans="5:12" x14ac:dyDescent="0.3">
      <c r="E42" s="103" t="s">
        <v>79</v>
      </c>
      <c r="F42" s="104">
        <v>6.6516124318356615</v>
      </c>
      <c r="G42" s="104">
        <v>7.9488417730120204</v>
      </c>
      <c r="H42" s="104">
        <v>19.809171726938096</v>
      </c>
      <c r="I42" s="39">
        <f t="shared" si="3"/>
        <v>36.388766509769425</v>
      </c>
      <c r="J42" s="39">
        <f t="shared" si="4"/>
        <v>45.871215143029779</v>
      </c>
      <c r="K42" s="39">
        <f t="shared" si="5"/>
        <v>121.07106321511954</v>
      </c>
      <c r="L42" s="182" t="str">
        <f xml:space="preserve"> Sources!I$5</f>
        <v>I</v>
      </c>
    </row>
    <row r="43" spans="5:12" x14ac:dyDescent="0.3">
      <c r="E43" s="103" t="s">
        <v>70</v>
      </c>
      <c r="F43" s="104">
        <v>7</v>
      </c>
      <c r="G43" s="104">
        <v>8.5878570167129968</v>
      </c>
      <c r="H43" s="104">
        <v>15.958672219060121</v>
      </c>
      <c r="I43" s="39">
        <f t="shared" si="3"/>
        <v>38.29467939972713</v>
      </c>
      <c r="J43" s="39">
        <f t="shared" si="4"/>
        <v>49.558847449789845</v>
      </c>
      <c r="K43" s="39">
        <f t="shared" si="5"/>
        <v>97.537314517584306</v>
      </c>
      <c r="L43" s="182" t="str">
        <f xml:space="preserve"> Sources!I$5</f>
        <v>I</v>
      </c>
    </row>
    <row r="44" spans="5:12" x14ac:dyDescent="0.3">
      <c r="E44" s="103" t="s">
        <v>30</v>
      </c>
      <c r="F44" s="104">
        <v>11.972927104088422</v>
      </c>
      <c r="G44" s="104">
        <v>15.290502552560431</v>
      </c>
      <c r="H44" s="104">
        <v>82.485383975068132</v>
      </c>
      <c r="I44" s="39">
        <f t="shared" si="3"/>
        <v>65.499914989624216</v>
      </c>
      <c r="J44" s="39">
        <f t="shared" si="4"/>
        <v>88.238507226917577</v>
      </c>
      <c r="K44" s="39">
        <f t="shared" si="5"/>
        <v>504.13986385853343</v>
      </c>
      <c r="L44" s="182" t="str">
        <f xml:space="preserve"> Sources!I$5</f>
        <v>I</v>
      </c>
    </row>
    <row r="45" spans="5:12" x14ac:dyDescent="0.3">
      <c r="E45" s="103" t="s">
        <v>27</v>
      </c>
      <c r="F45" s="104">
        <v>14.028174822938237</v>
      </c>
      <c r="G45" s="104">
        <v>17.065110394520765</v>
      </c>
      <c r="H45" s="104">
        <v>23.095182021712898</v>
      </c>
      <c r="I45" s="39">
        <f t="shared" si="3"/>
        <v>76.743493915391952</v>
      </c>
      <c r="J45" s="39">
        <f t="shared" si="4"/>
        <v>98.479422876975164</v>
      </c>
      <c r="K45" s="39">
        <f t="shared" si="5"/>
        <v>141.1547277725426</v>
      </c>
      <c r="L45" s="182" t="str">
        <f xml:space="preserve"> Sources!I$5</f>
        <v>I</v>
      </c>
    </row>
    <row r="46" spans="5:12" x14ac:dyDescent="0.3">
      <c r="E46" s="103" t="s">
        <v>35</v>
      </c>
      <c r="F46" s="104">
        <v>13.099748088621773</v>
      </c>
      <c r="G46" s="104">
        <v>14.080221239878293</v>
      </c>
      <c r="H46" s="104">
        <v>18.457713066649518</v>
      </c>
      <c r="I46" s="39">
        <f t="shared" si="3"/>
        <v>71.664379038708432</v>
      </c>
      <c r="J46" s="39">
        <f t="shared" si="4"/>
        <v>81.254209883608652</v>
      </c>
      <c r="K46" s="39">
        <f t="shared" si="5"/>
        <v>112.81112488211431</v>
      </c>
      <c r="L46" s="182" t="str">
        <f xml:space="preserve"> Sources!I$5</f>
        <v>I</v>
      </c>
    </row>
    <row r="47" spans="5:12" x14ac:dyDescent="0.3">
      <c r="E47" s="103" t="s">
        <v>96</v>
      </c>
      <c r="F47" s="104">
        <v>5.5049698696802807</v>
      </c>
      <c r="G47" s="104">
        <v>6.0916177042336717</v>
      </c>
      <c r="H47" s="104">
        <v>13.909640166962026</v>
      </c>
      <c r="I47" s="39">
        <f t="shared" si="3"/>
        <v>30.115865180651998</v>
      </c>
      <c r="J47" s="39">
        <f t="shared" si="4"/>
        <v>35.153537365495794</v>
      </c>
      <c r="K47" s="39">
        <f t="shared" si="5"/>
        <v>85.01389897406527</v>
      </c>
      <c r="L47" s="182" t="str">
        <f xml:space="preserve"> Sources!I$5</f>
        <v>I</v>
      </c>
    </row>
    <row r="48" spans="5:12" x14ac:dyDescent="0.3">
      <c r="E48" s="103" t="s">
        <v>82</v>
      </c>
      <c r="F48" s="104">
        <v>6.1870598617886667</v>
      </c>
      <c r="G48" s="104">
        <v>7.7014706626450291</v>
      </c>
      <c r="H48" s="104">
        <v>21.164071609404111</v>
      </c>
      <c r="I48" s="39">
        <f t="shared" si="3"/>
        <v>33.847353404873864</v>
      </c>
      <c r="J48" s="39">
        <f t="shared" si="4"/>
        <v>44.443684724404442</v>
      </c>
      <c r="K48" s="39">
        <f t="shared" si="5"/>
        <v>129.35203384738111</v>
      </c>
      <c r="L48" s="182" t="str">
        <f xml:space="preserve"> Sources!I$5</f>
        <v>I</v>
      </c>
    </row>
    <row r="49" spans="5:12" x14ac:dyDescent="0.3">
      <c r="E49" s="103" t="s">
        <v>93</v>
      </c>
      <c r="F49" s="104">
        <v>5.7639106051108273</v>
      </c>
      <c r="G49" s="104">
        <v>6.3421427654698483</v>
      </c>
      <c r="H49" s="104">
        <v>14.666220242874203</v>
      </c>
      <c r="I49" s="39">
        <f t="shared" si="3"/>
        <v>31.532444101629476</v>
      </c>
      <c r="J49" s="39">
        <f t="shared" si="4"/>
        <v>36.599268619287095</v>
      </c>
      <c r="K49" s="39">
        <f t="shared" si="5"/>
        <v>89.638017309790442</v>
      </c>
      <c r="L49" s="182" t="str">
        <f xml:space="preserve"> Sources!I$5</f>
        <v>I</v>
      </c>
    </row>
    <row r="50" spans="5:12" x14ac:dyDescent="0.3">
      <c r="E50" s="103" t="s">
        <v>56</v>
      </c>
      <c r="F50" s="104">
        <v>8.1595281382035605</v>
      </c>
      <c r="G50" s="104">
        <v>9.6932288038181866</v>
      </c>
      <c r="H50" s="104">
        <v>16.754008990687112</v>
      </c>
      <c r="I50" s="39">
        <f t="shared" si="3"/>
        <v>44.638073443651109</v>
      </c>
      <c r="J50" s="39">
        <f t="shared" si="4"/>
        <v>55.937732387654712</v>
      </c>
      <c r="K50" s="39">
        <f t="shared" si="5"/>
        <v>102.39830870160739</v>
      </c>
      <c r="L50" s="182" t="str">
        <f xml:space="preserve"> Sources!I$5</f>
        <v>I</v>
      </c>
    </row>
    <row r="51" spans="5:12" x14ac:dyDescent="0.3">
      <c r="E51" s="103" t="s">
        <v>90</v>
      </c>
      <c r="F51" s="104">
        <v>5.8811676922544551</v>
      </c>
      <c r="G51" s="104">
        <v>6.9131470782196853</v>
      </c>
      <c r="H51" s="104">
        <v>13.903483003751361</v>
      </c>
      <c r="I51" s="39">
        <f t="shared" si="3"/>
        <v>32.173918752988207</v>
      </c>
      <c r="J51" s="39">
        <f t="shared" si="4"/>
        <v>39.894423111690656</v>
      </c>
      <c r="K51" s="39">
        <f t="shared" si="5"/>
        <v>84.976267198916858</v>
      </c>
      <c r="L51" s="182" t="str">
        <f xml:space="preserve"> Sources!I$5</f>
        <v>I</v>
      </c>
    </row>
    <row r="52" spans="5:12" x14ac:dyDescent="0.3">
      <c r="E52" s="103" t="s">
        <v>57</v>
      </c>
      <c r="F52" s="104">
        <v>7.0984157577277411</v>
      </c>
      <c r="G52" s="104">
        <v>9.4092921045286531</v>
      </c>
      <c r="H52" s="104">
        <v>35.802822754314427</v>
      </c>
      <c r="I52" s="39">
        <f t="shared" si="3"/>
        <v>38.833079384022142</v>
      </c>
      <c r="J52" s="39">
        <f t="shared" si="4"/>
        <v>54.29918908888974</v>
      </c>
      <c r="K52" s="39">
        <f t="shared" si="5"/>
        <v>218.82216362800619</v>
      </c>
      <c r="L52" s="182" t="str">
        <f xml:space="preserve"> Sources!I$5</f>
        <v>I</v>
      </c>
    </row>
    <row r="53" spans="5:12" x14ac:dyDescent="0.3">
      <c r="E53" s="103" t="s">
        <v>66</v>
      </c>
      <c r="F53" s="104">
        <v>7.7501148409259226</v>
      </c>
      <c r="G53" s="104">
        <v>8.9015445155184665</v>
      </c>
      <c r="H53" s="104">
        <v>16.775639810629844</v>
      </c>
      <c r="I53" s="39">
        <f t="shared" si="3"/>
        <v>42.398309020617916</v>
      </c>
      <c r="J53" s="39">
        <f t="shared" si="4"/>
        <v>51.369076808517178</v>
      </c>
      <c r="K53" s="39">
        <f t="shared" si="5"/>
        <v>102.53051344013869</v>
      </c>
      <c r="L53" s="182" t="str">
        <f xml:space="preserve"> Sources!I$5</f>
        <v>I</v>
      </c>
    </row>
    <row r="54" spans="5:12" x14ac:dyDescent="0.3">
      <c r="E54" s="103" t="s">
        <v>46</v>
      </c>
      <c r="F54" s="104">
        <v>8.660469611614614</v>
      </c>
      <c r="G54" s="104">
        <v>11.004351185277391</v>
      </c>
      <c r="H54" s="104">
        <v>19.390548626527227</v>
      </c>
      <c r="I54" s="39">
        <f t="shared" si="3"/>
        <v>47.378558175408713</v>
      </c>
      <c r="J54" s="39">
        <f t="shared" si="4"/>
        <v>63.503963865925428</v>
      </c>
      <c r="K54" s="39">
        <f t="shared" si="5"/>
        <v>118.51249365189895</v>
      </c>
      <c r="L54" s="182" t="str">
        <f xml:space="preserve"> Sources!I$5</f>
        <v>I</v>
      </c>
    </row>
    <row r="55" spans="5:12" x14ac:dyDescent="0.3">
      <c r="E55" s="103" t="s">
        <v>54</v>
      </c>
      <c r="F55" s="104">
        <v>8.02904025388451</v>
      </c>
      <c r="G55" s="104">
        <v>9.7469666063110871</v>
      </c>
      <c r="H55" s="104">
        <v>23.144153996667551</v>
      </c>
      <c r="I55" s="39">
        <f t="shared" si="3"/>
        <v>43.924217487144432</v>
      </c>
      <c r="J55" s="39">
        <f t="shared" si="4"/>
        <v>56.247842762204463</v>
      </c>
      <c r="K55" s="39">
        <f t="shared" si="5"/>
        <v>141.45403806967335</v>
      </c>
      <c r="L55" s="182" t="str">
        <f xml:space="preserve"> Sources!I$5</f>
        <v>I</v>
      </c>
    </row>
    <row r="56" spans="5:12" x14ac:dyDescent="0.3">
      <c r="E56" s="103" t="s">
        <v>37</v>
      </c>
      <c r="F56" s="104">
        <v>10.467075033652682</v>
      </c>
      <c r="G56" s="104">
        <v>12.888330619842289</v>
      </c>
      <c r="H56" s="104">
        <v>19.355564290913804</v>
      </c>
      <c r="I56" s="39">
        <f t="shared" si="3"/>
        <v>57.261897523802503</v>
      </c>
      <c r="J56" s="39">
        <f t="shared" si="4"/>
        <v>74.376041639744685</v>
      </c>
      <c r="K56" s="39">
        <f t="shared" si="5"/>
        <v>118.29867397447994</v>
      </c>
      <c r="L56" s="182" t="str">
        <f xml:space="preserve"> Sources!I$5</f>
        <v>I</v>
      </c>
    </row>
    <row r="57" spans="5:12" x14ac:dyDescent="0.3">
      <c r="E57" s="103" t="s">
        <v>33</v>
      </c>
      <c r="F57" s="104">
        <v>12.275886064787436</v>
      </c>
      <c r="G57" s="104">
        <v>14.784621688506521</v>
      </c>
      <c r="H57" s="104">
        <v>20.311210813321484</v>
      </c>
      <c r="I57" s="39">
        <f t="shared" si="3"/>
        <v>67.157303028373249</v>
      </c>
      <c r="J57" s="39">
        <f t="shared" si="4"/>
        <v>85.319167452090781</v>
      </c>
      <c r="K57" s="39">
        <f t="shared" si="5"/>
        <v>124.13946035972741</v>
      </c>
      <c r="L57" s="182" t="str">
        <f xml:space="preserve"> Sources!I$5</f>
        <v>I</v>
      </c>
    </row>
    <row r="58" spans="5:12" x14ac:dyDescent="0.3">
      <c r="E58" s="103" t="s">
        <v>52</v>
      </c>
      <c r="F58" s="104">
        <v>6.8701254252030228</v>
      </c>
      <c r="G58" s="104">
        <v>9.859628132768524</v>
      </c>
      <c r="H58" s="104">
        <v>11.200005036018739</v>
      </c>
      <c r="I58" s="39">
        <f t="shared" si="3"/>
        <v>37.584178656294824</v>
      </c>
      <c r="J58" s="39">
        <f t="shared" si="4"/>
        <v>56.897990452402226</v>
      </c>
      <c r="K58" s="39">
        <f t="shared" si="5"/>
        <v>68.452963930919395</v>
      </c>
      <c r="L58" s="182" t="str">
        <f xml:space="preserve"> Sources!I$5</f>
        <v>I</v>
      </c>
    </row>
    <row r="59" spans="5:12" x14ac:dyDescent="0.3">
      <c r="E59" s="103" t="s">
        <v>59</v>
      </c>
      <c r="F59" s="104">
        <v>7.8142343456321317</v>
      </c>
      <c r="G59" s="104">
        <v>9.3413187165417497</v>
      </c>
      <c r="H59" s="104">
        <v>19.414152653694323</v>
      </c>
      <c r="I59" s="39">
        <f t="shared" si="3"/>
        <v>42.749085574331289</v>
      </c>
      <c r="J59" s="39">
        <f t="shared" si="4"/>
        <v>53.90692792765563</v>
      </c>
      <c r="K59" s="39">
        <f t="shared" si="5"/>
        <v>118.65675837455733</v>
      </c>
      <c r="L59" s="182" t="str">
        <f xml:space="preserve"> Sources!I$5</f>
        <v>I</v>
      </c>
    </row>
    <row r="60" spans="5:12" x14ac:dyDescent="0.3">
      <c r="E60" s="103" t="s">
        <v>24</v>
      </c>
      <c r="F60" s="104">
        <v>14.388074533128469</v>
      </c>
      <c r="G60" s="104">
        <v>20.158077010024105</v>
      </c>
      <c r="H60" s="104">
        <v>49.434745412598758</v>
      </c>
      <c r="I60" s="39">
        <f t="shared" si="3"/>
        <v>78.712385917933332</v>
      </c>
      <c r="J60" s="39">
        <f t="shared" si="4"/>
        <v>116.32832981228091</v>
      </c>
      <c r="K60" s="39">
        <f t="shared" si="5"/>
        <v>302.13868956131284</v>
      </c>
      <c r="L60" s="182" t="str">
        <f xml:space="preserve"> Sources!I$5</f>
        <v>I</v>
      </c>
    </row>
    <row r="61" spans="5:12" x14ac:dyDescent="0.3">
      <c r="E61" s="103" t="s">
        <v>105</v>
      </c>
      <c r="F61" s="104">
        <v>3.4295292976658653</v>
      </c>
      <c r="G61" s="104">
        <v>3.9122184113613687</v>
      </c>
      <c r="H61" s="104">
        <v>9.6818040958833791</v>
      </c>
      <c r="I61" s="39">
        <f t="shared" si="3"/>
        <v>18.76181784944081</v>
      </c>
      <c r="J61" s="39">
        <f t="shared" si="4"/>
        <v>22.576649222453725</v>
      </c>
      <c r="K61" s="39">
        <f t="shared" si="5"/>
        <v>59.173918621497286</v>
      </c>
      <c r="L61" s="182" t="str">
        <f xml:space="preserve"> Sources!I$5</f>
        <v>I</v>
      </c>
    </row>
    <row r="62" spans="5:12" x14ac:dyDescent="0.3">
      <c r="E62" s="103" t="s">
        <v>77</v>
      </c>
      <c r="F62" s="104">
        <v>4.4594627087793608</v>
      </c>
      <c r="G62" s="104">
        <v>8.1932765151195319</v>
      </c>
      <c r="H62" s="104">
        <v>12.556732311959507</v>
      </c>
      <c r="I62" s="39">
        <f t="shared" si="3"/>
        <v>24.396242103963477</v>
      </c>
      <c r="J62" s="39">
        <f t="shared" si="4"/>
        <v>47.281800353281852</v>
      </c>
      <c r="K62" s="39">
        <f t="shared" si="5"/>
        <v>76.745103352767472</v>
      </c>
      <c r="L62" s="182" t="str">
        <f xml:space="preserve"> Sources!I$5</f>
        <v>I</v>
      </c>
    </row>
    <row r="63" spans="5:12" x14ac:dyDescent="0.3">
      <c r="E63" s="103" t="s">
        <v>43</v>
      </c>
      <c r="F63" s="104">
        <v>8.3076597595206945</v>
      </c>
      <c r="G63" s="104">
        <v>11.336251456737758</v>
      </c>
      <c r="H63" s="104">
        <v>17.101652565376085</v>
      </c>
      <c r="I63" s="39">
        <f t="shared" si="3"/>
        <v>45.448452436122743</v>
      </c>
      <c r="J63" s="39">
        <f t="shared" si="4"/>
        <v>65.419295582538453</v>
      </c>
      <c r="K63" s="39">
        <f t="shared" si="5"/>
        <v>104.52306069970643</v>
      </c>
      <c r="L63" s="182" t="str">
        <f xml:space="preserve"> Sources!I$5</f>
        <v>I</v>
      </c>
    </row>
    <row r="64" spans="5:12" x14ac:dyDescent="0.3">
      <c r="E64" s="103" t="s">
        <v>38</v>
      </c>
      <c r="F64" s="104">
        <v>11.251994236081385</v>
      </c>
      <c r="G64" s="104">
        <v>12.5581261248843</v>
      </c>
      <c r="H64" s="104">
        <v>16.603031014144157</v>
      </c>
      <c r="I64" s="39">
        <f t="shared" si="3"/>
        <v>61.555930268330606</v>
      </c>
      <c r="J64" s="39">
        <f t="shared" si="4"/>
        <v>72.470495918500077</v>
      </c>
      <c r="K64" s="39">
        <f t="shared" si="5"/>
        <v>101.47555108235441</v>
      </c>
      <c r="L64" s="182" t="str">
        <f xml:space="preserve"> Sources!I$5</f>
        <v>I</v>
      </c>
    </row>
    <row r="65" spans="5:12" x14ac:dyDescent="0.3">
      <c r="E65" s="103" t="s">
        <v>99</v>
      </c>
      <c r="F65" s="104">
        <v>4.7599303065476262</v>
      </c>
      <c r="G65" s="104">
        <v>5.5950980272170456</v>
      </c>
      <c r="H65" s="104">
        <v>10.777066027927866</v>
      </c>
      <c r="I65" s="39">
        <f t="shared" si="3"/>
        <v>26.04000072204089</v>
      </c>
      <c r="J65" s="39">
        <f t="shared" si="4"/>
        <v>32.288219174799572</v>
      </c>
      <c r="K65" s="39">
        <f t="shared" si="5"/>
        <v>65.868016105207104</v>
      </c>
      <c r="L65" s="182" t="str">
        <f xml:space="preserve"> Sources!I$5</f>
        <v>I</v>
      </c>
    </row>
    <row r="66" spans="5:12" x14ac:dyDescent="0.3">
      <c r="E66" s="103" t="s">
        <v>41</v>
      </c>
      <c r="F66" s="104">
        <v>10.391808379322994</v>
      </c>
      <c r="G66" s="104">
        <v>11.668833650637051</v>
      </c>
      <c r="H66" s="104">
        <v>20.201223962205908</v>
      </c>
      <c r="I66" s="39">
        <f t="shared" si="3"/>
        <v>56.85013860993886</v>
      </c>
      <c r="J66" s="39">
        <f t="shared" si="4"/>
        <v>67.338562540511177</v>
      </c>
      <c r="K66" s="39">
        <f t="shared" si="5"/>
        <v>123.46723513053536</v>
      </c>
      <c r="L66" s="182" t="str">
        <f xml:space="preserve"> Sources!I$5</f>
        <v>I</v>
      </c>
    </row>
    <row r="67" spans="5:12" x14ac:dyDescent="0.3">
      <c r="E67" s="103" t="s">
        <v>39</v>
      </c>
      <c r="F67" s="104">
        <v>11.177515781173041</v>
      </c>
      <c r="G67" s="104">
        <v>12.210437421303073</v>
      </c>
      <c r="H67" s="104">
        <v>23.002944410087348</v>
      </c>
      <c r="I67" s="39">
        <f t="shared" si="3"/>
        <v>61.148483332201735</v>
      </c>
      <c r="J67" s="39">
        <f t="shared" si="4"/>
        <v>70.464052240261893</v>
      </c>
      <c r="K67" s="39">
        <f t="shared" si="5"/>
        <v>140.59098357052014</v>
      </c>
      <c r="L67" s="182" t="str">
        <f xml:space="preserve"> Sources!I$5</f>
        <v>I</v>
      </c>
    </row>
    <row r="68" spans="5:12" x14ac:dyDescent="0.3">
      <c r="E68" s="103" t="s">
        <v>71</v>
      </c>
      <c r="F68" s="104">
        <v>7.8239460613019434</v>
      </c>
      <c r="G68" s="104">
        <v>8.4746448820039841</v>
      </c>
      <c r="H68" s="104">
        <v>17.70569816001553</v>
      </c>
      <c r="I68" s="39">
        <f t="shared" si="3"/>
        <v>42.802215151187966</v>
      </c>
      <c r="J68" s="39">
        <f t="shared" si="4"/>
        <v>48.905522306789678</v>
      </c>
      <c r="K68" s="39">
        <f t="shared" si="5"/>
        <v>108.2149082631235</v>
      </c>
      <c r="L68" s="182" t="str">
        <f xml:space="preserve"> Sources!I$5</f>
        <v>I</v>
      </c>
    </row>
    <row r="69" spans="5:12" x14ac:dyDescent="0.3">
      <c r="E69" s="103" t="s">
        <v>47</v>
      </c>
      <c r="F69" s="104">
        <v>7.1224088110809447</v>
      </c>
      <c r="G69" s="104">
        <v>10.933989447671152</v>
      </c>
      <c r="H69" s="104">
        <v>25.80053003559615</v>
      </c>
      <c r="I69" s="39">
        <f t="shared" si="3"/>
        <v>38.964337424876639</v>
      </c>
      <c r="J69" s="39">
        <f t="shared" si="4"/>
        <v>63.0979200049781</v>
      </c>
      <c r="K69" s="39">
        <f t="shared" si="5"/>
        <v>157.68946051769535</v>
      </c>
      <c r="L69" s="182" t="str">
        <f xml:space="preserve"> Sources!I$5</f>
        <v>I</v>
      </c>
    </row>
    <row r="70" spans="5:12" x14ac:dyDescent="0.3">
      <c r="E70" s="103" t="s">
        <v>42</v>
      </c>
      <c r="F70" s="104">
        <v>6.3671374737106436</v>
      </c>
      <c r="G70" s="104">
        <v>11.577458728093028</v>
      </c>
      <c r="H70" s="104">
        <v>16.0647416192439</v>
      </c>
      <c r="I70" s="39">
        <f t="shared" ref="I70:I95" si="6">F70*F$3</f>
        <v>34.832498321391093</v>
      </c>
      <c r="J70" s="39">
        <f t="shared" ref="J70:J95" si="7">G70*G$3</f>
        <v>66.811255688722341</v>
      </c>
      <c r="K70" s="39">
        <f t="shared" ref="K70:K95" si="8">H70*H$3</f>
        <v>98.185596799744374</v>
      </c>
      <c r="L70" s="182" t="str">
        <f xml:space="preserve"> Sources!I$5</f>
        <v>I</v>
      </c>
    </row>
    <row r="71" spans="5:12" x14ac:dyDescent="0.3">
      <c r="E71" s="103" t="s">
        <v>76</v>
      </c>
      <c r="F71" s="104">
        <v>6.9364737551750286</v>
      </c>
      <c r="G71" s="104">
        <v>8.2015527049185657</v>
      </c>
      <c r="H71" s="104">
        <v>19.313681557346833</v>
      </c>
      <c r="I71" s="39">
        <f t="shared" si="6"/>
        <v>37.947148374149862</v>
      </c>
      <c r="J71" s="39">
        <f t="shared" si="7"/>
        <v>47.329560630021163</v>
      </c>
      <c r="K71" s="39">
        <f t="shared" si="8"/>
        <v>118.04269219224251</v>
      </c>
      <c r="L71" s="182" t="str">
        <f xml:space="preserve"> Sources!I$5</f>
        <v>I</v>
      </c>
    </row>
    <row r="72" spans="5:12" x14ac:dyDescent="0.3">
      <c r="E72" s="103" t="s">
        <v>91</v>
      </c>
      <c r="F72" s="104">
        <v>5.9568215197681669</v>
      </c>
      <c r="G72" s="104">
        <v>6.4896557824641485</v>
      </c>
      <c r="H72" s="104">
        <v>10.770157225572436</v>
      </c>
      <c r="I72" s="39">
        <f t="shared" si="6"/>
        <v>32.587795762988179</v>
      </c>
      <c r="J72" s="39">
        <f t="shared" si="7"/>
        <v>37.450537462241925</v>
      </c>
      <c r="K72" s="39">
        <f t="shared" si="8"/>
        <v>65.825790410047048</v>
      </c>
      <c r="L72" s="182" t="str">
        <f xml:space="preserve"> Sources!I$5</f>
        <v>I</v>
      </c>
    </row>
    <row r="73" spans="5:12" x14ac:dyDescent="0.3">
      <c r="E73" s="103" t="s">
        <v>48</v>
      </c>
      <c r="F73" s="104">
        <v>7.5668222892129799</v>
      </c>
      <c r="G73" s="104">
        <v>10.569243876899648</v>
      </c>
      <c r="H73" s="104">
        <v>15.385036218224839</v>
      </c>
      <c r="I73" s="39">
        <f t="shared" si="6"/>
        <v>41.395576234302915</v>
      </c>
      <c r="J73" s="39">
        <f t="shared" si="7"/>
        <v>60.993044473786476</v>
      </c>
      <c r="K73" s="39">
        <f t="shared" si="8"/>
        <v>94.031326408795678</v>
      </c>
      <c r="L73" s="182" t="str">
        <f xml:space="preserve"> Sources!I$5</f>
        <v>I</v>
      </c>
    </row>
    <row r="74" spans="5:12" x14ac:dyDescent="0.3">
      <c r="E74" s="103" t="s">
        <v>87</v>
      </c>
      <c r="F74" s="104">
        <v>6.2604525837020457</v>
      </c>
      <c r="G74" s="104">
        <v>7.4491325925597369</v>
      </c>
      <c r="H74" s="104">
        <v>21.591530057171354</v>
      </c>
      <c r="I74" s="39">
        <f t="shared" si="6"/>
        <v>34.24886065572332</v>
      </c>
      <c r="J74" s="39">
        <f t="shared" si="7"/>
        <v>42.987490950242382</v>
      </c>
      <c r="K74" s="39">
        <f t="shared" si="8"/>
        <v>131.96460389649059</v>
      </c>
      <c r="L74" s="182" t="str">
        <f xml:space="preserve"> Sources!I$5</f>
        <v>I</v>
      </c>
    </row>
    <row r="75" spans="5:12" x14ac:dyDescent="0.3">
      <c r="E75" s="103" t="s">
        <v>55</v>
      </c>
      <c r="F75" s="104">
        <v>8.5159955501368341</v>
      </c>
      <c r="G75" s="104">
        <v>9.7410706976040302</v>
      </c>
      <c r="H75" s="104">
        <v>16.997508315435521</v>
      </c>
      <c r="I75" s="39">
        <f t="shared" si="6"/>
        <v>46.588188480284707</v>
      </c>
      <c r="J75" s="39">
        <f t="shared" si="7"/>
        <v>56.213818623281071</v>
      </c>
      <c r="K75" s="39">
        <f t="shared" si="8"/>
        <v>103.88654468369862</v>
      </c>
      <c r="L75" s="182" t="str">
        <f xml:space="preserve"> Sources!I$5</f>
        <v>I</v>
      </c>
    </row>
    <row r="76" spans="5:12" x14ac:dyDescent="0.3">
      <c r="E76" s="103" t="s">
        <v>103</v>
      </c>
      <c r="F76" s="104">
        <v>4.3988900998896714</v>
      </c>
      <c r="G76" s="104">
        <v>4.6349558436838585</v>
      </c>
      <c r="H76" s="104">
        <v>6.5671827065230755</v>
      </c>
      <c r="I76" s="39">
        <f t="shared" si="6"/>
        <v>24.064869441415517</v>
      </c>
      <c r="J76" s="39">
        <f t="shared" si="7"/>
        <v>26.747425946497557</v>
      </c>
      <c r="K76" s="39">
        <f t="shared" si="8"/>
        <v>40.137760607398853</v>
      </c>
      <c r="L76" s="182" t="str">
        <f xml:space="preserve"> Sources!I$5</f>
        <v>I</v>
      </c>
    </row>
    <row r="77" spans="5:12" x14ac:dyDescent="0.3">
      <c r="E77" s="103" t="s">
        <v>83</v>
      </c>
      <c r="F77" s="104">
        <v>6.4951615885640583</v>
      </c>
      <c r="G77" s="104">
        <v>7.6861885060485875</v>
      </c>
      <c r="H77" s="104">
        <v>19.223866938454098</v>
      </c>
      <c r="I77" s="39">
        <f t="shared" si="6"/>
        <v>35.532875811926139</v>
      </c>
      <c r="J77" s="39">
        <f t="shared" si="7"/>
        <v>44.355494380062083</v>
      </c>
      <c r="K77" s="39">
        <f t="shared" si="8"/>
        <v>117.493757004467</v>
      </c>
      <c r="L77" s="182" t="str">
        <f xml:space="preserve"> Sources!I$5</f>
        <v>I</v>
      </c>
    </row>
    <row r="78" spans="5:12" x14ac:dyDescent="0.3">
      <c r="E78" s="103" t="s">
        <v>104</v>
      </c>
      <c r="F78" s="104">
        <v>3.6707012382225357</v>
      </c>
      <c r="G78" s="104">
        <v>4.1040557532386686</v>
      </c>
      <c r="H78" s="104">
        <v>11.356538890755896</v>
      </c>
      <c r="I78" s="39">
        <f t="shared" si="6"/>
        <v>20.081189584273343</v>
      </c>
      <c r="J78" s="39">
        <f t="shared" si="7"/>
        <v>23.683705097134457</v>
      </c>
      <c r="K78" s="39">
        <f t="shared" si="8"/>
        <v>69.409678350049631</v>
      </c>
      <c r="L78" s="182" t="str">
        <f xml:space="preserve"> Sources!I$5</f>
        <v>I</v>
      </c>
    </row>
    <row r="79" spans="5:12" x14ac:dyDescent="0.3">
      <c r="E79" s="103" t="s">
        <v>32</v>
      </c>
      <c r="F79" s="104">
        <v>11.12060300227062</v>
      </c>
      <c r="G79" s="104">
        <v>14.86285287980289</v>
      </c>
      <c r="H79" s="104">
        <v>22.167836646025926</v>
      </c>
      <c r="I79" s="39">
        <f t="shared" si="6"/>
        <v>60.837132386228056</v>
      </c>
      <c r="J79" s="39">
        <f t="shared" si="7"/>
        <v>85.770624395042546</v>
      </c>
      <c r="K79" s="39">
        <f t="shared" si="8"/>
        <v>135.48691428948987</v>
      </c>
      <c r="L79" s="182" t="str">
        <f xml:space="preserve"> Sources!I$5</f>
        <v>I</v>
      </c>
    </row>
    <row r="80" spans="5:12" x14ac:dyDescent="0.3">
      <c r="E80" s="103" t="s">
        <v>75</v>
      </c>
      <c r="F80" s="104">
        <v>6.4311803621324897</v>
      </c>
      <c r="G80" s="104">
        <v>8.2483929442665662</v>
      </c>
      <c r="H80" s="104">
        <v>14.585079996041385</v>
      </c>
      <c r="I80" s="39">
        <f t="shared" si="6"/>
        <v>35.182855732812101</v>
      </c>
      <c r="J80" s="39">
        <f t="shared" si="7"/>
        <v>47.599866513298167</v>
      </c>
      <c r="K80" s="39">
        <f t="shared" si="8"/>
        <v>89.142098747974572</v>
      </c>
      <c r="L80" s="182" t="str">
        <f xml:space="preserve"> Sources!I$5</f>
        <v>I</v>
      </c>
    </row>
    <row r="81" spans="5:12" x14ac:dyDescent="0.3">
      <c r="E81" s="103" t="s">
        <v>17</v>
      </c>
      <c r="F81" s="104">
        <v>25.130482930898161</v>
      </c>
      <c r="G81" s="104">
        <v>29.778384899099677</v>
      </c>
      <c r="H81" s="104">
        <v>45.487664404859856</v>
      </c>
      <c r="I81" s="39">
        <f t="shared" si="6"/>
        <v>137.48054099986572</v>
      </c>
      <c r="J81" s="39">
        <f t="shared" si="7"/>
        <v>171.84524982700077</v>
      </c>
      <c r="K81" s="39">
        <f t="shared" si="8"/>
        <v>278.01464738577357</v>
      </c>
      <c r="L81" s="182" t="str">
        <f xml:space="preserve"> Sources!I$5</f>
        <v>I</v>
      </c>
    </row>
    <row r="82" spans="5:12" x14ac:dyDescent="0.3">
      <c r="E82" s="103" t="s">
        <v>58</v>
      </c>
      <c r="F82" s="104">
        <v>6.7116542887854918</v>
      </c>
      <c r="G82" s="104">
        <v>9.3902782942322531</v>
      </c>
      <c r="H82" s="104">
        <v>17.487284049048178</v>
      </c>
      <c r="I82" s="39">
        <f t="shared" si="6"/>
        <v>36.717235604406291</v>
      </c>
      <c r="J82" s="39">
        <f t="shared" si="7"/>
        <v>54.189464099048301</v>
      </c>
      <c r="K82" s="39">
        <f t="shared" si="8"/>
        <v>106.87998982228621</v>
      </c>
      <c r="L82" s="182" t="str">
        <f xml:space="preserve"> Sources!I$5</f>
        <v>I</v>
      </c>
    </row>
    <row r="83" spans="5:12" x14ac:dyDescent="0.3">
      <c r="E83" s="103" t="s">
        <v>101</v>
      </c>
      <c r="F83" s="104">
        <v>3.7780292218242084</v>
      </c>
      <c r="G83" s="104">
        <v>5.1070292439992064</v>
      </c>
      <c r="H83" s="104">
        <v>11.382476764637973</v>
      </c>
      <c r="I83" s="39">
        <f t="shared" si="6"/>
        <v>20.668345401794092</v>
      </c>
      <c r="J83" s="39">
        <f t="shared" si="7"/>
        <v>29.471669443542471</v>
      </c>
      <c r="K83" s="39">
        <f t="shared" si="8"/>
        <v>69.568207238169293</v>
      </c>
      <c r="L83" s="182" t="str">
        <f xml:space="preserve"> Sources!I$5</f>
        <v>I</v>
      </c>
    </row>
    <row r="84" spans="5:12" x14ac:dyDescent="0.3">
      <c r="E84" s="103" t="s">
        <v>34</v>
      </c>
      <c r="F84" s="104">
        <v>9.8967010669292321</v>
      </c>
      <c r="G84" s="104">
        <v>14.261932587961804</v>
      </c>
      <c r="H84" s="104">
        <v>27.040243085532982</v>
      </c>
      <c r="I84" s="39">
        <f t="shared" si="6"/>
        <v>54.141570638998914</v>
      </c>
      <c r="J84" s="39">
        <f t="shared" si="7"/>
        <v>82.302830623572163</v>
      </c>
      <c r="K84" s="39">
        <f t="shared" si="8"/>
        <v>165.26642431539929</v>
      </c>
      <c r="L84" s="182" t="str">
        <f xml:space="preserve"> Sources!I$5</f>
        <v>I</v>
      </c>
    </row>
    <row r="85" spans="5:12" x14ac:dyDescent="0.3">
      <c r="E85" s="103" t="s">
        <v>29</v>
      </c>
      <c r="F85" s="104">
        <v>13.698740296471254</v>
      </c>
      <c r="G85" s="104">
        <v>15.394146232239365</v>
      </c>
      <c r="H85" s="104">
        <v>25.160285334320669</v>
      </c>
      <c r="I85" s="39">
        <f t="shared" si="6"/>
        <v>74.941266833355655</v>
      </c>
      <c r="J85" s="39">
        <f t="shared" si="7"/>
        <v>88.836614682636394</v>
      </c>
      <c r="K85" s="39">
        <f t="shared" si="8"/>
        <v>153.77636875546594</v>
      </c>
      <c r="L85" s="182" t="str">
        <f xml:space="preserve"> Sources!I$5</f>
        <v>I</v>
      </c>
    </row>
    <row r="86" spans="5:12" x14ac:dyDescent="0.3">
      <c r="E86" s="103" t="s">
        <v>72</v>
      </c>
      <c r="F86" s="104">
        <v>6.7058948258473103</v>
      </c>
      <c r="G86" s="104">
        <v>8.4173446821615805</v>
      </c>
      <c r="H86" s="104">
        <v>16.670955878635311</v>
      </c>
      <c r="I86" s="39">
        <f t="shared" si="6"/>
        <v>36.685727492015964</v>
      </c>
      <c r="J86" s="39">
        <f t="shared" si="7"/>
        <v>48.574854032119326</v>
      </c>
      <c r="K86" s="39">
        <f t="shared" si="8"/>
        <v>101.89069895809843</v>
      </c>
      <c r="L86" s="182" t="str">
        <f xml:space="preserve"> Sources!I$5</f>
        <v>I</v>
      </c>
    </row>
    <row r="87" spans="5:12" x14ac:dyDescent="0.3">
      <c r="E87" s="103" t="s">
        <v>28</v>
      </c>
      <c r="F87" s="104">
        <v>12.274424918769103</v>
      </c>
      <c r="G87" s="104">
        <v>15.880758435418427</v>
      </c>
      <c r="H87" s="104">
        <v>22.792292698887607</v>
      </c>
      <c r="I87" s="39">
        <f t="shared" si="6"/>
        <v>67.149309582897786</v>
      </c>
      <c r="J87" s="39">
        <f t="shared" si="7"/>
        <v>91.64475877465199</v>
      </c>
      <c r="K87" s="39">
        <f t="shared" si="8"/>
        <v>139.30350790043167</v>
      </c>
      <c r="L87" s="182" t="str">
        <f xml:space="preserve"> Sources!I$5</f>
        <v>I</v>
      </c>
    </row>
    <row r="88" spans="5:12" x14ac:dyDescent="0.3">
      <c r="E88" s="103" t="s">
        <v>40</v>
      </c>
      <c r="F88" s="104">
        <v>10.351136585343092</v>
      </c>
      <c r="G88" s="104">
        <v>11.817109529173552</v>
      </c>
      <c r="H88" s="104">
        <v>24.045020918916979</v>
      </c>
      <c r="I88" s="39">
        <f t="shared" si="6"/>
        <v>56.62763670835713</v>
      </c>
      <c r="J88" s="39">
        <f t="shared" si="7"/>
        <v>68.194233708600393</v>
      </c>
      <c r="K88" s="39">
        <f t="shared" si="8"/>
        <v>146.96001871316236</v>
      </c>
      <c r="L88" s="182" t="str">
        <f xml:space="preserve"> Sources!I$5</f>
        <v>I</v>
      </c>
    </row>
    <row r="89" spans="5:12" x14ac:dyDescent="0.3">
      <c r="E89" s="103" t="s">
        <v>88</v>
      </c>
      <c r="F89" s="104">
        <v>5.6717384355872076</v>
      </c>
      <c r="G89" s="104">
        <v>7.1461061064503282</v>
      </c>
      <c r="H89" s="104">
        <v>14.942805929518721</v>
      </c>
      <c r="I89" s="39">
        <f t="shared" si="6"/>
        <v>31.028200718560289</v>
      </c>
      <c r="J89" s="39">
        <f t="shared" si="7"/>
        <v>41.238784215941159</v>
      </c>
      <c r="K89" s="39">
        <f t="shared" si="8"/>
        <v>91.328472802515464</v>
      </c>
      <c r="L89" s="182" t="str">
        <f xml:space="preserve"> Sources!I$5</f>
        <v>I</v>
      </c>
    </row>
    <row r="90" spans="5:12" x14ac:dyDescent="0.3">
      <c r="E90" s="103" t="s">
        <v>78</v>
      </c>
      <c r="F90" s="104">
        <v>7.4</v>
      </c>
      <c r="G90" s="104">
        <v>7.9498708464241448</v>
      </c>
      <c r="H90" s="104">
        <v>10.748522408056417</v>
      </c>
      <c r="I90" s="39">
        <f t="shared" si="6"/>
        <v>40.48294679399725</v>
      </c>
      <c r="J90" s="39">
        <f t="shared" si="7"/>
        <v>45.877153724930572</v>
      </c>
      <c r="K90" s="39">
        <f t="shared" si="8"/>
        <v>65.693561238871368</v>
      </c>
      <c r="L90" s="182" t="str">
        <f xml:space="preserve"> Sources!I$5</f>
        <v>I</v>
      </c>
    </row>
    <row r="91" spans="5:12" x14ac:dyDescent="0.3">
      <c r="E91" s="103" t="s">
        <v>44</v>
      </c>
      <c r="F91" s="104">
        <v>9.0757835084369773</v>
      </c>
      <c r="G91" s="104">
        <v>11.271141939175058</v>
      </c>
      <c r="H91" s="104">
        <v>17.289890025689125</v>
      </c>
      <c r="I91" s="39">
        <f t="shared" si="6"/>
        <v>49.650602822417817</v>
      </c>
      <c r="J91" s="39">
        <f t="shared" si="7"/>
        <v>65.043561258813739</v>
      </c>
      <c r="K91" s="39">
        <f t="shared" si="8"/>
        <v>105.67354340393892</v>
      </c>
      <c r="L91" s="182" t="str">
        <f xml:space="preserve"> Sources!I$5</f>
        <v>I</v>
      </c>
    </row>
    <row r="92" spans="5:12" x14ac:dyDescent="0.3">
      <c r="E92" s="103" t="s">
        <v>19</v>
      </c>
      <c r="F92" s="104">
        <v>20.118984226020636</v>
      </c>
      <c r="G92" s="104">
        <v>27.437729990973658</v>
      </c>
      <c r="H92" s="104">
        <v>38.991631666931276</v>
      </c>
      <c r="I92" s="39">
        <f t="shared" si="6"/>
        <v>110.06429296908965</v>
      </c>
      <c r="J92" s="39">
        <f t="shared" si="7"/>
        <v>158.33778698747409</v>
      </c>
      <c r="K92" s="39">
        <f t="shared" si="8"/>
        <v>238.31174606801093</v>
      </c>
      <c r="L92" s="182" t="str">
        <f xml:space="preserve"> Sources!I$5</f>
        <v>I</v>
      </c>
    </row>
    <row r="93" spans="5:12" x14ac:dyDescent="0.3">
      <c r="E93" s="103" t="s">
        <v>23</v>
      </c>
      <c r="F93" s="104">
        <v>15.016166178267479</v>
      </c>
      <c r="G93" s="104">
        <v>20.261836228725301</v>
      </c>
      <c r="H93" s="104">
        <v>31.92673219829371</v>
      </c>
      <c r="I93" s="39">
        <f t="shared" si="6"/>
        <v>82.148467087111271</v>
      </c>
      <c r="J93" s="39">
        <f t="shared" si="7"/>
        <v>116.92710402115685</v>
      </c>
      <c r="K93" s="39">
        <f t="shared" si="8"/>
        <v>195.13200579584685</v>
      </c>
      <c r="L93" s="182" t="str">
        <f xml:space="preserve"> Sources!I$5</f>
        <v>I</v>
      </c>
    </row>
    <row r="94" spans="5:12" x14ac:dyDescent="0.3">
      <c r="E94" s="103" t="s">
        <v>67</v>
      </c>
      <c r="F94" s="104">
        <v>7.5117668888822067</v>
      </c>
      <c r="G94" s="104">
        <v>8.8462345964250382</v>
      </c>
      <c r="H94" s="104">
        <v>12.89316407706365</v>
      </c>
      <c r="I94" s="39">
        <f t="shared" si="6"/>
        <v>41.094386390747111</v>
      </c>
      <c r="J94" s="39">
        <f t="shared" si="7"/>
        <v>51.049894055767922</v>
      </c>
      <c r="K94" s="39">
        <f t="shared" si="8"/>
        <v>78.801330239079292</v>
      </c>
      <c r="L94" s="182" t="str">
        <f xml:space="preserve"> Sources!I$5</f>
        <v>I</v>
      </c>
    </row>
    <row r="95" spans="5:12" x14ac:dyDescent="0.3">
      <c r="E95" s="103" t="s">
        <v>20</v>
      </c>
      <c r="F95" s="104">
        <v>21.438953859148739</v>
      </c>
      <c r="G95" s="104">
        <v>26.913460926528298</v>
      </c>
      <c r="H95" s="104">
        <v>37.841124034026578</v>
      </c>
      <c r="I95" s="39">
        <f t="shared" si="6"/>
        <v>117.28540924309195</v>
      </c>
      <c r="J95" s="39">
        <f t="shared" si="7"/>
        <v>155.31233249551792</v>
      </c>
      <c r="K95" s="39">
        <f t="shared" si="8"/>
        <v>231.27999409609683</v>
      </c>
      <c r="L95" s="182" t="str">
        <f xml:space="preserve"> Sources!I$5</f>
        <v>I</v>
      </c>
    </row>
    <row r="97" spans="2:12" x14ac:dyDescent="0.3">
      <c r="B97" s="156" t="s">
        <v>171</v>
      </c>
    </row>
    <row r="98" spans="2:12" x14ac:dyDescent="0.3">
      <c r="E98" s="44" t="s">
        <v>118</v>
      </c>
      <c r="F98" s="49">
        <v>1</v>
      </c>
    </row>
    <row r="99" spans="2:12" x14ac:dyDescent="0.3">
      <c r="E99" s="44" t="s">
        <v>116</v>
      </c>
      <c r="F99" s="48">
        <v>2</v>
      </c>
    </row>
    <row r="100" spans="2:12" x14ac:dyDescent="0.3">
      <c r="E100" s="44" t="s">
        <v>10</v>
      </c>
      <c r="F100" s="48">
        <v>3</v>
      </c>
    </row>
    <row r="102" spans="2:12" x14ac:dyDescent="0.3">
      <c r="B102" s="156" t="s">
        <v>172</v>
      </c>
    </row>
    <row r="103" spans="2:12" x14ac:dyDescent="0.3">
      <c r="B103" s="156"/>
      <c r="C103" s="156" t="s">
        <v>176</v>
      </c>
      <c r="F103" s="155" t="s">
        <v>173</v>
      </c>
      <c r="G103" s="155" t="s">
        <v>115</v>
      </c>
      <c r="H103" s="155" t="s">
        <v>174</v>
      </c>
    </row>
    <row r="104" spans="2:12" s="157" customFormat="1" x14ac:dyDescent="0.3">
      <c r="E104" s="5" t="s">
        <v>129</v>
      </c>
      <c r="F104" s="35">
        <v>20.996835336580325</v>
      </c>
      <c r="G104" s="35">
        <v>57.23304572</v>
      </c>
      <c r="H104" s="35">
        <v>106.00917424659679</v>
      </c>
      <c r="L104" s="182" t="str">
        <f xml:space="preserve"> Sources!I$6</f>
        <v>II</v>
      </c>
    </row>
    <row r="105" spans="2:12" s="157" customFormat="1" x14ac:dyDescent="0.3">
      <c r="E105" s="5" t="s">
        <v>130</v>
      </c>
      <c r="F105" s="35">
        <v>40.838368647457628</v>
      </c>
      <c r="G105" s="35">
        <v>109.96262041926359</v>
      </c>
      <c r="H105" s="52">
        <v>199.07549744558918</v>
      </c>
      <c r="L105" s="182" t="str">
        <f xml:space="preserve"> Sources!I$6</f>
        <v>II</v>
      </c>
    </row>
    <row r="106" spans="2:12" x14ac:dyDescent="0.3">
      <c r="B106" s="156"/>
      <c r="C106" s="156" t="s">
        <v>177</v>
      </c>
      <c r="F106" s="155" t="s">
        <v>173</v>
      </c>
      <c r="G106" s="155" t="s">
        <v>115</v>
      </c>
      <c r="H106" s="155" t="s">
        <v>174</v>
      </c>
    </row>
    <row r="107" spans="2:12" s="157" customFormat="1" x14ac:dyDescent="0.3">
      <c r="D107" s="158"/>
      <c r="E107" s="4" t="s">
        <v>146</v>
      </c>
      <c r="F107" s="52">
        <v>53.980925462903528</v>
      </c>
      <c r="G107" s="52">
        <v>75.605050436817308</v>
      </c>
      <c r="H107" s="52">
        <v>139.80062531522347</v>
      </c>
      <c r="L107" s="182" t="str">
        <f xml:space="preserve"> Sources!I$6</f>
        <v>II</v>
      </c>
    </row>
    <row r="108" spans="2:12" s="157" customFormat="1" x14ac:dyDescent="0.3">
      <c r="D108" s="158"/>
      <c r="E108" s="4" t="s">
        <v>147</v>
      </c>
      <c r="F108" s="52">
        <v>130.46358286683534</v>
      </c>
      <c r="G108" s="52">
        <v>196.65926597362139</v>
      </c>
      <c r="H108" s="52">
        <v>430.96146886443381</v>
      </c>
      <c r="L108" s="182" t="str">
        <f xml:space="preserve"> Sources!I$6</f>
        <v>II</v>
      </c>
    </row>
    <row r="110" spans="2:12" x14ac:dyDescent="0.3">
      <c r="B110" s="156" t="s">
        <v>178</v>
      </c>
      <c r="C110" s="156"/>
    </row>
    <row r="111" spans="2:12" x14ac:dyDescent="0.3">
      <c r="B111" s="156"/>
      <c r="C111" s="156" t="s">
        <v>176</v>
      </c>
      <c r="F111" s="155" t="s">
        <v>173</v>
      </c>
      <c r="G111" s="155" t="s">
        <v>115</v>
      </c>
      <c r="H111" s="155" t="s">
        <v>174</v>
      </c>
    </row>
    <row r="112" spans="2:12" s="157" customFormat="1" x14ac:dyDescent="0.3">
      <c r="D112" s="158"/>
      <c r="E112" s="4" t="s">
        <v>125</v>
      </c>
      <c r="F112" s="35">
        <v>40.1</v>
      </c>
      <c r="G112" s="35">
        <v>42.3</v>
      </c>
      <c r="H112" s="35">
        <v>44.8</v>
      </c>
      <c r="L112" s="182" t="str">
        <f xml:space="preserve"> Sources!I$6</f>
        <v>II</v>
      </c>
    </row>
    <row r="113" spans="2:12" s="157" customFormat="1" x14ac:dyDescent="0.3">
      <c r="D113" s="158"/>
      <c r="E113" s="4" t="s">
        <v>126</v>
      </c>
      <c r="F113" s="58">
        <v>71.099999999999994</v>
      </c>
      <c r="G113" s="58">
        <v>73.3</v>
      </c>
      <c r="H113" s="58">
        <v>75.5</v>
      </c>
      <c r="L113" s="182" t="str">
        <f xml:space="preserve"> Sources!I$6</f>
        <v>II</v>
      </c>
    </row>
    <row r="114" spans="2:12" s="160" customFormat="1" x14ac:dyDescent="0.3">
      <c r="C114" s="162" t="s">
        <v>177</v>
      </c>
      <c r="D114" s="161"/>
      <c r="E114" s="4"/>
      <c r="F114" s="155" t="s">
        <v>173</v>
      </c>
      <c r="G114" s="155" t="s">
        <v>115</v>
      </c>
      <c r="H114" s="155" t="s">
        <v>174</v>
      </c>
      <c r="L114" s="187"/>
    </row>
    <row r="115" spans="2:12" s="157" customFormat="1" x14ac:dyDescent="0.3">
      <c r="D115" s="158"/>
      <c r="E115" s="159" t="s">
        <v>168</v>
      </c>
      <c r="F115" s="58">
        <v>54.3</v>
      </c>
      <c r="G115" s="58">
        <v>56.1</v>
      </c>
      <c r="H115" s="58">
        <v>58.3</v>
      </c>
      <c r="L115" s="182" t="str">
        <f xml:space="preserve"> Sources!I$6</f>
        <v>II</v>
      </c>
    </row>
    <row r="117" spans="2:12" x14ac:dyDescent="0.3">
      <c r="B117" s="156" t="s">
        <v>175</v>
      </c>
    </row>
    <row r="118" spans="2:12" s="157" customFormat="1" x14ac:dyDescent="0.3">
      <c r="C118" s="158"/>
      <c r="D118" s="158"/>
      <c r="E118" s="4" t="s">
        <v>165</v>
      </c>
      <c r="F118" s="19">
        <v>365</v>
      </c>
      <c r="G118" s="4" t="s">
        <v>166</v>
      </c>
      <c r="L118" s="182" t="str">
        <f xml:space="preserve"> Sources!I$7</f>
        <v>III</v>
      </c>
    </row>
    <row r="119" spans="2:12" s="157" customFormat="1" x14ac:dyDescent="0.3">
      <c r="C119" s="158"/>
      <c r="D119" s="158"/>
      <c r="E119" s="14" t="s">
        <v>2</v>
      </c>
      <c r="F119" s="58">
        <v>7.33</v>
      </c>
      <c r="G119" s="14" t="s">
        <v>122</v>
      </c>
      <c r="L119" s="182" t="str">
        <f xml:space="preserve"> Sources!I$7</f>
        <v>III</v>
      </c>
    </row>
    <row r="120" spans="2:12" s="157" customFormat="1" x14ac:dyDescent="0.3">
      <c r="D120" s="158"/>
      <c r="E120" s="14" t="s">
        <v>140</v>
      </c>
      <c r="F120" s="3">
        <v>35.314662471284763</v>
      </c>
      <c r="G120" s="14" t="s">
        <v>167</v>
      </c>
      <c r="L120" s="182" t="str">
        <f xml:space="preserve"> Sources!I$7</f>
        <v>III</v>
      </c>
    </row>
    <row r="121" spans="2:12" s="157" customFormat="1" x14ac:dyDescent="0.3">
      <c r="D121" s="158"/>
      <c r="E121" s="79" t="s">
        <v>169</v>
      </c>
      <c r="F121" s="3">
        <v>36</v>
      </c>
      <c r="G121" s="79" t="s">
        <v>3</v>
      </c>
      <c r="L121" s="182" t="str">
        <f xml:space="preserve"> Sources!I$7</f>
        <v>III</v>
      </c>
    </row>
    <row r="122" spans="2:12" s="157" customFormat="1" x14ac:dyDescent="0.3">
      <c r="D122" s="158"/>
      <c r="E122" s="79" t="s">
        <v>170</v>
      </c>
      <c r="F122" s="76">
        <v>5.883</v>
      </c>
      <c r="G122" s="79" t="s">
        <v>9</v>
      </c>
      <c r="L122" s="182" t="str">
        <f xml:space="preserve"> Sources!I$7</f>
        <v>III</v>
      </c>
    </row>
    <row r="123" spans="2:12" s="157" customFormat="1" x14ac:dyDescent="0.3">
      <c r="D123" s="158"/>
      <c r="E123" s="80" t="s">
        <v>4</v>
      </c>
      <c r="F123" s="81">
        <v>1000</v>
      </c>
      <c r="G123" s="80" t="s">
        <v>5</v>
      </c>
      <c r="L123" s="186"/>
    </row>
  </sheetData>
  <sortState xmlns:xlrd2="http://schemas.microsoft.com/office/spreadsheetml/2017/richdata2" ref="E6:K95">
    <sortCondition ref="E6:E95"/>
  </sortState>
  <dataValidations count="1">
    <dataValidation allowBlank="1" showInputMessage="1" showErrorMessage="1" sqref="F120 E122:G122" xr:uid="{B97D48C8-F683-486C-9302-4653B4485FB2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D560-3AD3-4E20-9584-E83216C3976D}">
  <dimension ref="A1:R41"/>
  <sheetViews>
    <sheetView zoomScale="70" zoomScaleNormal="70" workbookViewId="0">
      <selection activeCell="I9" sqref="I9"/>
    </sheetView>
  </sheetViews>
  <sheetFormatPr defaultColWidth="0" defaultRowHeight="14.4" x14ac:dyDescent="0.3"/>
  <cols>
    <col min="1" max="2" width="1.33203125" style="45" customWidth="1"/>
    <col min="3" max="3" width="1.33203125" style="43" customWidth="1"/>
    <col min="4" max="4" width="1" customWidth="1"/>
    <col min="5" max="5" width="41.6640625" customWidth="1"/>
    <col min="6" max="6" width="1" customWidth="1"/>
    <col min="7" max="7" width="8.5546875" customWidth="1"/>
    <col min="8" max="8" width="1" customWidth="1"/>
    <col min="9" max="9" width="13.5546875" customWidth="1"/>
    <col min="10" max="10" width="1" customWidth="1"/>
    <col min="11" max="11" width="39.33203125" bestFit="1" customWidth="1"/>
    <col min="12" max="12" width="1" customWidth="1"/>
    <col min="13" max="13" width="59.5546875" customWidth="1"/>
    <col min="14" max="14" width="1" customWidth="1"/>
    <col min="15" max="15" width="67.88671875" bestFit="1" customWidth="1"/>
    <col min="16" max="16" width="1" customWidth="1"/>
    <col min="17" max="17" width="27.109375" customWidth="1"/>
    <col min="18" max="18" width="1" customWidth="1"/>
    <col min="19" max="16384" width="9" hidden="1"/>
  </cols>
  <sheetData>
    <row r="1" spans="1:18" ht="25.8" x14ac:dyDescent="0.3">
      <c r="A1" s="164" t="str">
        <f ca="1" xml:space="preserve"> RIGHT(CELL("filename", $A$1), LEN(CELL("filename", $A$1)) - SEARCH("]", CELL("filename", $A$1)))</f>
        <v>Sources</v>
      </c>
      <c r="B1" s="42"/>
    </row>
    <row r="3" spans="1:18" ht="31.2" x14ac:dyDescent="0.3">
      <c r="D3" s="165"/>
      <c r="E3" s="166" t="s">
        <v>184</v>
      </c>
      <c r="F3" s="165"/>
      <c r="G3" s="166" t="s">
        <v>185</v>
      </c>
      <c r="H3" s="165"/>
      <c r="I3" s="166" t="s">
        <v>186</v>
      </c>
      <c r="J3" s="165"/>
      <c r="K3" s="166" t="s">
        <v>187</v>
      </c>
      <c r="L3" s="165"/>
      <c r="M3" s="166" t="s">
        <v>188</v>
      </c>
      <c r="N3" s="165"/>
      <c r="O3" s="166" t="s">
        <v>189</v>
      </c>
      <c r="P3" s="165"/>
      <c r="Q3" s="166" t="s">
        <v>190</v>
      </c>
      <c r="R3" s="165"/>
    </row>
    <row r="4" spans="1:18" x14ac:dyDescent="0.3">
      <c r="D4" s="167"/>
      <c r="E4" s="168"/>
      <c r="F4" s="167"/>
      <c r="G4" s="168"/>
      <c r="H4" s="167"/>
      <c r="I4" s="168"/>
      <c r="J4" s="167"/>
      <c r="K4" s="168"/>
      <c r="L4" s="167"/>
      <c r="M4" s="168"/>
      <c r="N4" s="167"/>
      <c r="O4" s="168"/>
      <c r="P4" s="167"/>
      <c r="Q4" s="168"/>
      <c r="R4" s="167"/>
    </row>
    <row r="5" spans="1:18" s="105" customFormat="1" x14ac:dyDescent="0.3">
      <c r="A5" s="47"/>
      <c r="B5" s="47"/>
      <c r="C5" s="47"/>
      <c r="D5" s="178"/>
      <c r="E5" s="179" t="s">
        <v>191</v>
      </c>
      <c r="F5" s="178"/>
      <c r="G5" s="180">
        <f xml:space="preserve"> MAX(G$4:G4) + 1</f>
        <v>1</v>
      </c>
      <c r="H5" s="178"/>
      <c r="I5" s="28" t="str">
        <f t="shared" ref="I5:I9" si="0" xml:space="preserve"> ROMAN(G5, 0)</f>
        <v>I</v>
      </c>
      <c r="J5" s="178"/>
      <c r="K5" s="180"/>
      <c r="L5" s="178"/>
      <c r="M5" s="180"/>
      <c r="N5" s="178"/>
      <c r="O5" s="181"/>
      <c r="P5" s="178"/>
      <c r="Q5" s="180"/>
      <c r="R5" s="178"/>
    </row>
    <row r="6" spans="1:18" s="105" customFormat="1" x14ac:dyDescent="0.3">
      <c r="A6" s="47"/>
      <c r="B6" s="47"/>
      <c r="C6" s="47"/>
      <c r="D6" s="178"/>
      <c r="E6" s="179" t="s">
        <v>193</v>
      </c>
      <c r="F6" s="178"/>
      <c r="G6" s="180">
        <f xml:space="preserve"> MAX(G$4:G5) + 1</f>
        <v>2</v>
      </c>
      <c r="H6" s="178"/>
      <c r="I6" s="28" t="str">
        <f t="shared" si="0"/>
        <v>II</v>
      </c>
      <c r="J6" s="178"/>
      <c r="K6" s="180"/>
      <c r="L6" s="178"/>
      <c r="M6" s="180"/>
      <c r="N6" s="178"/>
      <c r="O6" s="181"/>
      <c r="P6" s="178"/>
      <c r="Q6" s="180"/>
      <c r="R6" s="178"/>
    </row>
    <row r="7" spans="1:18" s="105" customFormat="1" x14ac:dyDescent="0.3">
      <c r="A7" s="47"/>
      <c r="B7" s="47"/>
      <c r="C7" s="47"/>
      <c r="D7" s="178"/>
      <c r="E7" s="179" t="s">
        <v>198</v>
      </c>
      <c r="F7" s="178"/>
      <c r="G7" s="180">
        <f xml:space="preserve"> MAX(G$4:G6) + 1</f>
        <v>3</v>
      </c>
      <c r="H7" s="178"/>
      <c r="I7" s="28" t="str">
        <f t="shared" si="0"/>
        <v>III</v>
      </c>
      <c r="J7" s="178"/>
      <c r="K7" s="180" t="s">
        <v>194</v>
      </c>
      <c r="L7" s="178"/>
      <c r="M7" s="180"/>
      <c r="N7" s="178"/>
      <c r="O7" s="181"/>
      <c r="P7" s="178"/>
      <c r="Q7" s="180"/>
      <c r="R7" s="178"/>
    </row>
    <row r="8" spans="1:18" s="105" customFormat="1" x14ac:dyDescent="0.3">
      <c r="A8" s="47"/>
      <c r="B8" s="47"/>
      <c r="C8" s="47"/>
      <c r="D8" s="178"/>
      <c r="E8" s="179" t="s">
        <v>199</v>
      </c>
      <c r="F8" s="178"/>
      <c r="G8" s="180">
        <f xml:space="preserve"> MAX(G$4:G7) + 1</f>
        <v>4</v>
      </c>
      <c r="H8" s="178"/>
      <c r="I8" s="28" t="str">
        <f t="shared" si="0"/>
        <v>IV</v>
      </c>
      <c r="J8" s="178"/>
      <c r="K8" s="180" t="s">
        <v>195</v>
      </c>
      <c r="L8" s="178"/>
      <c r="M8" s="180"/>
      <c r="N8" s="178"/>
      <c r="O8" s="181"/>
      <c r="P8" s="178"/>
      <c r="Q8" s="180"/>
      <c r="R8" s="178"/>
    </row>
    <row r="9" spans="1:18" s="105" customFormat="1" x14ac:dyDescent="0.3">
      <c r="A9" s="47"/>
      <c r="B9" s="47"/>
      <c r="C9" s="47"/>
      <c r="D9" s="178"/>
      <c r="E9" s="179" t="s">
        <v>200</v>
      </c>
      <c r="F9" s="178"/>
      <c r="G9" s="180">
        <f xml:space="preserve"> MAX(G$4:G8) + 1</f>
        <v>5</v>
      </c>
      <c r="H9" s="178"/>
      <c r="I9" s="28" t="str">
        <f t="shared" si="0"/>
        <v>V</v>
      </c>
      <c r="J9" s="178"/>
      <c r="K9" s="180" t="s">
        <v>197</v>
      </c>
      <c r="L9" s="178"/>
      <c r="M9" s="180"/>
      <c r="N9" s="178"/>
      <c r="O9" s="181"/>
      <c r="P9" s="178"/>
      <c r="Q9" s="180"/>
      <c r="R9" s="178"/>
    </row>
    <row r="10" spans="1:18" x14ac:dyDescent="0.3">
      <c r="C10" s="45"/>
      <c r="D10" s="169"/>
      <c r="E10" s="170"/>
      <c r="F10" s="169"/>
      <c r="G10" s="171"/>
      <c r="H10" s="169"/>
      <c r="I10" s="28"/>
      <c r="J10" s="169"/>
      <c r="K10" s="171"/>
      <c r="L10" s="169"/>
      <c r="M10" s="171"/>
      <c r="N10" s="169"/>
      <c r="O10" s="172"/>
      <c r="P10" s="169"/>
      <c r="Q10" s="171"/>
      <c r="R10" s="169"/>
    </row>
    <row r="11" spans="1:18" s="174" customFormat="1" ht="2.7" customHeight="1" x14ac:dyDescent="0.3">
      <c r="A11" s="173"/>
      <c r="B11" s="173"/>
      <c r="C11" s="173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</row>
    <row r="12" spans="1:18" x14ac:dyDescent="0.3">
      <c r="C12" s="45"/>
      <c r="D12" s="169"/>
      <c r="E12" s="170"/>
      <c r="F12" s="169"/>
      <c r="G12" s="171"/>
      <c r="H12" s="169"/>
      <c r="I12" s="28"/>
      <c r="J12" s="169"/>
      <c r="K12" s="171"/>
      <c r="L12" s="169"/>
      <c r="M12" s="171"/>
      <c r="N12" s="169"/>
      <c r="O12" s="172"/>
      <c r="P12" s="169"/>
      <c r="Q12" s="171"/>
      <c r="R12" s="169"/>
    </row>
    <row r="13" spans="1:18" x14ac:dyDescent="0.3">
      <c r="C13" s="45"/>
      <c r="D13" s="169"/>
      <c r="E13" s="170"/>
      <c r="F13" s="169"/>
      <c r="G13" s="171"/>
      <c r="H13" s="169"/>
      <c r="I13" s="28"/>
      <c r="J13" s="169"/>
      <c r="K13" s="171"/>
      <c r="L13" s="169"/>
      <c r="M13" s="171"/>
      <c r="N13" s="169"/>
      <c r="O13" s="172"/>
      <c r="P13" s="169"/>
      <c r="Q13" s="171"/>
      <c r="R13" s="169"/>
    </row>
    <row r="14" spans="1:18" x14ac:dyDescent="0.3">
      <c r="C14" s="45"/>
      <c r="D14" s="169"/>
      <c r="E14" s="170"/>
      <c r="F14" s="169"/>
      <c r="G14" s="171"/>
      <c r="H14" s="169"/>
      <c r="I14" s="28"/>
      <c r="J14" s="169"/>
      <c r="K14" s="171"/>
      <c r="L14" s="169"/>
      <c r="M14" s="171"/>
      <c r="N14" s="169"/>
      <c r="O14" s="172"/>
      <c r="P14" s="169"/>
      <c r="Q14" s="171"/>
      <c r="R14" s="169"/>
    </row>
    <row r="15" spans="1:18" x14ac:dyDescent="0.3">
      <c r="C15" s="45"/>
      <c r="D15" s="169"/>
      <c r="E15" s="170"/>
      <c r="F15" s="169"/>
      <c r="G15" s="171"/>
      <c r="H15" s="169"/>
      <c r="I15" s="28"/>
      <c r="J15" s="169"/>
      <c r="K15" s="171"/>
      <c r="L15" s="169"/>
      <c r="M15" s="171"/>
      <c r="N15" s="169"/>
      <c r="O15" s="172"/>
      <c r="P15" s="169"/>
      <c r="Q15" s="171"/>
      <c r="R15" s="169"/>
    </row>
    <row r="16" spans="1:18" x14ac:dyDescent="0.3">
      <c r="C16" s="45"/>
      <c r="D16" s="169"/>
      <c r="E16" s="170"/>
      <c r="F16" s="169"/>
      <c r="G16" s="171"/>
      <c r="H16" s="169"/>
      <c r="I16" s="28"/>
      <c r="J16" s="169"/>
      <c r="K16" s="171"/>
      <c r="L16" s="169"/>
      <c r="M16" s="171"/>
      <c r="N16" s="169"/>
      <c r="O16" s="172"/>
      <c r="P16" s="169"/>
      <c r="Q16" s="171"/>
      <c r="R16" s="169"/>
    </row>
    <row r="17" spans="1:18" x14ac:dyDescent="0.3">
      <c r="C17" s="45"/>
      <c r="D17" s="169"/>
      <c r="E17" s="170"/>
      <c r="F17" s="169"/>
      <c r="G17" s="171"/>
      <c r="H17" s="169"/>
      <c r="I17" s="28"/>
      <c r="J17" s="169"/>
      <c r="K17" s="171"/>
      <c r="L17" s="169"/>
      <c r="M17" s="171"/>
      <c r="N17" s="169"/>
      <c r="O17" s="172"/>
      <c r="P17" s="169"/>
      <c r="Q17" s="171"/>
      <c r="R17" s="169"/>
    </row>
    <row r="18" spans="1:18" x14ac:dyDescent="0.3">
      <c r="C18" s="45"/>
      <c r="D18" s="169"/>
      <c r="E18" s="170"/>
      <c r="F18" s="169"/>
      <c r="G18" s="171"/>
      <c r="H18" s="169"/>
      <c r="I18" s="28"/>
      <c r="J18" s="169"/>
      <c r="K18" s="171"/>
      <c r="L18" s="169"/>
      <c r="M18" s="171"/>
      <c r="N18" s="169"/>
      <c r="O18" s="172"/>
      <c r="P18" s="169"/>
      <c r="Q18" s="171"/>
      <c r="R18" s="169"/>
    </row>
    <row r="19" spans="1:18" x14ac:dyDescent="0.3">
      <c r="C19" s="45"/>
      <c r="D19" s="169"/>
      <c r="E19" s="170"/>
      <c r="F19" s="169"/>
      <c r="G19" s="171"/>
      <c r="H19" s="169"/>
      <c r="I19" s="28"/>
      <c r="J19" s="169"/>
      <c r="K19" s="171"/>
      <c r="L19" s="169"/>
      <c r="M19" s="171"/>
      <c r="N19" s="169"/>
      <c r="O19" s="172"/>
      <c r="P19" s="169"/>
      <c r="Q19" s="171"/>
      <c r="R19" s="169"/>
    </row>
    <row r="20" spans="1:18" x14ac:dyDescent="0.3">
      <c r="C20" s="45"/>
      <c r="D20" s="169"/>
      <c r="E20" s="170"/>
      <c r="F20" s="169"/>
      <c r="G20" s="171"/>
      <c r="H20" s="169"/>
      <c r="I20" s="28"/>
      <c r="J20" s="169"/>
      <c r="K20" s="171"/>
      <c r="L20" s="169"/>
      <c r="M20" s="171"/>
      <c r="N20" s="169"/>
      <c r="O20" s="172"/>
      <c r="P20" s="169"/>
      <c r="Q20" s="171"/>
      <c r="R20" s="169"/>
    </row>
    <row r="21" spans="1:18" x14ac:dyDescent="0.3">
      <c r="C21" s="45"/>
      <c r="D21" s="169"/>
      <c r="E21" s="170"/>
      <c r="F21" s="169"/>
      <c r="G21" s="171"/>
      <c r="H21" s="169"/>
      <c r="I21" s="28"/>
      <c r="J21" s="169"/>
      <c r="K21" s="171"/>
      <c r="L21" s="169"/>
      <c r="M21" s="171"/>
      <c r="N21" s="169"/>
      <c r="O21" s="172"/>
      <c r="P21" s="169"/>
      <c r="Q21" s="171"/>
      <c r="R21" s="169"/>
    </row>
    <row r="22" spans="1:18" x14ac:dyDescent="0.3">
      <c r="C22" s="45"/>
      <c r="D22" s="169"/>
      <c r="E22" s="170"/>
      <c r="F22" s="169"/>
      <c r="G22" s="171"/>
      <c r="H22" s="169"/>
      <c r="I22" s="28"/>
      <c r="J22" s="169"/>
      <c r="K22" s="171"/>
      <c r="L22" s="169"/>
      <c r="M22" s="171"/>
      <c r="N22" s="169"/>
      <c r="O22" s="172"/>
      <c r="P22" s="169"/>
      <c r="Q22" s="171"/>
      <c r="R22" s="169"/>
    </row>
    <row r="23" spans="1:18" x14ac:dyDescent="0.3">
      <c r="C23" s="45"/>
      <c r="D23" s="169"/>
      <c r="E23" s="170"/>
      <c r="F23" s="169"/>
      <c r="G23" s="171"/>
      <c r="H23" s="169"/>
      <c r="I23" s="28"/>
      <c r="J23" s="169"/>
      <c r="K23" s="171"/>
      <c r="L23" s="169"/>
      <c r="M23" s="171"/>
      <c r="N23" s="169"/>
      <c r="O23" s="172"/>
      <c r="P23" s="169"/>
      <c r="Q23" s="171"/>
      <c r="R23" s="169"/>
    </row>
    <row r="24" spans="1:18" x14ac:dyDescent="0.3">
      <c r="C24" s="45"/>
      <c r="D24" s="169"/>
      <c r="E24" s="170"/>
      <c r="F24" s="169"/>
      <c r="G24" s="171"/>
      <c r="H24" s="169"/>
      <c r="I24" s="28"/>
      <c r="J24" s="169"/>
      <c r="K24" s="171"/>
      <c r="L24" s="169"/>
      <c r="M24" s="171"/>
      <c r="N24" s="169"/>
      <c r="O24" s="172"/>
      <c r="P24" s="169"/>
      <c r="Q24" s="171"/>
      <c r="R24" s="169"/>
    </row>
    <row r="25" spans="1:18" x14ac:dyDescent="0.3">
      <c r="C25" s="45"/>
      <c r="D25" s="169"/>
      <c r="E25" s="170"/>
      <c r="F25" s="169"/>
      <c r="G25" s="171"/>
      <c r="H25" s="169"/>
      <c r="I25" s="28"/>
      <c r="J25" s="169"/>
      <c r="K25" s="171"/>
      <c r="L25" s="169"/>
      <c r="M25" s="171"/>
      <c r="N25" s="169"/>
      <c r="O25" s="172"/>
      <c r="P25" s="169"/>
      <c r="Q25" s="171"/>
      <c r="R25" s="169"/>
    </row>
    <row r="26" spans="1:18" x14ac:dyDescent="0.3">
      <c r="C26" s="45"/>
      <c r="D26" s="169"/>
      <c r="E26" s="170"/>
      <c r="F26" s="169"/>
      <c r="G26" s="171"/>
      <c r="H26" s="169"/>
      <c r="I26" s="28"/>
      <c r="J26" s="169"/>
      <c r="K26" s="171"/>
      <c r="L26" s="169"/>
      <c r="M26" s="171"/>
      <c r="N26" s="169"/>
      <c r="O26" s="172"/>
      <c r="P26" s="169"/>
      <c r="Q26" s="171"/>
      <c r="R26" s="169"/>
    </row>
    <row r="27" spans="1:18" x14ac:dyDescent="0.3">
      <c r="C27" s="45"/>
      <c r="D27" s="167"/>
      <c r="E27" s="168"/>
      <c r="F27" s="167"/>
      <c r="G27" s="168"/>
      <c r="H27" s="167"/>
      <c r="I27" s="168"/>
      <c r="J27" s="167"/>
      <c r="K27" s="168"/>
      <c r="L27" s="167"/>
      <c r="M27" s="168"/>
      <c r="N27" s="167"/>
      <c r="O27" s="168"/>
      <c r="P27" s="167"/>
      <c r="Q27" s="168"/>
      <c r="R27" s="167"/>
    </row>
    <row r="28" spans="1:18" x14ac:dyDescent="0.3">
      <c r="C28" s="45"/>
    </row>
    <row r="32" spans="1:18" x14ac:dyDescent="0.3">
      <c r="A32" s="175"/>
      <c r="B32" s="175"/>
      <c r="C32" s="176"/>
    </row>
    <row r="33" spans="1:3" x14ac:dyDescent="0.3">
      <c r="A33" s="173"/>
      <c r="B33" s="173"/>
      <c r="C33" s="177"/>
    </row>
    <row r="34" spans="1:3" x14ac:dyDescent="0.3">
      <c r="B34" s="175"/>
      <c r="C34" s="176"/>
    </row>
    <row r="35" spans="1:3" x14ac:dyDescent="0.3">
      <c r="A35" s="173"/>
      <c r="B35" s="173"/>
      <c r="C35" s="177"/>
    </row>
    <row r="36" spans="1:3" x14ac:dyDescent="0.3">
      <c r="A36" s="175"/>
      <c r="B36" s="175"/>
      <c r="C36" s="176"/>
    </row>
    <row r="37" spans="1:3" x14ac:dyDescent="0.3">
      <c r="A37" s="175"/>
      <c r="B37" s="175"/>
      <c r="C37" s="176"/>
    </row>
    <row r="38" spans="1:3" x14ac:dyDescent="0.3">
      <c r="A38" s="175"/>
      <c r="B38" s="175"/>
      <c r="C38" s="176"/>
    </row>
    <row r="39" spans="1:3" x14ac:dyDescent="0.3">
      <c r="A39" s="173"/>
      <c r="B39" s="173"/>
      <c r="C39" s="177"/>
    </row>
    <row r="40" spans="1:3" x14ac:dyDescent="0.3">
      <c r="A40" s="173"/>
      <c r="B40" s="173"/>
      <c r="C40" s="177"/>
    </row>
    <row r="41" spans="1:3" x14ac:dyDescent="0.3">
      <c r="A41" s="173"/>
      <c r="B41" s="173"/>
      <c r="C41" s="1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Calcs</vt:lpstr>
      <vt:lpstr>Inputs</vt:lpstr>
      <vt:lpstr>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Johnny West</dc:creator>
  <cp:keywords/>
  <dc:description/>
  <cp:lastModifiedBy>Johnny West</cp:lastModifiedBy>
  <cp:revision/>
  <cp:lastPrinted>2021-04-14T12:23:21Z</cp:lastPrinted>
  <dcterms:created xsi:type="dcterms:W3CDTF">2021-04-07T14:05:54Z</dcterms:created>
  <dcterms:modified xsi:type="dcterms:W3CDTF">2021-07-01T16:45:10Z</dcterms:modified>
  <cp:category/>
  <cp:contentStatus/>
</cp:coreProperties>
</file>