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931"/>
  <workbookPr/>
  <mc:AlternateContent xmlns:mc="http://schemas.openxmlformats.org/markup-compatibility/2006">
    <mc:Choice Requires="x15">
      <x15ac:absPath xmlns:x15ac="http://schemas.microsoft.com/office/spreadsheetml/2010/11/ac" url="D:\UOP\EMGT 195\"/>
    </mc:Choice>
  </mc:AlternateContent>
  <xr:revisionPtr revIDLastSave="0" documentId="8_{9ABFD2A2-C83F-42A9-9BC9-0827C505F2B3}" xr6:coauthVersionLast="45" xr6:coauthVersionMax="45" xr10:uidLastSave="{00000000-0000-0000-0000-000000000000}"/>
  <bookViews>
    <workbookView xWindow="-98" yWindow="-98" windowWidth="24196" windowHeight="13096" xr2:uid="{00000000-000D-0000-FFFF-FFFF00000000}"/>
  </bookViews>
  <sheets>
    <sheet name="Assumptions" sheetId="1" r:id="rId1"/>
    <sheet name="Cash Flow" sheetId="4" r:id="rId2"/>
    <sheet name="Balance Sheet" sheetId="7" r:id="rId3"/>
    <sheet name="Income Statement" sheetId="3" r:id="rId4"/>
    <sheet name="Breakeven" sheetId="8" r:id="rId5"/>
  </sheets>
  <calcPr calcId="191028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1" i="1" l="1"/>
  <c r="G24" i="1"/>
  <c r="C19" i="1"/>
  <c r="G19" i="1"/>
  <c r="F19" i="1"/>
  <c r="E19" i="1"/>
  <c r="D19" i="1"/>
  <c r="D9" i="1" l="1"/>
  <c r="E9" i="1"/>
  <c r="F9" i="1"/>
  <c r="G9" i="1"/>
  <c r="C9" i="1"/>
  <c r="E159" i="8" l="1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39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14" i="8"/>
  <c r="E115" i="8" l="1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14" i="8"/>
  <c r="H24" i="1" l="1"/>
  <c r="B12" i="3" l="1"/>
  <c r="B10" i="7"/>
  <c r="B18" i="7"/>
  <c r="B17" i="7"/>
  <c r="B19" i="7"/>
  <c r="B20" i="7"/>
  <c r="B21" i="7"/>
  <c r="B22" i="7"/>
  <c r="C22" i="7" s="1"/>
  <c r="B23" i="7"/>
  <c r="C23" i="7" s="1"/>
  <c r="B9" i="7"/>
  <c r="C9" i="7" s="1"/>
  <c r="B7" i="7"/>
  <c r="C7" i="7" s="1"/>
  <c r="D7" i="7" s="1"/>
  <c r="B6" i="7"/>
  <c r="B5" i="7"/>
  <c r="B2" i="7"/>
  <c r="H43" i="1"/>
  <c r="I43" i="1" s="1"/>
  <c r="J43" i="1" s="1"/>
  <c r="K43" i="1" s="1"/>
  <c r="L43" i="1" s="1"/>
  <c r="H44" i="1"/>
  <c r="I44" i="1" s="1"/>
  <c r="J44" i="1" s="1"/>
  <c r="K44" i="1" s="1"/>
  <c r="L44" i="1" s="1"/>
  <c r="H45" i="1"/>
  <c r="I45" i="1" s="1"/>
  <c r="J45" i="1" s="1"/>
  <c r="K45" i="1" s="1"/>
  <c r="L45" i="1" s="1"/>
  <c r="C5" i="1"/>
  <c r="B2" i="3" s="1"/>
  <c r="B5" i="3"/>
  <c r="B8" i="3"/>
  <c r="B9" i="3"/>
  <c r="B11" i="3"/>
  <c r="B10" i="3"/>
  <c r="C6" i="7"/>
  <c r="D6" i="7" s="1"/>
  <c r="C15" i="4"/>
  <c r="D5" i="1"/>
  <c r="C2" i="3"/>
  <c r="C7" i="3" s="1"/>
  <c r="C5" i="3"/>
  <c r="C9" i="3"/>
  <c r="C8" i="3"/>
  <c r="C10" i="3"/>
  <c r="C11" i="3"/>
  <c r="D9" i="4"/>
  <c r="D15" i="4"/>
  <c r="E5" i="1"/>
  <c r="D2" i="3" s="1"/>
  <c r="D5" i="3"/>
  <c r="D9" i="3"/>
  <c r="D8" i="3"/>
  <c r="D10" i="3"/>
  <c r="D11" i="3"/>
  <c r="E15" i="4"/>
  <c r="F5" i="1"/>
  <c r="E2" i="3" s="1"/>
  <c r="E6" i="3" s="1"/>
  <c r="E5" i="3"/>
  <c r="E9" i="3"/>
  <c r="E8" i="3"/>
  <c r="E10" i="3"/>
  <c r="E11" i="3"/>
  <c r="F15" i="4"/>
  <c r="G5" i="1"/>
  <c r="F2" i="3" s="1"/>
  <c r="F5" i="3"/>
  <c r="F9" i="3"/>
  <c r="F8" i="3"/>
  <c r="F10" i="3"/>
  <c r="F11" i="3"/>
  <c r="G15" i="4"/>
  <c r="D6" i="1"/>
  <c r="C12" i="1"/>
  <c r="D12" i="1"/>
  <c r="E12" i="1"/>
  <c r="F12" i="1"/>
  <c r="G12" i="1"/>
  <c r="A11" i="3"/>
  <c r="A10" i="3"/>
  <c r="H4" i="4"/>
  <c r="A5" i="3"/>
  <c r="A7" i="3"/>
  <c r="A8" i="3"/>
  <c r="A9" i="3"/>
  <c r="E6" i="1"/>
  <c r="F6" i="1"/>
  <c r="G6" i="1"/>
  <c r="C20" i="7" l="1"/>
  <c r="C21" i="4"/>
  <c r="D23" i="7"/>
  <c r="B25" i="7"/>
  <c r="D22" i="7"/>
  <c r="C20" i="4"/>
  <c r="C19" i="7"/>
  <c r="C8" i="4"/>
  <c r="C18" i="7"/>
  <c r="C3" i="3"/>
  <c r="D15" i="7" s="1"/>
  <c r="D6" i="3"/>
  <c r="E16" i="7" s="1"/>
  <c r="E4" i="7"/>
  <c r="D3" i="3"/>
  <c r="D7" i="3"/>
  <c r="C2" i="7"/>
  <c r="C19" i="4"/>
  <c r="D20" i="7"/>
  <c r="F16" i="7"/>
  <c r="D20" i="4"/>
  <c r="E22" i="7"/>
  <c r="C18" i="4"/>
  <c r="D19" i="7"/>
  <c r="F4" i="7"/>
  <c r="E7" i="3"/>
  <c r="E3" i="3"/>
  <c r="E4" i="3" s="1"/>
  <c r="B6" i="3"/>
  <c r="C16" i="7" s="1"/>
  <c r="C12" i="4" s="1"/>
  <c r="B7" i="3"/>
  <c r="B3" i="3"/>
  <c r="B4" i="3" s="1"/>
  <c r="C4" i="7"/>
  <c r="E7" i="7"/>
  <c r="B14" i="3"/>
  <c r="C17" i="4"/>
  <c r="F7" i="3"/>
  <c r="F3" i="3"/>
  <c r="F4" i="3" s="1"/>
  <c r="F6" i="3"/>
  <c r="G16" i="7" s="1"/>
  <c r="G4" i="7"/>
  <c r="D18" i="7"/>
  <c r="C14" i="3" s="1"/>
  <c r="E6" i="7"/>
  <c r="E8" i="4" s="1"/>
  <c r="D9" i="7"/>
  <c r="D10" i="4" s="1"/>
  <c r="C10" i="4"/>
  <c r="B12" i="7"/>
  <c r="C10" i="7"/>
  <c r="C6" i="3"/>
  <c r="D16" i="7" s="1"/>
  <c r="D8" i="4"/>
  <c r="C9" i="4"/>
  <c r="D4" i="7"/>
  <c r="E23" i="7" l="1"/>
  <c r="D21" i="4"/>
  <c r="E6" i="4"/>
  <c r="B13" i="3"/>
  <c r="D5" i="7"/>
  <c r="C4" i="3"/>
  <c r="F12" i="4"/>
  <c r="E12" i="4"/>
  <c r="G12" i="4"/>
  <c r="E5" i="7"/>
  <c r="D4" i="3"/>
  <c r="E15" i="7"/>
  <c r="E17" i="7" s="1"/>
  <c r="F7" i="7"/>
  <c r="F9" i="4" s="1"/>
  <c r="G15" i="7"/>
  <c r="G5" i="7"/>
  <c r="E9" i="4"/>
  <c r="F5" i="7"/>
  <c r="F15" i="7"/>
  <c r="F22" i="7"/>
  <c r="E20" i="4"/>
  <c r="D2" i="7"/>
  <c r="E20" i="7"/>
  <c r="D19" i="4"/>
  <c r="D6" i="4"/>
  <c r="C6" i="4"/>
  <c r="E9" i="7"/>
  <c r="E10" i="4" s="1"/>
  <c r="G6" i="4"/>
  <c r="F6" i="4"/>
  <c r="D17" i="7"/>
  <c r="D21" i="7" s="1"/>
  <c r="D10" i="7"/>
  <c r="D18" i="4"/>
  <c r="E19" i="7"/>
  <c r="F6" i="7"/>
  <c r="F8" i="4" s="1"/>
  <c r="B3" i="7"/>
  <c r="C5" i="7"/>
  <c r="C15" i="7"/>
  <c r="D12" i="4"/>
  <c r="E18" i="7"/>
  <c r="D17" i="4"/>
  <c r="E21" i="4" l="1"/>
  <c r="F23" i="7"/>
  <c r="E7" i="4"/>
  <c r="E11" i="4"/>
  <c r="E19" i="4"/>
  <c r="F20" i="7"/>
  <c r="C17" i="7"/>
  <c r="C21" i="7" s="1"/>
  <c r="C11" i="4"/>
  <c r="G6" i="7"/>
  <c r="G8" i="4"/>
  <c r="G11" i="4"/>
  <c r="G17" i="7"/>
  <c r="D7" i="4"/>
  <c r="C7" i="4"/>
  <c r="E18" i="4"/>
  <c r="F19" i="7"/>
  <c r="E2" i="7"/>
  <c r="E21" i="7"/>
  <c r="C23" i="4"/>
  <c r="B8" i="7"/>
  <c r="B13" i="7" s="1"/>
  <c r="B27" i="4" s="1"/>
  <c r="C11" i="7"/>
  <c r="C5" i="4"/>
  <c r="F9" i="7"/>
  <c r="F10" i="4" s="1"/>
  <c r="F20" i="4"/>
  <c r="G22" i="7"/>
  <c r="G20" i="4" s="1"/>
  <c r="D14" i="3"/>
  <c r="C12" i="3"/>
  <c r="I24" i="1"/>
  <c r="E10" i="7"/>
  <c r="F17" i="7"/>
  <c r="F11" i="4"/>
  <c r="G7" i="4"/>
  <c r="F7" i="4"/>
  <c r="G7" i="7"/>
  <c r="G9" i="4" s="1"/>
  <c r="F18" i="7"/>
  <c r="E14" i="3" s="1"/>
  <c r="E17" i="4"/>
  <c r="D11" i="4"/>
  <c r="B15" i="3"/>
  <c r="F21" i="4" l="1"/>
  <c r="G23" i="7"/>
  <c r="G21" i="4" s="1"/>
  <c r="B24" i="4"/>
  <c r="F21" i="7"/>
  <c r="F2" i="7"/>
  <c r="D5" i="4"/>
  <c r="C13" i="3"/>
  <c r="C15" i="3" s="1"/>
  <c r="G20" i="7"/>
  <c r="G19" i="4" s="1"/>
  <c r="F19" i="4"/>
  <c r="B16" i="3"/>
  <c r="B17" i="3" s="1"/>
  <c r="F17" i="4"/>
  <c r="G18" i="7"/>
  <c r="G17" i="4" s="1"/>
  <c r="G9" i="7"/>
  <c r="G10" i="4" s="1"/>
  <c r="G19" i="7"/>
  <c r="G18" i="4" s="1"/>
  <c r="F18" i="4"/>
  <c r="F10" i="7"/>
  <c r="J24" i="1"/>
  <c r="D12" i="3"/>
  <c r="D11" i="7"/>
  <c r="C12" i="7"/>
  <c r="C4" i="4" l="1"/>
  <c r="C13" i="4" s="1"/>
  <c r="C16" i="4" s="1"/>
  <c r="C22" i="4" s="1"/>
  <c r="C24" i="4" s="1"/>
  <c r="C24" i="7"/>
  <c r="C25" i="7" s="1"/>
  <c r="K24" i="1"/>
  <c r="F12" i="3" s="1"/>
  <c r="E12" i="3"/>
  <c r="G10" i="7"/>
  <c r="F14" i="3"/>
  <c r="G21" i="7"/>
  <c r="G2" i="7"/>
  <c r="E11" i="7"/>
  <c r="D12" i="7"/>
  <c r="E5" i="4"/>
  <c r="D13" i="3"/>
  <c r="D15" i="3" s="1"/>
  <c r="C16" i="3"/>
  <c r="C17" i="3" s="1"/>
  <c r="F11" i="7" l="1"/>
  <c r="E12" i="7"/>
  <c r="G5" i="4"/>
  <c r="F13" i="3"/>
  <c r="F15" i="3" s="1"/>
  <c r="D16" i="3"/>
  <c r="D17" i="3" s="1"/>
  <c r="F5" i="4"/>
  <c r="E13" i="3"/>
  <c r="E15" i="3" s="1"/>
  <c r="D4" i="4"/>
  <c r="D13" i="4" s="1"/>
  <c r="D16" i="4" s="1"/>
  <c r="D22" i="4" s="1"/>
  <c r="D24" i="7"/>
  <c r="D25" i="7" s="1"/>
  <c r="C3" i="7"/>
  <c r="C8" i="7" s="1"/>
  <c r="C13" i="7" s="1"/>
  <c r="C27" i="4" s="1"/>
  <c r="D23" i="4"/>
  <c r="E24" i="7" l="1"/>
  <c r="E25" i="7" s="1"/>
  <c r="E4" i="4"/>
  <c r="E13" i="4" s="1"/>
  <c r="E16" i="4" s="1"/>
  <c r="E22" i="4" s="1"/>
  <c r="E16" i="3"/>
  <c r="E17" i="3" s="1"/>
  <c r="G11" i="7"/>
  <c r="G12" i="7" s="1"/>
  <c r="F12" i="7"/>
  <c r="F16" i="3"/>
  <c r="F17" i="3" s="1"/>
  <c r="D24" i="4"/>
  <c r="F24" i="7" l="1"/>
  <c r="F25" i="7" s="1"/>
  <c r="F4" i="4"/>
  <c r="F13" i="4" s="1"/>
  <c r="F16" i="4" s="1"/>
  <c r="F22" i="4" s="1"/>
  <c r="G4" i="4"/>
  <c r="G13" i="4" s="1"/>
  <c r="G16" i="4" s="1"/>
  <c r="G22" i="4" s="1"/>
  <c r="D3" i="7"/>
  <c r="D8" i="7" s="1"/>
  <c r="D13" i="7" s="1"/>
  <c r="D27" i="4" s="1"/>
  <c r="E23" i="4"/>
  <c r="E24" i="4" s="1"/>
  <c r="G24" i="7" l="1"/>
  <c r="G25" i="7" s="1"/>
  <c r="E3" i="7"/>
  <c r="E8" i="7" s="1"/>
  <c r="E13" i="7" s="1"/>
  <c r="E27" i="4" s="1"/>
  <c r="F23" i="4"/>
  <c r="F24" i="4" s="1"/>
  <c r="F3" i="7" l="1"/>
  <c r="F8" i="7" s="1"/>
  <c r="F13" i="7" s="1"/>
  <c r="F27" i="4" s="1"/>
  <c r="G23" i="4"/>
  <c r="G24" i="4" s="1"/>
  <c r="G3" i="7" s="1"/>
  <c r="G8" i="7" s="1"/>
  <c r="G13" i="7" s="1"/>
  <c r="G27" i="4" s="1"/>
</calcChain>
</file>

<file path=xl/sharedStrings.xml><?xml version="1.0" encoding="utf-8"?>
<sst xmlns="http://schemas.openxmlformats.org/spreadsheetml/2006/main" count="161" uniqueCount="121">
  <si>
    <t>Income Statement Assumptions</t>
  </si>
  <si>
    <t xml:space="preserve">Revenues </t>
  </si>
  <si>
    <t>Year 1</t>
  </si>
  <si>
    <t>Year 2</t>
  </si>
  <si>
    <t>Year 3</t>
  </si>
  <si>
    <t>Year 4</t>
  </si>
  <si>
    <t>Year 5</t>
  </si>
  <si>
    <t>100 pcs</t>
  </si>
  <si>
    <t>1000 pcs</t>
  </si>
  <si>
    <t>10000 pcs</t>
  </si>
  <si>
    <t>Units Sold</t>
  </si>
  <si>
    <t>Average Sale per Customer</t>
  </si>
  <si>
    <t>Sales growth</t>
  </si>
  <si>
    <t>Variable Expenses</t>
  </si>
  <si>
    <t>Cost of Sales %</t>
  </si>
  <si>
    <t>Sales commission %</t>
  </si>
  <si>
    <t>Other Variable Expense</t>
  </si>
  <si>
    <t>Total Variable Cost %</t>
  </si>
  <si>
    <t>Fixed Expenses</t>
  </si>
  <si>
    <t>Salaries</t>
  </si>
  <si>
    <t>Lease Expense (Rent)</t>
  </si>
  <si>
    <t>Marketing</t>
  </si>
  <si>
    <t>Marketing costs are included in COGS/COS</t>
  </si>
  <si>
    <t>R&amp;D</t>
  </si>
  <si>
    <t>Other Fixed Expense</t>
  </si>
  <si>
    <t>Total Fixed Costs (excl. Depreciation)</t>
  </si>
  <si>
    <t>Tax Rate</t>
  </si>
  <si>
    <t>Capital Expenditures</t>
  </si>
  <si>
    <t xml:space="preserve">Too expensive not to produce in China. </t>
  </si>
  <si>
    <t xml:space="preserve">Depreciated over </t>
  </si>
  <si>
    <t>$20,000 investment is used to justify price increase starting in yr 3.</t>
  </si>
  <si>
    <t>Depreciation expense</t>
  </si>
  <si>
    <t>Opening Balance Sheet</t>
  </si>
  <si>
    <t>Start Up Costs:</t>
  </si>
  <si>
    <t>Number of months of sales in Year 1</t>
  </si>
  <si>
    <t>Operating Cash</t>
  </si>
  <si>
    <t>Start up inventory</t>
  </si>
  <si>
    <t>Depreciation</t>
  </si>
  <si>
    <t>Balance Sheet Assumptions</t>
  </si>
  <si>
    <t>Other Current Assets</t>
  </si>
  <si>
    <t>in Years</t>
  </si>
  <si>
    <t>Operating Ratios:</t>
  </si>
  <si>
    <t>PP&amp;E</t>
  </si>
  <si>
    <t>Days Receivables</t>
  </si>
  <si>
    <t>Other Long Term Assets</t>
  </si>
  <si>
    <t>Days Inventory</t>
  </si>
  <si>
    <t>Prepaid Expenses</t>
  </si>
  <si>
    <t>Days Payables</t>
  </si>
  <si>
    <t xml:space="preserve">Days Accruals </t>
  </si>
  <si>
    <t>OIE Students- Ignore the "Startup Funding Box" below for now.</t>
  </si>
  <si>
    <t>Start up funding:</t>
  </si>
  <si>
    <t xml:space="preserve">Interest Rate </t>
  </si>
  <si>
    <t xml:space="preserve">Years </t>
  </si>
  <si>
    <t>New Debt</t>
  </si>
  <si>
    <t>Short Term Bank Loan</t>
  </si>
  <si>
    <t>Bank</t>
  </si>
  <si>
    <t>Other Financing</t>
  </si>
  <si>
    <t>Other</t>
  </si>
  <si>
    <t>Long Term Bank Loan</t>
  </si>
  <si>
    <t>LTD</t>
  </si>
  <si>
    <t>Preferred Stock</t>
  </si>
  <si>
    <t>Common Equity</t>
  </si>
  <si>
    <t>Debt Repayment</t>
  </si>
  <si>
    <t>Year</t>
  </si>
  <si>
    <t>Cash Flow</t>
  </si>
  <si>
    <t>Net Income</t>
  </si>
  <si>
    <t>Change in A/R</t>
  </si>
  <si>
    <t>Change in Inventory</t>
  </si>
  <si>
    <t>Change in Prepaids</t>
  </si>
  <si>
    <t xml:space="preserve">Change in Other Current </t>
  </si>
  <si>
    <t>Change in Other Long Term</t>
  </si>
  <si>
    <t>Change in A/P</t>
  </si>
  <si>
    <t>Change in Accruals</t>
  </si>
  <si>
    <t>Cash from Operations</t>
  </si>
  <si>
    <t>Cash flow after Investing</t>
  </si>
  <si>
    <t>Change in Bank Loan</t>
  </si>
  <si>
    <t>Change in Other Debt</t>
  </si>
  <si>
    <t>Change in Long Term Debt</t>
  </si>
  <si>
    <t>Changes in PS</t>
  </si>
  <si>
    <t>Changes in CS</t>
  </si>
  <si>
    <t>Cash Flow after Financing</t>
  </si>
  <si>
    <t>Beginning Cash Reserve</t>
  </si>
  <si>
    <t>Ending Cash Reserves</t>
  </si>
  <si>
    <t>Balance adjust.</t>
  </si>
  <si>
    <t>Balance Sheet</t>
  </si>
  <si>
    <t>Opening</t>
  </si>
  <si>
    <t>Cash (operating)</t>
  </si>
  <si>
    <t>Cash (reserves)</t>
  </si>
  <si>
    <t>Accounts Receivable</t>
  </si>
  <si>
    <t>Inventory</t>
  </si>
  <si>
    <t>Other Current Asset</t>
  </si>
  <si>
    <t>Total Current Assets</t>
  </si>
  <si>
    <t>Long Term Asset</t>
  </si>
  <si>
    <t>Gross PP&amp;E</t>
  </si>
  <si>
    <t>Accumulated Depreciation</t>
  </si>
  <si>
    <t>Net PP&amp;E</t>
  </si>
  <si>
    <t>Total Assets</t>
  </si>
  <si>
    <t>Accounts Payable</t>
  </si>
  <si>
    <t>Accrued Wages and commissions payable</t>
  </si>
  <si>
    <t>Total Current Liabilities</t>
  </si>
  <si>
    <t>Bank Loan</t>
  </si>
  <si>
    <t>Other Debt</t>
  </si>
  <si>
    <t>Long Term Debt</t>
  </si>
  <si>
    <t>Total Liabilities</t>
  </si>
  <si>
    <t>B</t>
  </si>
  <si>
    <t>Retained Earnings</t>
  </si>
  <si>
    <t>Total Liabilities and Equity</t>
  </si>
  <si>
    <t>Income Statement</t>
  </si>
  <si>
    <t>Sales</t>
  </si>
  <si>
    <t>Cost of Goods Sold</t>
  </si>
  <si>
    <t>Gross Profit</t>
  </si>
  <si>
    <t>Sales commissions</t>
  </si>
  <si>
    <t>EBIT</t>
  </si>
  <si>
    <t>Interest Expense</t>
  </si>
  <si>
    <t>Earning before Taxes</t>
  </si>
  <si>
    <t>Taxes</t>
  </si>
  <si>
    <t>Units</t>
  </si>
  <si>
    <t>Income</t>
  </si>
  <si>
    <t>Costs</t>
  </si>
  <si>
    <t>Option 1</t>
  </si>
  <si>
    <t>Option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</si>
</sst>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%"/>
    <numFmt numFmtId="167" formatCode="[$DKK]\ #,##0_);\([$DKK]\ #,##0\)"/>
    <numFmt numFmtId="168" formatCode="[$DKK]\ #,##0"/>
  </numFmts>
  <fonts count="14"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u val="singleAccounting"/>
      <sz val="10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indexed="12"/>
      <name val="Arial"/>
      <family val="2"/>
    </font>
    <font>
      <b/>
      <i/>
      <sz val="10"/>
      <name val="Arial"/>
      <family val="2"/>
    </font>
    <font>
      <sz val="10"/>
      <color rgb="FFFF0000"/>
      <name val="Arial"/>
    </font>
    <font>
      <sz val="10"/>
      <name val="Arial"/>
    </font>
    <font>
      <sz val="10"/>
      <color theme="1"/>
      <name val="Arial"/>
    </font>
    <font>
      <i/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C6D9F0"/>
        <bgColor rgb="FFC6D9F0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0" fillId="0" borderId="0" xfId="0" applyFill="1" applyBorder="1"/>
    <xf numFmtId="0" fontId="0" fillId="0" borderId="0" xfId="0" applyAlignment="1">
      <alignment horizontal="center"/>
    </xf>
    <xf numFmtId="9" fontId="0" fillId="0" borderId="0" xfId="3" applyFont="1" applyFill="1" applyBorder="1"/>
    <xf numFmtId="9" fontId="0" fillId="2" borderId="1" xfId="3" applyFont="1" applyFill="1" applyBorder="1"/>
    <xf numFmtId="164" fontId="0" fillId="0" borderId="0" xfId="2" applyNumberFormat="1" applyFont="1"/>
    <xf numFmtId="0" fontId="0" fillId="0" borderId="0" xfId="0" applyAlignment="1">
      <alignment horizontal="right"/>
    </xf>
    <xf numFmtId="0" fontId="2" fillId="0" borderId="0" xfId="0" applyFont="1"/>
    <xf numFmtId="165" fontId="0" fillId="0" borderId="0" xfId="1" applyNumberFormat="1" applyFont="1"/>
    <xf numFmtId="165" fontId="0" fillId="2" borderId="1" xfId="1" applyNumberFormat="1" applyFont="1" applyFill="1" applyBorder="1"/>
    <xf numFmtId="164" fontId="0" fillId="0" borderId="0" xfId="0" applyNumberFormat="1"/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0" fillId="0" borderId="0" xfId="0" applyFill="1" applyBorder="1" applyAlignment="1">
      <alignment horizontal="right"/>
    </xf>
    <xf numFmtId="0" fontId="0" fillId="0" borderId="0" xfId="0" applyAlignment="1">
      <alignment wrapText="1"/>
    </xf>
    <xf numFmtId="165" fontId="0" fillId="0" borderId="0" xfId="0" applyNumberFormat="1"/>
    <xf numFmtId="165" fontId="0" fillId="0" borderId="0" xfId="1" applyNumberFormat="1" applyFont="1" applyFill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5" fillId="0" borderId="0" xfId="0" applyFont="1"/>
    <xf numFmtId="165" fontId="4" fillId="0" borderId="0" xfId="0" applyNumberFormat="1" applyFont="1"/>
    <xf numFmtId="165" fontId="0" fillId="0" borderId="2" xfId="1" applyNumberFormat="1" applyFont="1" applyBorder="1"/>
    <xf numFmtId="0" fontId="5" fillId="0" borderId="0" xfId="0" applyFont="1" applyAlignment="1">
      <alignment horizontal="left"/>
    </xf>
    <xf numFmtId="0" fontId="0" fillId="0" borderId="0" xfId="0" applyBorder="1"/>
    <xf numFmtId="0" fontId="6" fillId="0" borderId="0" xfId="0" applyFont="1"/>
    <xf numFmtId="0" fontId="7" fillId="0" borderId="0" xfId="0" applyFont="1"/>
    <xf numFmtId="9" fontId="7" fillId="0" borderId="0" xfId="3" applyFont="1" applyFill="1" applyBorder="1"/>
    <xf numFmtId="0" fontId="7" fillId="0" borderId="0" xfId="0" applyFont="1" applyAlignment="1">
      <alignment wrapText="1"/>
    </xf>
    <xf numFmtId="165" fontId="8" fillId="0" borderId="0" xfId="1" applyNumberFormat="1" applyFont="1" applyFill="1"/>
    <xf numFmtId="9" fontId="0" fillId="0" borderId="0" xfId="3" applyFont="1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2" fillId="0" borderId="5" xfId="0" applyFont="1" applyBorder="1"/>
    <xf numFmtId="0" fontId="0" fillId="0" borderId="5" xfId="0" applyBorder="1"/>
    <xf numFmtId="0" fontId="0" fillId="0" borderId="0" xfId="0" applyBorder="1" applyAlignment="1">
      <alignment horizontal="right"/>
    </xf>
    <xf numFmtId="9" fontId="0" fillId="0" borderId="6" xfId="3" applyFont="1" applyFill="1" applyBorder="1" applyAlignment="1">
      <alignment horizontal="center"/>
    </xf>
    <xf numFmtId="9" fontId="0" fillId="0" borderId="0" xfId="3" applyFont="1" applyBorder="1" applyAlignment="1">
      <alignment horizontal="center"/>
    </xf>
    <xf numFmtId="0" fontId="6" fillId="0" borderId="7" xfId="0" applyFont="1" applyBorder="1"/>
    <xf numFmtId="0" fontId="9" fillId="0" borderId="0" xfId="0" applyFont="1"/>
    <xf numFmtId="9" fontId="0" fillId="2" borderId="1" xfId="3" applyFont="1" applyFill="1" applyBorder="1" applyAlignment="1" applyProtection="1">
      <alignment horizontal="center"/>
      <protection locked="0"/>
    </xf>
    <xf numFmtId="0" fontId="0" fillId="2" borderId="1" xfId="0" applyFill="1" applyBorder="1" applyProtection="1">
      <protection locked="0"/>
    </xf>
    <xf numFmtId="0" fontId="0" fillId="0" borderId="0" xfId="0" applyFill="1" applyBorder="1" applyProtection="1">
      <protection locked="0"/>
    </xf>
    <xf numFmtId="44" fontId="0" fillId="0" borderId="0" xfId="2" applyFont="1" applyFill="1" applyBorder="1"/>
    <xf numFmtId="9" fontId="0" fillId="0" borderId="0" xfId="3" applyFont="1"/>
    <xf numFmtId="9" fontId="0" fillId="0" borderId="0" xfId="3" applyFont="1" applyAlignment="1">
      <alignment horizontal="right"/>
    </xf>
    <xf numFmtId="9" fontId="0" fillId="0" borderId="0" xfId="0" applyNumberFormat="1" applyFill="1" applyBorder="1"/>
    <xf numFmtId="0" fontId="0" fillId="2" borderId="1" xfId="0" applyFill="1" applyBorder="1" applyAlignment="1">
      <alignment horizontal="right"/>
    </xf>
    <xf numFmtId="0" fontId="6" fillId="0" borderId="0" xfId="0" applyFont="1" applyAlignment="1">
      <alignment wrapText="1"/>
    </xf>
    <xf numFmtId="164" fontId="9" fillId="0" borderId="0" xfId="2" applyNumberFormat="1" applyFont="1"/>
    <xf numFmtId="166" fontId="0" fillId="0" borderId="0" xfId="3" applyNumberFormat="1" applyFont="1"/>
    <xf numFmtId="165" fontId="0" fillId="0" borderId="1" xfId="1" applyNumberFormat="1" applyFont="1" applyFill="1" applyBorder="1"/>
    <xf numFmtId="0" fontId="0" fillId="3" borderId="1" xfId="0" applyFill="1" applyBorder="1"/>
    <xf numFmtId="167" fontId="0" fillId="0" borderId="0" xfId="2" applyNumberFormat="1" applyFont="1" applyFill="1" applyBorder="1" applyAlignment="1" applyProtection="1">
      <alignment horizontal="center"/>
      <protection locked="0"/>
    </xf>
    <xf numFmtId="167" fontId="0" fillId="0" borderId="0" xfId="0" applyNumberFormat="1"/>
    <xf numFmtId="0" fontId="0" fillId="0" borderId="0" xfId="0" applyFill="1"/>
    <xf numFmtId="165" fontId="0" fillId="0" borderId="0" xfId="0" applyNumberFormat="1" applyFill="1"/>
    <xf numFmtId="168" fontId="0" fillId="0" borderId="0" xfId="0" applyNumberFormat="1"/>
    <xf numFmtId="168" fontId="0" fillId="0" borderId="0" xfId="0" applyNumberFormat="1" applyBorder="1"/>
    <xf numFmtId="37" fontId="0" fillId="0" borderId="0" xfId="0" applyNumberFormat="1"/>
    <xf numFmtId="37" fontId="4" fillId="0" borderId="0" xfId="1" applyNumberFormat="1" applyFont="1"/>
    <xf numFmtId="37" fontId="0" fillId="0" borderId="0" xfId="1" applyNumberFormat="1" applyFont="1"/>
    <xf numFmtId="165" fontId="6" fillId="0" borderId="0" xfId="0" applyNumberFormat="1" applyFont="1"/>
    <xf numFmtId="0" fontId="6" fillId="3" borderId="0" xfId="0" applyFont="1" applyFill="1"/>
    <xf numFmtId="165" fontId="6" fillId="3" borderId="0" xfId="0" applyNumberFormat="1" applyFont="1" applyFill="1"/>
    <xf numFmtId="168" fontId="6" fillId="3" borderId="0" xfId="0" applyNumberFormat="1" applyFont="1" applyFill="1"/>
    <xf numFmtId="37" fontId="6" fillId="3" borderId="0" xfId="0" applyNumberFormat="1" applyFont="1" applyFill="1"/>
    <xf numFmtId="9" fontId="1" fillId="0" borderId="1" xfId="3" applyFont="1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2" fillId="0" borderId="8" xfId="0" applyFont="1" applyBorder="1"/>
    <xf numFmtId="0" fontId="0" fillId="0" borderId="9" xfId="0" applyBorder="1"/>
    <xf numFmtId="0" fontId="0" fillId="0" borderId="11" xfId="0" applyBorder="1"/>
    <xf numFmtId="165" fontId="0" fillId="2" borderId="12" xfId="1" applyNumberFormat="1" applyFont="1" applyFill="1" applyBorder="1" applyAlignment="1"/>
    <xf numFmtId="0" fontId="0" fillId="0" borderId="13" xfId="0" applyBorder="1" applyAlignment="1">
      <alignment horizontal="right"/>
    </xf>
    <xf numFmtId="0" fontId="0" fillId="0" borderId="14" xfId="0" applyBorder="1"/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10" fillId="0" borderId="0" xfId="0" applyFont="1" applyFill="1" applyBorder="1"/>
    <xf numFmtId="0" fontId="0" fillId="3" borderId="0" xfId="0" applyFill="1"/>
    <xf numFmtId="0" fontId="6" fillId="0" borderId="0" xfId="0" applyFont="1" applyFill="1"/>
    <xf numFmtId="165" fontId="6" fillId="0" borderId="0" xfId="0" applyNumberFormat="1" applyFont="1" applyFill="1"/>
    <xf numFmtId="5" fontId="0" fillId="2" borderId="1" xfId="2" applyNumberFormat="1" applyFont="1" applyFill="1" applyBorder="1"/>
    <xf numFmtId="5" fontId="0" fillId="0" borderId="0" xfId="2" applyNumberFormat="1" applyFont="1" applyFill="1" applyBorder="1"/>
    <xf numFmtId="0" fontId="1" fillId="0" borderId="0" xfId="0" applyFont="1"/>
    <xf numFmtId="165" fontId="0" fillId="4" borderId="1" xfId="1" applyNumberFormat="1" applyFont="1" applyFill="1" applyBorder="1"/>
    <xf numFmtId="165" fontId="0" fillId="4" borderId="15" xfId="1" applyNumberFormat="1" applyFont="1" applyFill="1" applyBorder="1"/>
    <xf numFmtId="43" fontId="0" fillId="2" borderId="0" xfId="1" applyNumberFormat="1" applyFont="1" applyFill="1" applyBorder="1"/>
    <xf numFmtId="165" fontId="11" fillId="5" borderId="18" xfId="0" applyNumberFormat="1" applyFont="1" applyFill="1" applyBorder="1"/>
    <xf numFmtId="165" fontId="12" fillId="5" borderId="18" xfId="0" applyNumberFormat="1" applyFont="1" applyFill="1" applyBorder="1"/>
    <xf numFmtId="5" fontId="13" fillId="0" borderId="0" xfId="0" applyNumberFormat="1" applyFont="1"/>
    <xf numFmtId="165" fontId="13" fillId="0" borderId="0" xfId="0" applyNumberFormat="1" applyFont="1"/>
    <xf numFmtId="0" fontId="12" fillId="0" borderId="19" xfId="0" applyFont="1" applyBorder="1" applyAlignment="1">
      <alignment horizontal="center"/>
    </xf>
    <xf numFmtId="9" fontId="12" fillId="0" borderId="19" xfId="0" applyNumberFormat="1" applyFont="1" applyBorder="1" applyAlignment="1">
      <alignment horizontal="center"/>
    </xf>
    <xf numFmtId="165" fontId="12" fillId="5" borderId="18" xfId="0" applyNumberFormat="1" applyFont="1" applyFill="1" applyBorder="1" applyAlignment="1">
      <alignment horizontal="center"/>
    </xf>
    <xf numFmtId="165" fontId="12" fillId="6" borderId="18" xfId="0" applyNumberFormat="1" applyFont="1" applyFill="1" applyBorder="1"/>
    <xf numFmtId="165" fontId="11" fillId="6" borderId="18" xfId="0" applyNumberFormat="1" applyFont="1" applyFill="1" applyBorder="1"/>
    <xf numFmtId="0" fontId="0" fillId="0" borderId="0" xfId="0" applyAlignment="1">
      <alignment horizontal="right"/>
    </xf>
    <xf numFmtId="0" fontId="0" fillId="0" borderId="6" xfId="0" applyBorder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5" fontId="1" fillId="0" borderId="0" xfId="1" applyNumberFormat="1" applyFont="1" applyFill="1"/>
    <xf numFmtId="165" fontId="4" fillId="0" borderId="0" xfId="1" applyNumberFormat="1" applyFont="1" applyFill="1"/>
    <xf numFmtId="0" fontId="0" fillId="0" borderId="0" xfId="0" applyAlignment="1">
      <alignment horizontal="right"/>
    </xf>
    <xf numFmtId="0" fontId="0" fillId="0" borderId="6" xfId="0" applyBorder="1" applyAlignment="1">
      <alignment horizontal="righ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Cash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'Cash Flow'!$B$2:$G$2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'Cash Flow'!$B$24:$G$24</c:f>
              <c:numCache>
                <c:formatCode>_(* #,##0_);_(* \(#,##0\);_(* "-"??_);_(@_)</c:formatCode>
                <c:ptCount val="6"/>
                <c:pt idx="0">
                  <c:v>0</c:v>
                </c:pt>
                <c:pt idx="1">
                  <c:v>-6702.6612903225814</c:v>
                </c:pt>
                <c:pt idx="2">
                  <c:v>2338.0684931506858</c:v>
                </c:pt>
                <c:pt idx="3">
                  <c:v>61611.767123287667</c:v>
                </c:pt>
                <c:pt idx="4">
                  <c:v>191860.53424657532</c:v>
                </c:pt>
                <c:pt idx="5">
                  <c:v>661338.89041095891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92-40C2-85B2-E952D7189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97640976"/>
        <c:axId val="-664725632"/>
      </c:lineChart>
      <c:catAx>
        <c:axId val="-69764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4725632"/>
        <c:crosses val="autoZero"/>
        <c:auto val="1"/>
        <c:lblAlgn val="ctr"/>
        <c:lblOffset val="100"/>
        <c:noMultiLvlLbl val="0"/>
      </c:catAx>
      <c:valAx>
        <c:axId val="-66472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764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Breakeven!$D$113</c:f>
              <c:strCache>
                <c:ptCount val="1"/>
                <c:pt idx="0">
                  <c:v>Income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Breakeven!$C$114:$C$134</c:f>
              <c:numCache>
                <c:formatCode>General</c:formatCode>
                <c:ptCount val="2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numCache>
            </c:numRef>
          </c:xVal>
          <c:yVal>
            <c:numRef>
              <c:f>Breakeven!$D$114:$D$134</c:f>
              <c:numCache>
                <c:formatCode>General</c:formatCode>
                <c:ptCount val="21"/>
                <c:pt idx="0">
                  <c:v>0</c:v>
                </c:pt>
                <c:pt idx="1">
                  <c:v>2130</c:v>
                </c:pt>
                <c:pt idx="2">
                  <c:v>4260</c:v>
                </c:pt>
                <c:pt idx="3">
                  <c:v>6390</c:v>
                </c:pt>
                <c:pt idx="4">
                  <c:v>8520</c:v>
                </c:pt>
                <c:pt idx="5">
                  <c:v>10650</c:v>
                </c:pt>
                <c:pt idx="6">
                  <c:v>12780</c:v>
                </c:pt>
                <c:pt idx="7">
                  <c:v>14910</c:v>
                </c:pt>
                <c:pt idx="8">
                  <c:v>17040</c:v>
                </c:pt>
                <c:pt idx="9">
                  <c:v>19170</c:v>
                </c:pt>
                <c:pt idx="10">
                  <c:v>21300</c:v>
                </c:pt>
                <c:pt idx="11">
                  <c:v>23430</c:v>
                </c:pt>
                <c:pt idx="12">
                  <c:v>25560</c:v>
                </c:pt>
                <c:pt idx="13">
                  <c:v>27690</c:v>
                </c:pt>
                <c:pt idx="14">
                  <c:v>29820</c:v>
                </c:pt>
                <c:pt idx="15">
                  <c:v>31950</c:v>
                </c:pt>
                <c:pt idx="16">
                  <c:v>34080</c:v>
                </c:pt>
                <c:pt idx="17">
                  <c:v>36210</c:v>
                </c:pt>
                <c:pt idx="18">
                  <c:v>38340</c:v>
                </c:pt>
                <c:pt idx="19">
                  <c:v>40470</c:v>
                </c:pt>
                <c:pt idx="20">
                  <c:v>42600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81-460A-A04A-929B37E4428F}"/>
            </c:ext>
          </c:extLst>
        </c:ser>
        <c:ser>
          <c:idx val="1"/>
          <c:order val="1"/>
          <c:tx>
            <c:strRef>
              <c:f>Breakeven!$E$113</c:f>
              <c:strCache>
                <c:ptCount val="1"/>
                <c:pt idx="0">
                  <c:v>Costs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Breakeven!$C$114:$C$134</c:f>
              <c:numCache>
                <c:formatCode>General</c:formatCode>
                <c:ptCount val="2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numCache>
            </c:numRef>
          </c:xVal>
          <c:yVal>
            <c:numRef>
              <c:f>Breakeven!$E$114:$E$134</c:f>
              <c:numCache>
                <c:formatCode>General</c:formatCode>
                <c:ptCount val="21"/>
                <c:pt idx="0">
                  <c:v>7400</c:v>
                </c:pt>
                <c:pt idx="1">
                  <c:v>9030</c:v>
                </c:pt>
                <c:pt idx="2">
                  <c:v>10660</c:v>
                </c:pt>
                <c:pt idx="3">
                  <c:v>12290</c:v>
                </c:pt>
                <c:pt idx="4">
                  <c:v>13920</c:v>
                </c:pt>
                <c:pt idx="5">
                  <c:v>15550</c:v>
                </c:pt>
                <c:pt idx="6">
                  <c:v>17180</c:v>
                </c:pt>
                <c:pt idx="7">
                  <c:v>18810</c:v>
                </c:pt>
                <c:pt idx="8">
                  <c:v>20440</c:v>
                </c:pt>
                <c:pt idx="9">
                  <c:v>22070</c:v>
                </c:pt>
                <c:pt idx="10">
                  <c:v>23700</c:v>
                </c:pt>
                <c:pt idx="11">
                  <c:v>25330</c:v>
                </c:pt>
                <c:pt idx="12">
                  <c:v>26960</c:v>
                </c:pt>
                <c:pt idx="13">
                  <c:v>28590</c:v>
                </c:pt>
                <c:pt idx="14">
                  <c:v>30220</c:v>
                </c:pt>
                <c:pt idx="15">
                  <c:v>31850</c:v>
                </c:pt>
                <c:pt idx="16">
                  <c:v>33480</c:v>
                </c:pt>
                <c:pt idx="17">
                  <c:v>35110</c:v>
                </c:pt>
                <c:pt idx="18">
                  <c:v>36740</c:v>
                </c:pt>
                <c:pt idx="19">
                  <c:v>38370</c:v>
                </c:pt>
                <c:pt idx="20">
                  <c:v>40000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81-460A-A04A-929B37E44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429560"/>
        <c:axId val="685431528"/>
      </c:scatterChart>
      <c:valAx>
        <c:axId val="685429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units Produced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31528"/>
        <c:crosses val="autoZero"/>
        <c:crossBetween val="midCat"/>
      </c:valAx>
      <c:valAx>
        <c:axId val="68543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Costs &amp; Revenue $</a:t>
                </a:r>
                <a:endParaRPr lang="en-US" sz="500">
                  <a:effectLst/>
                </a:endParaRPr>
              </a:p>
            </c:rich>
          </c:tx>
          <c:layout>
            <c:manualLayout>
              <c:xMode val="edge"/>
              <c:yMode val="edge"/>
              <c:x val="3.0555555555555555E-2"/>
              <c:y val="0.3849923447069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29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Breakeven!$H$113</c:f>
              <c:strCache>
                <c:ptCount val="1"/>
                <c:pt idx="0">
                  <c:v>Income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Breakeven!$G$114:$G$134</c:f>
              <c:numCache>
                <c:formatCode>General</c:formatCode>
                <c:ptCount val="21"/>
                <c:pt idx="0">
                  <c:v>0</c:v>
                </c:pt>
                <c:pt idx="1">
                  <c:v>8000</c:v>
                </c:pt>
                <c:pt idx="2">
                  <c:v>16000</c:v>
                </c:pt>
                <c:pt idx="3">
                  <c:v>24000</c:v>
                </c:pt>
                <c:pt idx="4">
                  <c:v>32000</c:v>
                </c:pt>
                <c:pt idx="5">
                  <c:v>40000</c:v>
                </c:pt>
                <c:pt idx="6">
                  <c:v>48000</c:v>
                </c:pt>
                <c:pt idx="7">
                  <c:v>56000</c:v>
                </c:pt>
                <c:pt idx="8">
                  <c:v>64000</c:v>
                </c:pt>
                <c:pt idx="9">
                  <c:v>72000</c:v>
                </c:pt>
                <c:pt idx="10">
                  <c:v>80000</c:v>
                </c:pt>
                <c:pt idx="11">
                  <c:v>88000</c:v>
                </c:pt>
                <c:pt idx="12">
                  <c:v>96000</c:v>
                </c:pt>
                <c:pt idx="13">
                  <c:v>104000</c:v>
                </c:pt>
                <c:pt idx="14">
                  <c:v>112000</c:v>
                </c:pt>
                <c:pt idx="15">
                  <c:v>120000</c:v>
                </c:pt>
                <c:pt idx="16">
                  <c:v>128000</c:v>
                </c:pt>
                <c:pt idx="17">
                  <c:v>136000</c:v>
                </c:pt>
                <c:pt idx="18">
                  <c:v>144000</c:v>
                </c:pt>
                <c:pt idx="19">
                  <c:v>152000</c:v>
                </c:pt>
                <c:pt idx="20">
                  <c:v>160000</c:v>
                </c:pt>
              </c:numCache>
            </c:numRef>
          </c:xVal>
          <c:yVal>
            <c:numRef>
              <c:f>Breakeven!$H$114:$H$134</c:f>
              <c:numCache>
                <c:formatCode>General</c:formatCode>
                <c:ptCount val="21"/>
                <c:pt idx="0">
                  <c:v>0</c:v>
                </c:pt>
                <c:pt idx="1">
                  <c:v>19920</c:v>
                </c:pt>
                <c:pt idx="2">
                  <c:v>39840</c:v>
                </c:pt>
                <c:pt idx="3">
                  <c:v>59760.000000000007</c:v>
                </c:pt>
                <c:pt idx="4">
                  <c:v>79680</c:v>
                </c:pt>
                <c:pt idx="5">
                  <c:v>99600.000000000015</c:v>
                </c:pt>
                <c:pt idx="6">
                  <c:v>119520.00000000001</c:v>
                </c:pt>
                <c:pt idx="7">
                  <c:v>139440</c:v>
                </c:pt>
                <c:pt idx="8">
                  <c:v>159360</c:v>
                </c:pt>
                <c:pt idx="9">
                  <c:v>179280.00000000003</c:v>
                </c:pt>
                <c:pt idx="10">
                  <c:v>199200.00000000003</c:v>
                </c:pt>
                <c:pt idx="11">
                  <c:v>219120.00000000003</c:v>
                </c:pt>
                <c:pt idx="12">
                  <c:v>239040.00000000003</c:v>
                </c:pt>
                <c:pt idx="13">
                  <c:v>258960.00000000003</c:v>
                </c:pt>
                <c:pt idx="14">
                  <c:v>278880</c:v>
                </c:pt>
                <c:pt idx="15">
                  <c:v>298800</c:v>
                </c:pt>
                <c:pt idx="16">
                  <c:v>318720</c:v>
                </c:pt>
                <c:pt idx="17">
                  <c:v>338640</c:v>
                </c:pt>
                <c:pt idx="18">
                  <c:v>358560.00000000006</c:v>
                </c:pt>
                <c:pt idx="19">
                  <c:v>378480.00000000006</c:v>
                </c:pt>
                <c:pt idx="20">
                  <c:v>398400.00000000006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46-40CF-8DEB-5628A014AB54}"/>
            </c:ext>
          </c:extLst>
        </c:ser>
        <c:ser>
          <c:idx val="1"/>
          <c:order val="1"/>
          <c:tx>
            <c:strRef>
              <c:f>Breakeven!$I$113</c:f>
              <c:strCache>
                <c:ptCount val="1"/>
                <c:pt idx="0">
                  <c:v>Costs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Breakeven!$G$114:$G$134</c:f>
              <c:numCache>
                <c:formatCode>General</c:formatCode>
                <c:ptCount val="21"/>
                <c:pt idx="0">
                  <c:v>0</c:v>
                </c:pt>
                <c:pt idx="1">
                  <c:v>8000</c:v>
                </c:pt>
                <c:pt idx="2">
                  <c:v>16000</c:v>
                </c:pt>
                <c:pt idx="3">
                  <c:v>24000</c:v>
                </c:pt>
                <c:pt idx="4">
                  <c:v>32000</c:v>
                </c:pt>
                <c:pt idx="5">
                  <c:v>40000</c:v>
                </c:pt>
                <c:pt idx="6">
                  <c:v>48000</c:v>
                </c:pt>
                <c:pt idx="7">
                  <c:v>56000</c:v>
                </c:pt>
                <c:pt idx="8">
                  <c:v>64000</c:v>
                </c:pt>
                <c:pt idx="9">
                  <c:v>72000</c:v>
                </c:pt>
                <c:pt idx="10">
                  <c:v>80000</c:v>
                </c:pt>
                <c:pt idx="11">
                  <c:v>88000</c:v>
                </c:pt>
                <c:pt idx="12">
                  <c:v>96000</c:v>
                </c:pt>
                <c:pt idx="13">
                  <c:v>104000</c:v>
                </c:pt>
                <c:pt idx="14">
                  <c:v>112000</c:v>
                </c:pt>
                <c:pt idx="15">
                  <c:v>120000</c:v>
                </c:pt>
                <c:pt idx="16">
                  <c:v>128000</c:v>
                </c:pt>
                <c:pt idx="17">
                  <c:v>136000</c:v>
                </c:pt>
                <c:pt idx="18">
                  <c:v>144000</c:v>
                </c:pt>
                <c:pt idx="19">
                  <c:v>152000</c:v>
                </c:pt>
                <c:pt idx="20">
                  <c:v>160000</c:v>
                </c:pt>
              </c:numCache>
            </c:numRef>
          </c:xVal>
          <c:yVal>
            <c:numRef>
              <c:f>Breakeven!$I$114:$I$134</c:f>
              <c:numCache>
                <c:formatCode>General</c:formatCode>
                <c:ptCount val="21"/>
                <c:pt idx="0">
                  <c:v>150000</c:v>
                </c:pt>
                <c:pt idx="1">
                  <c:v>152800</c:v>
                </c:pt>
                <c:pt idx="2">
                  <c:v>155600</c:v>
                </c:pt>
                <c:pt idx="3">
                  <c:v>158400</c:v>
                </c:pt>
                <c:pt idx="4">
                  <c:v>161200</c:v>
                </c:pt>
                <c:pt idx="5">
                  <c:v>164000</c:v>
                </c:pt>
                <c:pt idx="6">
                  <c:v>166800</c:v>
                </c:pt>
                <c:pt idx="7">
                  <c:v>169600</c:v>
                </c:pt>
                <c:pt idx="8">
                  <c:v>172400</c:v>
                </c:pt>
                <c:pt idx="9">
                  <c:v>175200</c:v>
                </c:pt>
                <c:pt idx="10">
                  <c:v>178000</c:v>
                </c:pt>
                <c:pt idx="11">
                  <c:v>180800</c:v>
                </c:pt>
                <c:pt idx="12">
                  <c:v>183600</c:v>
                </c:pt>
                <c:pt idx="13">
                  <c:v>186400</c:v>
                </c:pt>
                <c:pt idx="14">
                  <c:v>189200</c:v>
                </c:pt>
                <c:pt idx="15">
                  <c:v>192000</c:v>
                </c:pt>
                <c:pt idx="16">
                  <c:v>194800</c:v>
                </c:pt>
                <c:pt idx="17">
                  <c:v>197600</c:v>
                </c:pt>
                <c:pt idx="18">
                  <c:v>200400</c:v>
                </c:pt>
                <c:pt idx="19">
                  <c:v>203200</c:v>
                </c:pt>
                <c:pt idx="20">
                  <c:v>206000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46-40CF-8DEB-5628A014A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503712"/>
        <c:axId val="685510272"/>
      </c:scatterChart>
      <c:valAx>
        <c:axId val="68550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Number of units Produced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510272"/>
        <c:crosses val="autoZero"/>
        <c:crossBetween val="midCat"/>
      </c:valAx>
      <c:valAx>
        <c:axId val="68551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Costs &amp; Revenue $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0555555555555555E-2"/>
              <c:y val="0.273881233595800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50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Option</a:t>
            </a:r>
            <a:r>
              <a:rPr lang="en-US" baseline="0"/>
              <a:t> 1 &amp;2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Breakeven!$D$138</c:f>
              <c:strCache>
                <c:ptCount val="1"/>
                <c:pt idx="0">
                  <c:v>Option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Breakeven!$C$139:$C$159</c:f>
              <c:numCache>
                <c:formatCode>General</c:formatCode>
                <c:ptCount val="21"/>
                <c:pt idx="0">
                  <c:v>0</c:v>
                </c:pt>
                <c:pt idx="1">
                  <c:v>8000</c:v>
                </c:pt>
                <c:pt idx="2">
                  <c:v>16000</c:v>
                </c:pt>
                <c:pt idx="3">
                  <c:v>24000</c:v>
                </c:pt>
                <c:pt idx="4">
                  <c:v>32000</c:v>
                </c:pt>
                <c:pt idx="5">
                  <c:v>40000</c:v>
                </c:pt>
                <c:pt idx="6">
                  <c:v>48000</c:v>
                </c:pt>
                <c:pt idx="7">
                  <c:v>56000</c:v>
                </c:pt>
                <c:pt idx="8">
                  <c:v>64000</c:v>
                </c:pt>
                <c:pt idx="9">
                  <c:v>72000</c:v>
                </c:pt>
                <c:pt idx="10">
                  <c:v>80000</c:v>
                </c:pt>
                <c:pt idx="11">
                  <c:v>88000</c:v>
                </c:pt>
                <c:pt idx="12">
                  <c:v>96000</c:v>
                </c:pt>
                <c:pt idx="13">
                  <c:v>104000</c:v>
                </c:pt>
                <c:pt idx="14">
                  <c:v>112000</c:v>
                </c:pt>
                <c:pt idx="15">
                  <c:v>120000</c:v>
                </c:pt>
                <c:pt idx="16">
                  <c:v>128000</c:v>
                </c:pt>
                <c:pt idx="17">
                  <c:v>136000</c:v>
                </c:pt>
                <c:pt idx="18">
                  <c:v>144000</c:v>
                </c:pt>
                <c:pt idx="19">
                  <c:v>152000</c:v>
                </c:pt>
                <c:pt idx="20">
                  <c:v>160000</c:v>
                </c:pt>
              </c:numCache>
            </c:numRef>
          </c:xVal>
          <c:yVal>
            <c:numRef>
              <c:f>Breakeven!$D$139:$D$159</c:f>
              <c:numCache>
                <c:formatCode>General</c:formatCode>
                <c:ptCount val="21"/>
                <c:pt idx="0">
                  <c:v>-7400</c:v>
                </c:pt>
                <c:pt idx="1">
                  <c:v>-5800</c:v>
                </c:pt>
                <c:pt idx="2">
                  <c:v>-4200</c:v>
                </c:pt>
                <c:pt idx="3">
                  <c:v>-2600</c:v>
                </c:pt>
                <c:pt idx="4">
                  <c:v>-1000</c:v>
                </c:pt>
                <c:pt idx="5">
                  <c:v>600</c:v>
                </c:pt>
                <c:pt idx="6">
                  <c:v>2200</c:v>
                </c:pt>
                <c:pt idx="7">
                  <c:v>3800</c:v>
                </c:pt>
                <c:pt idx="8">
                  <c:v>5400</c:v>
                </c:pt>
                <c:pt idx="9">
                  <c:v>7000</c:v>
                </c:pt>
                <c:pt idx="10">
                  <c:v>8600</c:v>
                </c:pt>
                <c:pt idx="11">
                  <c:v>10200</c:v>
                </c:pt>
                <c:pt idx="12">
                  <c:v>11800</c:v>
                </c:pt>
                <c:pt idx="13">
                  <c:v>13400</c:v>
                </c:pt>
                <c:pt idx="14">
                  <c:v>15000</c:v>
                </c:pt>
                <c:pt idx="15">
                  <c:v>16600</c:v>
                </c:pt>
                <c:pt idx="16">
                  <c:v>18200</c:v>
                </c:pt>
                <c:pt idx="17">
                  <c:v>19800</c:v>
                </c:pt>
                <c:pt idx="18">
                  <c:v>21400</c:v>
                </c:pt>
                <c:pt idx="19">
                  <c:v>23000</c:v>
                </c:pt>
                <c:pt idx="20">
                  <c:v>24600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FC-4332-B38F-1D8EF9BF7EC9}"/>
            </c:ext>
          </c:extLst>
        </c:ser>
        <c:ser>
          <c:idx val="1"/>
          <c:order val="1"/>
          <c:tx>
            <c:strRef>
              <c:f>Breakeven!$E$138</c:f>
              <c:strCache>
                <c:ptCount val="1"/>
                <c:pt idx="0">
                  <c:v>Option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Breakeven!$C$139:$C$159</c:f>
              <c:numCache>
                <c:formatCode>General</c:formatCode>
                <c:ptCount val="21"/>
                <c:pt idx="0">
                  <c:v>0</c:v>
                </c:pt>
                <c:pt idx="1">
                  <c:v>8000</c:v>
                </c:pt>
                <c:pt idx="2">
                  <c:v>16000</c:v>
                </c:pt>
                <c:pt idx="3">
                  <c:v>24000</c:v>
                </c:pt>
                <c:pt idx="4">
                  <c:v>32000</c:v>
                </c:pt>
                <c:pt idx="5">
                  <c:v>40000</c:v>
                </c:pt>
                <c:pt idx="6">
                  <c:v>48000</c:v>
                </c:pt>
                <c:pt idx="7">
                  <c:v>56000</c:v>
                </c:pt>
                <c:pt idx="8">
                  <c:v>64000</c:v>
                </c:pt>
                <c:pt idx="9">
                  <c:v>72000</c:v>
                </c:pt>
                <c:pt idx="10">
                  <c:v>80000</c:v>
                </c:pt>
                <c:pt idx="11">
                  <c:v>88000</c:v>
                </c:pt>
                <c:pt idx="12">
                  <c:v>96000</c:v>
                </c:pt>
                <c:pt idx="13">
                  <c:v>104000</c:v>
                </c:pt>
                <c:pt idx="14">
                  <c:v>112000</c:v>
                </c:pt>
                <c:pt idx="15">
                  <c:v>120000</c:v>
                </c:pt>
                <c:pt idx="16">
                  <c:v>128000</c:v>
                </c:pt>
                <c:pt idx="17">
                  <c:v>136000</c:v>
                </c:pt>
                <c:pt idx="18">
                  <c:v>144000</c:v>
                </c:pt>
                <c:pt idx="19">
                  <c:v>152000</c:v>
                </c:pt>
                <c:pt idx="20">
                  <c:v>160000</c:v>
                </c:pt>
              </c:numCache>
            </c:numRef>
          </c:xVal>
          <c:yVal>
            <c:numRef>
              <c:f>Breakeven!$E$139:$E$159</c:f>
              <c:numCache>
                <c:formatCode>General</c:formatCode>
                <c:ptCount val="21"/>
                <c:pt idx="0">
                  <c:v>-150000</c:v>
                </c:pt>
                <c:pt idx="1">
                  <c:v>-132880</c:v>
                </c:pt>
                <c:pt idx="2">
                  <c:v>-115760</c:v>
                </c:pt>
                <c:pt idx="3">
                  <c:v>-98640</c:v>
                </c:pt>
                <c:pt idx="4">
                  <c:v>-81520</c:v>
                </c:pt>
                <c:pt idx="5">
                  <c:v>-64400</c:v>
                </c:pt>
                <c:pt idx="6">
                  <c:v>-47280</c:v>
                </c:pt>
                <c:pt idx="7">
                  <c:v>-30160</c:v>
                </c:pt>
                <c:pt idx="8">
                  <c:v>-13040</c:v>
                </c:pt>
                <c:pt idx="9">
                  <c:v>4080</c:v>
                </c:pt>
                <c:pt idx="10">
                  <c:v>21200</c:v>
                </c:pt>
                <c:pt idx="11">
                  <c:v>38320</c:v>
                </c:pt>
                <c:pt idx="12">
                  <c:v>55440</c:v>
                </c:pt>
                <c:pt idx="13">
                  <c:v>72560</c:v>
                </c:pt>
                <c:pt idx="14">
                  <c:v>89680</c:v>
                </c:pt>
                <c:pt idx="15">
                  <c:v>106800.00000000003</c:v>
                </c:pt>
                <c:pt idx="16">
                  <c:v>123920</c:v>
                </c:pt>
                <c:pt idx="17">
                  <c:v>141040</c:v>
                </c:pt>
                <c:pt idx="18">
                  <c:v>158160</c:v>
                </c:pt>
                <c:pt idx="19">
                  <c:v>175280</c:v>
                </c:pt>
                <c:pt idx="20">
                  <c:v>192400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FC-4332-B38F-1D8EF9BF7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16152"/>
        <c:axId val="666216480"/>
      </c:scatterChart>
      <c:valAx>
        <c:axId val="666216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Number of units Produced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16480"/>
        <c:crosses val="autoZero"/>
        <c:crossBetween val="midCat"/>
      </c:valAx>
      <c:valAx>
        <c:axId val="6662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Profit, $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16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11</xdr:row>
      <xdr:rowOff>6350</xdr:rowOff>
    </xdr:from>
    <xdr:to>
      <xdr:col>13</xdr:col>
      <xdr:colOff>584200</xdr:colOff>
      <xdr:row>26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</xdr:row>
      <xdr:rowOff>152400</xdr:rowOff>
    </xdr:from>
    <xdr:to>
      <xdr:col>7</xdr:col>
      <xdr:colOff>247650</xdr:colOff>
      <xdr:row>21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190500" y="476250"/>
          <a:ext cx="4324350" cy="3048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For manufacture a ball I have two</a:t>
          </a:r>
          <a:r>
            <a:rPr lang="en-US" sz="1100" baseline="0"/>
            <a:t> options:</a:t>
          </a:r>
        </a:p>
        <a:p>
          <a:r>
            <a:rPr lang="en-US" sz="1100" baseline="0"/>
            <a:t>Option 1- Manuafacture using 3D printing and drilling</a:t>
          </a:r>
        </a:p>
        <a:p>
          <a:r>
            <a:rPr lang="en-US" sz="1100" baseline="0"/>
            <a:t>	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Variable cost of $1.63 per unit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Fixed costs of $7,400 for equipment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Selling price of $2.13</a:t>
          </a:r>
        </a:p>
        <a:p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>
            <a:effectLst/>
          </a:endParaRPr>
        </a:p>
        <a:p>
          <a:endParaRPr lang="en-US" sz="1100" baseline="0"/>
        </a:p>
        <a:p>
          <a:r>
            <a:rPr lang="en-US" sz="1100" baseline="0"/>
            <a:t>Option 2- Manufacture using rotomolding</a:t>
          </a:r>
        </a:p>
        <a:p>
          <a:r>
            <a:rPr lang="en-US" sz="1100" baseline="0"/>
            <a:t>	Variable cost of $0.35 per unit</a:t>
          </a:r>
        </a:p>
        <a:p>
          <a:r>
            <a:rPr lang="en-US" sz="1100" baseline="0"/>
            <a:t>	Fixed costs of $150,000 for creating mold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Selling price of $2.49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7</xdr:col>
      <xdr:colOff>590550</xdr:colOff>
      <xdr:row>3</xdr:row>
      <xdr:rowOff>9525</xdr:rowOff>
    </xdr:from>
    <xdr:to>
      <xdr:col>15</xdr:col>
      <xdr:colOff>285750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23</xdr:row>
      <xdr:rowOff>9525</xdr:rowOff>
    </xdr:from>
    <xdr:to>
      <xdr:col>15</xdr:col>
      <xdr:colOff>276225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161925</xdr:colOff>
      <xdr:row>23</xdr:row>
      <xdr:rowOff>19050</xdr:rowOff>
    </xdr:from>
    <xdr:to>
      <xdr:col>7</xdr:col>
      <xdr:colOff>466725</xdr:colOff>
      <xdr:row>40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45"/>
  <sheetViews>
    <sheetView tabSelected="1" workbookViewId="0">
      <selection activeCell="G5" sqref="G5"/>
    </sheetView>
  </sheetViews>
  <sheetFormatPr defaultColWidth="8.85546875" defaultRowHeight="12.75"/>
  <cols>
    <col min="1" max="1" width="3.7109375" customWidth="1"/>
    <col min="2" max="2" width="24.140625" customWidth="1"/>
    <col min="3" max="3" width="12.85546875" customWidth="1"/>
    <col min="4" max="6" width="12.85546875" style="6" customWidth="1"/>
    <col min="7" max="7" width="12.85546875" customWidth="1"/>
    <col min="8" max="9" width="11.28515625" customWidth="1"/>
    <col min="10" max="10" width="12.42578125" customWidth="1"/>
    <col min="11" max="11" width="11.42578125" customWidth="1"/>
    <col min="12" max="12" width="10.7109375" customWidth="1"/>
  </cols>
  <sheetData>
    <row r="1" spans="2:12" ht="13.15">
      <c r="B1" s="24" t="s">
        <v>0</v>
      </c>
      <c r="D1" s="96"/>
      <c r="E1" s="96"/>
      <c r="F1" s="96"/>
    </row>
    <row r="2" spans="2:12">
      <c r="B2" s="39" t="s">
        <v>1</v>
      </c>
      <c r="C2" s="23" t="s">
        <v>2</v>
      </c>
      <c r="D2" t="s">
        <v>3</v>
      </c>
      <c r="E2" t="s">
        <v>4</v>
      </c>
      <c r="F2" t="s">
        <v>5</v>
      </c>
      <c r="G2" t="s">
        <v>6</v>
      </c>
      <c r="J2" t="s">
        <v>7</v>
      </c>
      <c r="K2" t="s">
        <v>8</v>
      </c>
      <c r="L2" t="s">
        <v>9</v>
      </c>
    </row>
    <row r="3" spans="2:12">
      <c r="B3" t="s">
        <v>10</v>
      </c>
      <c r="C3" s="9">
        <v>500</v>
      </c>
      <c r="D3" s="9">
        <v>3000</v>
      </c>
      <c r="E3" s="9">
        <v>10000</v>
      </c>
      <c r="F3" s="9">
        <v>20000</v>
      </c>
      <c r="G3" s="9">
        <v>40000</v>
      </c>
      <c r="J3" s="86">
        <v>8.8000000000000007</v>
      </c>
      <c r="K3" s="86">
        <v>4.3499999999999996</v>
      </c>
      <c r="L3" s="86">
        <v>3.99</v>
      </c>
    </row>
    <row r="4" spans="2:12">
      <c r="B4" t="s">
        <v>11</v>
      </c>
      <c r="C4" s="81">
        <v>20</v>
      </c>
      <c r="D4" s="81">
        <v>20</v>
      </c>
      <c r="E4" s="81">
        <v>25</v>
      </c>
      <c r="F4" s="81">
        <v>25</v>
      </c>
      <c r="G4" s="81">
        <v>30</v>
      </c>
    </row>
    <row r="5" spans="2:12">
      <c r="B5" t="s">
        <v>1</v>
      </c>
      <c r="C5" s="82">
        <f>C4*C3</f>
        <v>10000</v>
      </c>
      <c r="D5" s="82">
        <f>D4*D3</f>
        <v>60000</v>
      </c>
      <c r="E5" s="82">
        <f>E4*E3</f>
        <v>250000</v>
      </c>
      <c r="F5" s="82">
        <f>F4*F3</f>
        <v>500000</v>
      </c>
      <c r="G5" s="82">
        <f>G4*G3</f>
        <v>1200000</v>
      </c>
      <c r="H5" s="3"/>
      <c r="I5" s="3"/>
      <c r="J5" s="3"/>
      <c r="K5" s="1"/>
    </row>
    <row r="6" spans="2:12">
      <c r="B6" t="s">
        <v>12</v>
      </c>
      <c r="C6" s="44"/>
      <c r="D6" s="45">
        <f>D3/C3-1</f>
        <v>5</v>
      </c>
      <c r="E6" s="45">
        <f>E3/D3-1</f>
        <v>2.3333333333333335</v>
      </c>
      <c r="F6" s="45">
        <f>F3/E3-1</f>
        <v>1</v>
      </c>
      <c r="G6" s="45">
        <f>G3/F3-1</f>
        <v>1</v>
      </c>
      <c r="H6" s="3"/>
      <c r="I6" s="3"/>
      <c r="J6" s="3"/>
      <c r="K6" s="1"/>
    </row>
    <row r="7" spans="2:12">
      <c r="D7" s="96"/>
      <c r="E7" s="96"/>
      <c r="F7" s="96"/>
      <c r="G7" s="43"/>
      <c r="H7" s="3"/>
      <c r="I7" s="3"/>
      <c r="J7" s="3"/>
      <c r="K7" s="3"/>
      <c r="L7" s="1"/>
    </row>
    <row r="8" spans="2:12">
      <c r="B8" s="39" t="s">
        <v>13</v>
      </c>
      <c r="D8" s="17"/>
      <c r="E8" s="17"/>
      <c r="F8" s="17"/>
    </row>
    <row r="9" spans="2:12">
      <c r="B9" t="s">
        <v>14</v>
      </c>
      <c r="C9" s="4">
        <f>$L$3/C4</f>
        <v>0.19950000000000001</v>
      </c>
      <c r="D9" s="4">
        <f t="shared" ref="D9:G9" si="0">$L$3/D4</f>
        <v>0.19950000000000001</v>
      </c>
      <c r="E9" s="4">
        <f t="shared" si="0"/>
        <v>0.15960000000000002</v>
      </c>
      <c r="F9" s="4">
        <f t="shared" si="0"/>
        <v>0.15960000000000002</v>
      </c>
      <c r="G9" s="4">
        <f t="shared" si="0"/>
        <v>0.13300000000000001</v>
      </c>
    </row>
    <row r="10" spans="2:12">
      <c r="B10" t="s">
        <v>15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</row>
    <row r="11" spans="2:12">
      <c r="B11" t="s">
        <v>16</v>
      </c>
      <c r="C11" s="4">
        <v>0.05</v>
      </c>
      <c r="D11" s="4">
        <v>0.05</v>
      </c>
      <c r="E11" s="4">
        <v>0.05</v>
      </c>
      <c r="F11" s="4">
        <v>0.05</v>
      </c>
      <c r="G11" s="4">
        <v>0.05</v>
      </c>
    </row>
    <row r="12" spans="2:12">
      <c r="B12" s="25" t="s">
        <v>17</v>
      </c>
      <c r="C12" s="26">
        <f>SUM(C9:C11)</f>
        <v>0.2495</v>
      </c>
      <c r="D12" s="26">
        <f>SUM(D9:D11)</f>
        <v>0.2495</v>
      </c>
      <c r="E12" s="26">
        <f>SUM(E9:E11)</f>
        <v>0.20960000000000001</v>
      </c>
      <c r="F12" s="26">
        <f>SUM(F9:F11)</f>
        <v>0.20960000000000001</v>
      </c>
      <c r="G12" s="26">
        <f>SUM(G9:G11)</f>
        <v>0.183</v>
      </c>
      <c r="H12" s="46"/>
      <c r="I12" s="46"/>
      <c r="J12" s="46"/>
      <c r="K12" s="46"/>
    </row>
    <row r="13" spans="2:12">
      <c r="B13" s="39" t="s">
        <v>18</v>
      </c>
      <c r="C13" s="3"/>
      <c r="D13" s="17"/>
      <c r="E13" s="96"/>
      <c r="F13" s="96"/>
      <c r="G13" s="2"/>
      <c r="H13" s="46"/>
      <c r="I13" s="46"/>
      <c r="J13" s="46"/>
      <c r="K13" s="46"/>
    </row>
    <row r="14" spans="2:12">
      <c r="B14" t="s">
        <v>19</v>
      </c>
      <c r="C14" s="87">
        <v>0</v>
      </c>
      <c r="D14" s="87">
        <v>0</v>
      </c>
      <c r="E14" s="87">
        <v>30000</v>
      </c>
      <c r="F14" s="88">
        <v>30000</v>
      </c>
      <c r="G14" s="88">
        <v>45000</v>
      </c>
    </row>
    <row r="15" spans="2:12">
      <c r="B15" t="s">
        <v>20</v>
      </c>
      <c r="C15" s="87">
        <v>5000</v>
      </c>
      <c r="D15" s="87">
        <v>5000</v>
      </c>
      <c r="E15" s="87">
        <v>5000</v>
      </c>
      <c r="F15" s="87">
        <v>10000</v>
      </c>
      <c r="G15" s="87">
        <v>10000</v>
      </c>
    </row>
    <row r="16" spans="2:12">
      <c r="B16" t="s">
        <v>21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t="s">
        <v>22</v>
      </c>
    </row>
    <row r="17" spans="2:12">
      <c r="B17" t="s">
        <v>23</v>
      </c>
      <c r="C17" s="87">
        <v>8000</v>
      </c>
      <c r="D17" s="88">
        <v>10000</v>
      </c>
      <c r="E17" s="87">
        <v>20000</v>
      </c>
      <c r="F17" s="88">
        <v>30000</v>
      </c>
      <c r="G17" s="88">
        <v>30000</v>
      </c>
    </row>
    <row r="18" spans="2:12">
      <c r="B18" t="s">
        <v>24</v>
      </c>
      <c r="C18" s="87">
        <v>5000</v>
      </c>
      <c r="D18" s="87">
        <v>8000</v>
      </c>
      <c r="E18" s="87">
        <v>15000</v>
      </c>
      <c r="F18" s="87">
        <v>35000</v>
      </c>
      <c r="G18" s="87">
        <v>15000</v>
      </c>
    </row>
    <row r="19" spans="2:12" ht="25.5">
      <c r="B19" s="14" t="s">
        <v>25</v>
      </c>
      <c r="C19" s="90">
        <f>C14+C15+C16+C17+C18</f>
        <v>18000</v>
      </c>
      <c r="D19" s="89">
        <f t="shared" ref="C19:G19" si="1">D14+D15+D16+D17+D18</f>
        <v>23000</v>
      </c>
      <c r="E19" s="89">
        <f t="shared" si="1"/>
        <v>70000</v>
      </c>
      <c r="F19" s="89">
        <f t="shared" si="1"/>
        <v>105000</v>
      </c>
      <c r="G19" s="89">
        <f t="shared" si="1"/>
        <v>100000</v>
      </c>
    </row>
    <row r="20" spans="2:12" ht="13.15">
      <c r="B20" s="48"/>
      <c r="C20" s="49"/>
      <c r="D20" s="49"/>
      <c r="E20" s="49"/>
      <c r="F20" s="49"/>
      <c r="G20" s="49"/>
    </row>
    <row r="21" spans="2:12">
      <c r="B21" s="27"/>
      <c r="D21" s="96"/>
      <c r="E21" s="96"/>
      <c r="F21" s="96"/>
      <c r="G21" s="91" t="s">
        <v>2</v>
      </c>
      <c r="H21" s="92" t="s">
        <v>3</v>
      </c>
      <c r="I21" s="92" t="s">
        <v>4</v>
      </c>
      <c r="J21" s="92" t="s">
        <v>5</v>
      </c>
      <c r="K21" s="92" t="s">
        <v>6</v>
      </c>
    </row>
    <row r="22" spans="2:12" ht="17.25" customHeight="1">
      <c r="B22" t="s">
        <v>26</v>
      </c>
      <c r="C22" s="4">
        <v>0.4</v>
      </c>
      <c r="D22" s="96"/>
      <c r="E22" s="96"/>
      <c r="F22" s="13" t="s">
        <v>27</v>
      </c>
      <c r="G22" s="87"/>
      <c r="H22" s="87">
        <v>0</v>
      </c>
      <c r="I22" s="87">
        <v>0</v>
      </c>
      <c r="J22" s="87">
        <v>20000</v>
      </c>
      <c r="K22" s="87">
        <v>0</v>
      </c>
      <c r="L22" t="s">
        <v>28</v>
      </c>
    </row>
    <row r="23" spans="2:12">
      <c r="D23" s="96"/>
      <c r="E23" s="105" t="s">
        <v>29</v>
      </c>
      <c r="F23" s="106"/>
      <c r="G23" s="93">
        <v>1</v>
      </c>
      <c r="H23" s="88">
        <v>1</v>
      </c>
      <c r="I23" s="88">
        <v>1</v>
      </c>
      <c r="J23" s="87">
        <v>10</v>
      </c>
      <c r="K23" s="87">
        <v>10</v>
      </c>
      <c r="L23" t="s">
        <v>30</v>
      </c>
    </row>
    <row r="24" spans="2:12">
      <c r="D24" s="96"/>
      <c r="E24" s="105" t="s">
        <v>31</v>
      </c>
      <c r="F24" s="105"/>
      <c r="G24" s="53">
        <f>C31/E31+G22/G23</f>
        <v>5000</v>
      </c>
      <c r="H24" s="54">
        <f>G24+H22/H23</f>
        <v>5000</v>
      </c>
      <c r="I24" s="54">
        <f>H24+I22/I23</f>
        <v>5000</v>
      </c>
      <c r="J24" s="54">
        <f>I24+J22/J23</f>
        <v>7000</v>
      </c>
      <c r="K24" s="54">
        <f>J24+K22/K23</f>
        <v>7000</v>
      </c>
    </row>
    <row r="25" spans="2:12">
      <c r="C25" s="5"/>
      <c r="D25" s="96"/>
      <c r="E25" s="96"/>
      <c r="F25" s="96"/>
    </row>
    <row r="26" spans="2:12" ht="13.15">
      <c r="B26" s="38" t="s">
        <v>32</v>
      </c>
      <c r="C26" s="30"/>
      <c r="D26" s="31"/>
      <c r="E26" s="32"/>
      <c r="F26" s="35"/>
    </row>
    <row r="27" spans="2:12">
      <c r="B27" s="33" t="s">
        <v>33</v>
      </c>
      <c r="C27" s="23"/>
      <c r="D27" s="98"/>
      <c r="E27" s="99"/>
      <c r="F27" s="98"/>
      <c r="G27" t="s">
        <v>34</v>
      </c>
      <c r="J27" s="52">
        <v>12</v>
      </c>
    </row>
    <row r="28" spans="2:12">
      <c r="B28" s="34" t="s">
        <v>35</v>
      </c>
      <c r="C28" s="94">
        <v>20000</v>
      </c>
      <c r="D28" s="35"/>
      <c r="E28" s="97"/>
      <c r="F28" s="35"/>
    </row>
    <row r="29" spans="2:12" ht="13.15">
      <c r="B29" s="34" t="s">
        <v>36</v>
      </c>
      <c r="C29" s="95">
        <v>5000</v>
      </c>
      <c r="D29" s="35"/>
      <c r="E29" s="97" t="s">
        <v>37</v>
      </c>
      <c r="F29" s="35"/>
      <c r="G29" s="24" t="s">
        <v>38</v>
      </c>
    </row>
    <row r="30" spans="2:12">
      <c r="B30" s="34" t="s">
        <v>39</v>
      </c>
      <c r="C30" s="94"/>
      <c r="D30" s="67"/>
      <c r="E30" s="36" t="s">
        <v>40</v>
      </c>
      <c r="F30" s="29"/>
      <c r="G30" s="7" t="s">
        <v>41</v>
      </c>
    </row>
    <row r="31" spans="2:12">
      <c r="B31" s="34" t="s">
        <v>42</v>
      </c>
      <c r="C31" s="95">
        <v>10000</v>
      </c>
      <c r="D31" s="68"/>
      <c r="E31" s="47">
        <v>2</v>
      </c>
      <c r="F31" s="13"/>
      <c r="G31" t="s">
        <v>43</v>
      </c>
      <c r="I31" s="41">
        <v>15</v>
      </c>
    </row>
    <row r="32" spans="2:12">
      <c r="B32" s="34" t="s">
        <v>44</v>
      </c>
      <c r="C32" s="94"/>
      <c r="D32" s="67"/>
      <c r="E32" s="36"/>
      <c r="F32" s="29"/>
      <c r="G32" t="s">
        <v>45</v>
      </c>
      <c r="I32" s="41">
        <v>180</v>
      </c>
    </row>
    <row r="33" spans="2:12">
      <c r="B33" s="34" t="s">
        <v>46</v>
      </c>
      <c r="C33" s="95">
        <v>5000</v>
      </c>
      <c r="D33" s="67"/>
      <c r="E33" s="36"/>
      <c r="F33" s="29"/>
      <c r="G33" t="s">
        <v>47</v>
      </c>
      <c r="I33" s="41">
        <v>30</v>
      </c>
    </row>
    <row r="34" spans="2:12">
      <c r="D34" s="96"/>
      <c r="E34" s="96"/>
      <c r="F34" s="35"/>
      <c r="G34" t="s">
        <v>48</v>
      </c>
      <c r="I34" s="41">
        <v>0</v>
      </c>
    </row>
    <row r="35" spans="2:12" ht="13.15" thickBot="1">
      <c r="B35" s="77" t="s">
        <v>49</v>
      </c>
      <c r="C35" s="23"/>
      <c r="D35" s="68"/>
      <c r="E35" s="97"/>
      <c r="F35" s="100"/>
    </row>
    <row r="36" spans="2:12">
      <c r="B36" s="69" t="s">
        <v>50</v>
      </c>
      <c r="C36" s="70"/>
      <c r="D36" s="101" t="s">
        <v>51</v>
      </c>
      <c r="E36" s="102" t="s">
        <v>52</v>
      </c>
      <c r="F36" s="37"/>
      <c r="G36" s="7" t="s">
        <v>53</v>
      </c>
      <c r="H36" s="18" t="s">
        <v>2</v>
      </c>
      <c r="I36" s="18" t="s">
        <v>3</v>
      </c>
      <c r="J36" s="18" t="s">
        <v>4</v>
      </c>
      <c r="K36" s="18" t="s">
        <v>5</v>
      </c>
      <c r="L36" s="18" t="s">
        <v>6</v>
      </c>
    </row>
    <row r="37" spans="2:12">
      <c r="B37" s="71" t="s">
        <v>54</v>
      </c>
      <c r="C37" s="84">
        <v>0</v>
      </c>
      <c r="D37" s="40"/>
      <c r="E37" s="72">
        <v>5</v>
      </c>
      <c r="F37" s="37"/>
      <c r="G37" t="s">
        <v>55</v>
      </c>
      <c r="H37" s="9"/>
      <c r="I37" s="9"/>
      <c r="J37" s="9"/>
      <c r="K37" s="9"/>
      <c r="L37" s="9"/>
    </row>
    <row r="38" spans="2:12">
      <c r="B38" s="71" t="s">
        <v>56</v>
      </c>
      <c r="C38" s="84">
        <v>0</v>
      </c>
      <c r="D38" s="40">
        <v>7.0000000000000007E-2</v>
      </c>
      <c r="E38" s="72">
        <v>5</v>
      </c>
      <c r="F38" s="37"/>
      <c r="G38" t="s">
        <v>57</v>
      </c>
      <c r="H38" s="9"/>
      <c r="I38" s="9"/>
      <c r="J38" s="9"/>
      <c r="K38" s="9"/>
      <c r="L38" s="9"/>
    </row>
    <row r="39" spans="2:12">
      <c r="B39" s="71" t="s">
        <v>58</v>
      </c>
      <c r="C39" s="84"/>
      <c r="D39" s="40"/>
      <c r="E39" s="72">
        <v>5</v>
      </c>
      <c r="F39" s="35"/>
      <c r="G39" t="s">
        <v>59</v>
      </c>
      <c r="H39" s="9"/>
      <c r="I39" s="9"/>
      <c r="J39" s="9"/>
      <c r="K39" s="9"/>
      <c r="L39" s="9"/>
    </row>
    <row r="40" spans="2:12">
      <c r="B40" s="71" t="s">
        <v>60</v>
      </c>
      <c r="C40" s="84"/>
      <c r="D40" s="35"/>
      <c r="E40" s="73">
        <v>0</v>
      </c>
      <c r="F40" s="35"/>
      <c r="H40" s="1"/>
      <c r="I40" s="1"/>
      <c r="J40" s="1"/>
      <c r="K40" s="1"/>
      <c r="L40" s="1"/>
    </row>
    <row r="41" spans="2:12" ht="13.15" thickBot="1">
      <c r="B41" s="74" t="s">
        <v>61</v>
      </c>
      <c r="C41" s="85">
        <f>SUM(C28:C33)</f>
        <v>40000</v>
      </c>
      <c r="D41" s="75"/>
      <c r="E41" s="76"/>
      <c r="F41" s="35"/>
      <c r="G41" s="7" t="s">
        <v>62</v>
      </c>
    </row>
    <row r="42" spans="2:12">
      <c r="D42" s="96"/>
      <c r="E42" s="96"/>
      <c r="F42" s="96"/>
      <c r="H42" s="18" t="s">
        <v>2</v>
      </c>
      <c r="I42" s="18" t="s">
        <v>3</v>
      </c>
      <c r="J42" s="18" t="s">
        <v>4</v>
      </c>
      <c r="K42" s="18" t="s">
        <v>5</v>
      </c>
      <c r="L42" s="18" t="s">
        <v>6</v>
      </c>
    </row>
    <row r="43" spans="2:12">
      <c r="D43" s="96"/>
      <c r="E43" s="96"/>
      <c r="F43" s="96"/>
      <c r="G43" t="s">
        <v>55</v>
      </c>
      <c r="H43" s="51">
        <f>-C37/E37</f>
        <v>0</v>
      </c>
      <c r="I43" s="51">
        <f t="shared" ref="I43:L45" si="2">H43+H37/$E37</f>
        <v>0</v>
      </c>
      <c r="J43" s="51">
        <f t="shared" si="2"/>
        <v>0</v>
      </c>
      <c r="K43" s="51">
        <f t="shared" si="2"/>
        <v>0</v>
      </c>
      <c r="L43" s="51">
        <f t="shared" si="2"/>
        <v>0</v>
      </c>
    </row>
    <row r="44" spans="2:12">
      <c r="D44" s="96"/>
      <c r="E44" s="96"/>
      <c r="F44" s="96"/>
      <c r="G44" t="s">
        <v>57</v>
      </c>
      <c r="H44" s="51">
        <f>-C38/E38</f>
        <v>0</v>
      </c>
      <c r="I44" s="51">
        <f t="shared" si="2"/>
        <v>0</v>
      </c>
      <c r="J44" s="51">
        <f t="shared" si="2"/>
        <v>0</v>
      </c>
      <c r="K44" s="51">
        <f t="shared" si="2"/>
        <v>0</v>
      </c>
      <c r="L44" s="51">
        <f t="shared" si="2"/>
        <v>0</v>
      </c>
    </row>
    <row r="45" spans="2:12">
      <c r="D45" s="96"/>
      <c r="E45" s="96"/>
      <c r="F45" s="96"/>
      <c r="G45" t="s">
        <v>59</v>
      </c>
      <c r="H45" s="51">
        <f>-C39/E39</f>
        <v>0</v>
      </c>
      <c r="I45" s="51">
        <f t="shared" si="2"/>
        <v>0</v>
      </c>
      <c r="J45" s="51">
        <f t="shared" si="2"/>
        <v>0</v>
      </c>
      <c r="K45" s="51">
        <f t="shared" si="2"/>
        <v>0</v>
      </c>
      <c r="L45" s="51">
        <f t="shared" si="2"/>
        <v>0</v>
      </c>
    </row>
  </sheetData>
  <mergeCells count="2">
    <mergeCell ref="E23:F23"/>
    <mergeCell ref="E24:F2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27"/>
  <sheetViews>
    <sheetView workbookViewId="0">
      <selection activeCell="C23" sqref="C23"/>
    </sheetView>
  </sheetViews>
  <sheetFormatPr defaultColWidth="8.85546875" defaultRowHeight="12.75"/>
  <cols>
    <col min="1" max="1" width="24.28515625" customWidth="1"/>
    <col min="2" max="2" width="11.28515625" bestFit="1" customWidth="1"/>
    <col min="3" max="4" width="11.85546875" bestFit="1" customWidth="1"/>
    <col min="5" max="5" width="13" customWidth="1"/>
    <col min="6" max="6" width="13.42578125" customWidth="1"/>
    <col min="7" max="7" width="11.42578125" customWidth="1"/>
  </cols>
  <sheetData>
    <row r="1" spans="1:8" ht="13.15">
      <c r="B1" s="24" t="s">
        <v>63</v>
      </c>
    </row>
    <row r="2" spans="1:8">
      <c r="B2" s="7">
        <v>0</v>
      </c>
      <c r="C2" s="18">
        <v>1</v>
      </c>
      <c r="D2" s="18">
        <v>2</v>
      </c>
      <c r="E2" s="18">
        <v>3</v>
      </c>
      <c r="F2" s="18">
        <v>4</v>
      </c>
      <c r="G2" s="18">
        <v>5</v>
      </c>
    </row>
    <row r="3" spans="1:8" ht="15">
      <c r="A3" s="19" t="s">
        <v>64</v>
      </c>
    </row>
    <row r="4" spans="1:8">
      <c r="A4" t="s">
        <v>65</v>
      </c>
      <c r="C4" s="15">
        <f>'Income Statement'!B17</f>
        <v>-15495</v>
      </c>
      <c r="D4" s="15">
        <f>'Income Statement'!C17</f>
        <v>10218</v>
      </c>
      <c r="E4" s="15">
        <f>'Income Statement'!D17</f>
        <v>73560</v>
      </c>
      <c r="F4" s="15">
        <f>'Income Statement'!E17</f>
        <v>169920</v>
      </c>
      <c r="G4" s="15">
        <f>'Income Statement'!F17</f>
        <v>524040</v>
      </c>
      <c r="H4" s="15">
        <f>'Income Statement'!H17</f>
        <v>0</v>
      </c>
    </row>
    <row r="5" spans="1:8">
      <c r="A5" t="s">
        <v>37</v>
      </c>
      <c r="B5" s="15"/>
      <c r="C5" s="8">
        <f>'Income Statement'!B12</f>
        <v>5000</v>
      </c>
      <c r="D5" s="8">
        <f>'Income Statement'!C12</f>
        <v>5000</v>
      </c>
      <c r="E5" s="8">
        <f>'Income Statement'!D12</f>
        <v>5000</v>
      </c>
      <c r="F5" s="8">
        <f>'Income Statement'!E12</f>
        <v>7000</v>
      </c>
      <c r="G5" s="8">
        <f>'Income Statement'!F12</f>
        <v>7000</v>
      </c>
    </row>
    <row r="6" spans="1:8">
      <c r="A6" t="s">
        <v>66</v>
      </c>
      <c r="C6" s="15">
        <f>'Balance Sheet'!B4-'Balance Sheet'!C4</f>
        <v>-403.22580645161293</v>
      </c>
      <c r="D6" s="15">
        <f>'Balance Sheet'!C4-'Balance Sheet'!D4</f>
        <v>-2062.5276182059215</v>
      </c>
      <c r="E6" s="15">
        <f>'Balance Sheet'!D4-'Balance Sheet'!E4</f>
        <v>-7808.2191780821922</v>
      </c>
      <c r="F6" s="15">
        <f>'Balance Sheet'!E4-'Balance Sheet'!F4</f>
        <v>-10273.972602739726</v>
      </c>
      <c r="G6" s="15">
        <f>'Balance Sheet'!F4-'Balance Sheet'!G4</f>
        <v>-28767.123287671231</v>
      </c>
    </row>
    <row r="7" spans="1:8">
      <c r="A7" t="s">
        <v>67</v>
      </c>
      <c r="C7" s="15">
        <f>'Balance Sheet'!B5-'Balance Sheet'!C5</f>
        <v>4034.6774193548385</v>
      </c>
      <c r="D7" s="15">
        <f>'Balance Sheet'!C5-'Balance Sheet'!D5</f>
        <v>-4937.6911179849758</v>
      </c>
      <c r="E7" s="15">
        <f>'Balance Sheet'!D5-'Balance Sheet'!E5</f>
        <v>-13773.698630136991</v>
      </c>
      <c r="F7" s="15">
        <f>'Balance Sheet'!E5-'Balance Sheet'!F5</f>
        <v>-19676.712328767127</v>
      </c>
      <c r="G7" s="15">
        <f>'Balance Sheet'!F5-'Balance Sheet'!G5</f>
        <v>-39353.42465753424</v>
      </c>
    </row>
    <row r="8" spans="1:8">
      <c r="A8" t="s">
        <v>68</v>
      </c>
      <c r="C8" s="15">
        <f>'Balance Sheet'!B6-'Balance Sheet'!C6</f>
        <v>0</v>
      </c>
      <c r="D8" s="15">
        <f>'Balance Sheet'!C6-'Balance Sheet'!D6</f>
        <v>0</v>
      </c>
      <c r="E8" s="15">
        <f>'Balance Sheet'!D6-'Balance Sheet'!E6</f>
        <v>0</v>
      </c>
      <c r="F8" s="15">
        <f>'Balance Sheet'!E6-'Balance Sheet'!F6</f>
        <v>0</v>
      </c>
      <c r="G8" s="15">
        <f>'Balance Sheet'!F6-'Balance Sheet'!G6</f>
        <v>0</v>
      </c>
    </row>
    <row r="9" spans="1:8">
      <c r="A9" t="s">
        <v>69</v>
      </c>
      <c r="C9" s="15">
        <f>'Balance Sheet'!B7-'Balance Sheet'!C7</f>
        <v>0</v>
      </c>
      <c r="D9" s="15">
        <f>'Balance Sheet'!C7-'Balance Sheet'!D7</f>
        <v>0</v>
      </c>
      <c r="E9" s="15">
        <f>'Balance Sheet'!D7-'Balance Sheet'!E7</f>
        <v>0</v>
      </c>
      <c r="F9" s="15">
        <f>'Balance Sheet'!E7-'Balance Sheet'!F7</f>
        <v>0</v>
      </c>
      <c r="G9" s="15">
        <f>'Balance Sheet'!F7-'Balance Sheet'!G7</f>
        <v>0</v>
      </c>
    </row>
    <row r="10" spans="1:8">
      <c r="A10" t="s">
        <v>70</v>
      </c>
      <c r="C10" s="15">
        <f>'Balance Sheet'!B9-'Balance Sheet'!C9</f>
        <v>0</v>
      </c>
      <c r="D10" s="15">
        <f>'Balance Sheet'!C9-'Balance Sheet'!D9</f>
        <v>0</v>
      </c>
      <c r="E10" s="15">
        <f>'Balance Sheet'!D9-'Balance Sheet'!E9</f>
        <v>0</v>
      </c>
      <c r="F10" s="15">
        <f>'Balance Sheet'!E9-'Balance Sheet'!F9</f>
        <v>0</v>
      </c>
      <c r="G10" s="15">
        <f>'Balance Sheet'!F9-'Balance Sheet'!G9</f>
        <v>0</v>
      </c>
    </row>
    <row r="11" spans="1:8">
      <c r="A11" t="s">
        <v>71</v>
      </c>
      <c r="C11" s="15">
        <f>'Balance Sheet'!C15-'Balance Sheet'!B15</f>
        <v>160.88709677419354</v>
      </c>
      <c r="D11" s="15">
        <f>'Balance Sheet'!D15-'Balance Sheet'!C15</f>
        <v>822.94851966416263</v>
      </c>
      <c r="E11" s="15">
        <f>'Balance Sheet'!E15-'Balance Sheet'!D15</f>
        <v>2295.616438356165</v>
      </c>
      <c r="F11" s="15">
        <f>'Balance Sheet'!F15-'Balance Sheet'!E15</f>
        <v>3279.4520547945212</v>
      </c>
      <c r="G11" s="15">
        <f>'Balance Sheet'!G15-'Balance Sheet'!F15</f>
        <v>6558.9041095890389</v>
      </c>
    </row>
    <row r="12" spans="1:8" ht="15">
      <c r="A12" t="s">
        <v>72</v>
      </c>
      <c r="C12" s="20">
        <f>'Balance Sheet'!C16-'Balance Sheet'!B16</f>
        <v>0</v>
      </c>
      <c r="D12" s="20">
        <f>'Balance Sheet'!D16-'Balance Sheet'!C16</f>
        <v>0</v>
      </c>
      <c r="E12" s="20">
        <f>'Balance Sheet'!E16-'Balance Sheet'!D16</f>
        <v>0</v>
      </c>
      <c r="F12" s="20">
        <f>'Balance Sheet'!F16-'Balance Sheet'!E16</f>
        <v>0</v>
      </c>
      <c r="G12" s="20">
        <f>'Balance Sheet'!G16-'Balance Sheet'!F16</f>
        <v>0</v>
      </c>
    </row>
    <row r="13" spans="1:8" s="79" customFormat="1" ht="18" customHeight="1">
      <c r="A13" s="63" t="s">
        <v>73</v>
      </c>
      <c r="B13" s="63"/>
      <c r="C13" s="64">
        <f>SUM(C4:C12)</f>
        <v>-6702.6612903225814</v>
      </c>
      <c r="D13" s="64">
        <f>SUM(D4:D12)</f>
        <v>9040.7297834732672</v>
      </c>
      <c r="E13" s="64">
        <f>SUM(E4:E12)</f>
        <v>59273.698630136983</v>
      </c>
      <c r="F13" s="64">
        <f>SUM(F4:F12)</f>
        <v>150248.76712328766</v>
      </c>
      <c r="G13" s="64">
        <f>SUM(G4:G12)</f>
        <v>469478.35616438359</v>
      </c>
    </row>
    <row r="14" spans="1:8" s="79" customFormat="1" ht="18" customHeight="1">
      <c r="C14" s="80"/>
      <c r="D14" s="80"/>
      <c r="E14" s="80"/>
      <c r="F14" s="80"/>
      <c r="G14" s="80"/>
    </row>
    <row r="15" spans="1:8" ht="17.25" customHeight="1">
      <c r="A15" t="s">
        <v>27</v>
      </c>
      <c r="C15" s="8">
        <f>Assumptions!G22</f>
        <v>0</v>
      </c>
      <c r="D15" s="8">
        <f>Assumptions!H22</f>
        <v>0</v>
      </c>
      <c r="E15" s="8">
        <f>Assumptions!I22</f>
        <v>0</v>
      </c>
      <c r="F15" s="8">
        <f>Assumptions!J22</f>
        <v>20000</v>
      </c>
      <c r="G15" s="8">
        <f>Assumptions!K22</f>
        <v>0</v>
      </c>
    </row>
    <row r="16" spans="1:8" ht="16.5" customHeight="1">
      <c r="A16" t="s">
        <v>74</v>
      </c>
      <c r="C16" s="15">
        <f>C13-C15</f>
        <v>-6702.6612903225814</v>
      </c>
      <c r="D16" s="15">
        <f>D13-D15</f>
        <v>9040.7297834732672</v>
      </c>
      <c r="E16" s="15">
        <f>E13-E15</f>
        <v>59273.698630136983</v>
      </c>
      <c r="F16" s="15">
        <f>F13-F15</f>
        <v>130248.76712328766</v>
      </c>
      <c r="G16" s="15">
        <f>G13-G15</f>
        <v>469478.35616438359</v>
      </c>
    </row>
    <row r="17" spans="1:7">
      <c r="A17" t="s">
        <v>75</v>
      </c>
      <c r="C17" s="15">
        <f>'Balance Sheet'!C18-'Balance Sheet'!B18</f>
        <v>0</v>
      </c>
      <c r="D17" s="15">
        <f>'Balance Sheet'!D18-'Balance Sheet'!C18</f>
        <v>0</v>
      </c>
      <c r="E17" s="15">
        <f>'Balance Sheet'!E18-'Balance Sheet'!D18</f>
        <v>0</v>
      </c>
      <c r="F17" s="15">
        <f>'Balance Sheet'!F18-'Balance Sheet'!E18</f>
        <v>0</v>
      </c>
      <c r="G17" s="15">
        <f>'Balance Sheet'!G18-'Balance Sheet'!F18</f>
        <v>0</v>
      </c>
    </row>
    <row r="18" spans="1:7">
      <c r="A18" t="s">
        <v>76</v>
      </c>
      <c r="C18" s="15">
        <f>'Balance Sheet'!C19-'Balance Sheet'!B19</f>
        <v>0</v>
      </c>
      <c r="D18" s="15">
        <f>'Balance Sheet'!D19-'Balance Sheet'!C19</f>
        <v>0</v>
      </c>
      <c r="E18" s="15">
        <f>'Balance Sheet'!E19-'Balance Sheet'!D19</f>
        <v>0</v>
      </c>
      <c r="F18" s="15">
        <f>'Balance Sheet'!F19-'Balance Sheet'!E19</f>
        <v>0</v>
      </c>
      <c r="G18" s="15">
        <f>'Balance Sheet'!G19-'Balance Sheet'!F19</f>
        <v>0</v>
      </c>
    </row>
    <row r="19" spans="1:7">
      <c r="A19" t="s">
        <v>77</v>
      </c>
      <c r="C19" s="15">
        <f>'Balance Sheet'!C20-'Balance Sheet'!B20</f>
        <v>0</v>
      </c>
      <c r="D19" s="15">
        <f>'Balance Sheet'!D20-'Balance Sheet'!C20</f>
        <v>0</v>
      </c>
      <c r="E19" s="15">
        <f>'Balance Sheet'!E20-'Balance Sheet'!D20</f>
        <v>0</v>
      </c>
      <c r="F19" s="15">
        <f>'Balance Sheet'!F20-'Balance Sheet'!E20</f>
        <v>0</v>
      </c>
      <c r="G19" s="15">
        <f>'Balance Sheet'!G20-'Balance Sheet'!F20</f>
        <v>0</v>
      </c>
    </row>
    <row r="20" spans="1:7">
      <c r="A20" t="s">
        <v>78</v>
      </c>
      <c r="C20" s="15">
        <f>'Balance Sheet'!C22-'Balance Sheet'!B22</f>
        <v>0</v>
      </c>
      <c r="D20" s="15">
        <f>'Balance Sheet'!D22-'Balance Sheet'!C22</f>
        <v>0</v>
      </c>
      <c r="E20" s="15">
        <f>'Balance Sheet'!E22-'Balance Sheet'!D22</f>
        <v>0</v>
      </c>
      <c r="F20" s="15">
        <f>'Balance Sheet'!F22-'Balance Sheet'!E22</f>
        <v>0</v>
      </c>
      <c r="G20" s="15">
        <f>'Balance Sheet'!G22-'Balance Sheet'!F22</f>
        <v>0</v>
      </c>
    </row>
    <row r="21" spans="1:7">
      <c r="A21" t="s">
        <v>79</v>
      </c>
      <c r="C21" s="15">
        <f>'Balance Sheet'!C23-'Balance Sheet'!B23</f>
        <v>0</v>
      </c>
      <c r="D21" s="15">
        <f>'Balance Sheet'!D23-'Balance Sheet'!C23</f>
        <v>0</v>
      </c>
      <c r="E21" s="15">
        <f>'Balance Sheet'!E23-'Balance Sheet'!D23</f>
        <v>0</v>
      </c>
      <c r="F21" s="15">
        <f>'Balance Sheet'!F23-'Balance Sheet'!E23</f>
        <v>0</v>
      </c>
      <c r="G21" s="15">
        <f>'Balance Sheet'!G23-'Balance Sheet'!F23</f>
        <v>0</v>
      </c>
    </row>
    <row r="22" spans="1:7" s="55" customFormat="1">
      <c r="A22" s="55" t="s">
        <v>80</v>
      </c>
      <c r="C22" s="56">
        <f>C16+C17+C19+C18+C20+C21</f>
        <v>-6702.6612903225814</v>
      </c>
      <c r="D22" s="56">
        <f>D16+D17+D19+D18+D20+D21</f>
        <v>9040.7297834732672</v>
      </c>
      <c r="E22" s="56">
        <f>E16+E17+E19+E18+E20+E21</f>
        <v>59273.698630136983</v>
      </c>
      <c r="F22" s="56">
        <f>F16+F17+F19+F18+F20+F21</f>
        <v>130248.76712328766</v>
      </c>
      <c r="G22" s="56">
        <f>G16+G17+G19+G18+G20+G21</f>
        <v>469478.35616438359</v>
      </c>
    </row>
    <row r="23" spans="1:7" ht="13.15">
      <c r="A23" t="s">
        <v>81</v>
      </c>
      <c r="C23" s="62">
        <f>'Balance Sheet'!B3</f>
        <v>0</v>
      </c>
      <c r="D23" s="15">
        <f>C24</f>
        <v>-6702.6612903225814</v>
      </c>
      <c r="E23" s="15">
        <f>D24</f>
        <v>2338.0684931506858</v>
      </c>
      <c r="F23" s="15">
        <f>E24</f>
        <v>61611.767123287667</v>
      </c>
      <c r="G23" s="15">
        <f>F24</f>
        <v>191860.53424657532</v>
      </c>
    </row>
    <row r="24" spans="1:7" s="55" customFormat="1" ht="13.15">
      <c r="A24" s="78" t="s">
        <v>82</v>
      </c>
      <c r="B24" s="64">
        <f>C23</f>
        <v>0</v>
      </c>
      <c r="C24" s="64">
        <f>C23+C22</f>
        <v>-6702.6612903225814</v>
      </c>
      <c r="D24" s="64">
        <f>D23+D22</f>
        <v>2338.0684931506858</v>
      </c>
      <c r="E24" s="64">
        <f>E23+E22</f>
        <v>61611.767123287667</v>
      </c>
      <c r="F24" s="64">
        <f>F23+F22</f>
        <v>191860.53424657532</v>
      </c>
      <c r="G24" s="64">
        <f>G23+G22</f>
        <v>661338.89041095891</v>
      </c>
    </row>
    <row r="27" spans="1:7">
      <c r="A27" t="s">
        <v>83</v>
      </c>
      <c r="B27" s="8">
        <f>'Balance Sheet'!B25-'Balance Sheet'!B13</f>
        <v>0</v>
      </c>
      <c r="C27" s="8">
        <f>'Balance Sheet'!C25-'Balance Sheet'!C13</f>
        <v>0</v>
      </c>
      <c r="D27" s="8">
        <f>'Balance Sheet'!D25-'Balance Sheet'!D13</f>
        <v>0</v>
      </c>
      <c r="E27" s="8">
        <f>'Balance Sheet'!E25-'Balance Sheet'!E13</f>
        <v>0</v>
      </c>
      <c r="F27" s="8">
        <f>'Balance Sheet'!F25-'Balance Sheet'!F13</f>
        <v>0</v>
      </c>
      <c r="G27" s="8">
        <f>'Balance Sheet'!G25-'Balance Sheet'!G13</f>
        <v>0</v>
      </c>
    </row>
  </sheetData>
  <phoneticPr fontId="0" type="noConversion"/>
  <pageMargins left="0.5" right="0.49" top="1" bottom="1" header="0.5" footer="0.5"/>
  <pageSetup scale="94" orientation="portrait" horizontalDpi="300" verticalDpi="300" r:id="rId1"/>
  <headerFooter alignWithMargins="0">
    <oddHeader>&amp;CGreen Glass Five-Year Forecast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6"/>
  <sheetViews>
    <sheetView workbookViewId="0">
      <selection activeCell="F39" sqref="F39"/>
    </sheetView>
  </sheetViews>
  <sheetFormatPr defaultColWidth="11.42578125" defaultRowHeight="12.75"/>
  <sheetData>
    <row r="1" spans="1:7" ht="15">
      <c r="A1" s="19" t="s">
        <v>84</v>
      </c>
      <c r="B1" t="s">
        <v>85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86</v>
      </c>
      <c r="B2" s="8">
        <f>Assumptions!C28</f>
        <v>20000</v>
      </c>
      <c r="C2" s="15">
        <f>B2</f>
        <v>20000</v>
      </c>
      <c r="D2" s="15">
        <f>C2</f>
        <v>20000</v>
      </c>
      <c r="E2" s="15">
        <f>D2</f>
        <v>20000</v>
      </c>
      <c r="F2" s="15">
        <f>E2</f>
        <v>20000</v>
      </c>
      <c r="G2" s="15">
        <f>F2</f>
        <v>20000</v>
      </c>
    </row>
    <row r="3" spans="1:7" ht="13.15">
      <c r="A3" t="s">
        <v>87</v>
      </c>
      <c r="B3" s="28">
        <f>B25-(B12+B9+B7+B6+B5+B4+B2)</f>
        <v>0</v>
      </c>
      <c r="C3" s="28">
        <f>'Cash Flow'!C24</f>
        <v>-6702.6612903225814</v>
      </c>
      <c r="D3" s="28">
        <f>'Cash Flow'!D24</f>
        <v>2338.0684931506858</v>
      </c>
      <c r="E3" s="28">
        <f>'Cash Flow'!E24</f>
        <v>61611.767123287667</v>
      </c>
      <c r="F3" s="28">
        <f>'Cash Flow'!F24</f>
        <v>191860.53424657532</v>
      </c>
      <c r="G3" s="28">
        <f>'Cash Flow'!G24</f>
        <v>661338.89041095891</v>
      </c>
    </row>
    <row r="4" spans="1:7">
      <c r="A4" t="s">
        <v>88</v>
      </c>
      <c r="B4" s="8">
        <v>0</v>
      </c>
      <c r="C4" s="8">
        <f>'Income Statement'!B2*Assumptions!$I31/(31*Assumptions!J27)</f>
        <v>403.22580645161293</v>
      </c>
      <c r="D4" s="8">
        <f>'Income Statement'!C2*Assumptions!$I31/365</f>
        <v>2465.7534246575342</v>
      </c>
      <c r="E4" s="8">
        <f>'Income Statement'!D2*Assumptions!$I31/365</f>
        <v>10273.972602739726</v>
      </c>
      <c r="F4" s="8">
        <f>'Income Statement'!E2*Assumptions!$I31/365</f>
        <v>20547.945205479453</v>
      </c>
      <c r="G4" s="8">
        <f>'Income Statement'!F2*Assumptions!$I31/365</f>
        <v>49315.068493150684</v>
      </c>
    </row>
    <row r="5" spans="1:7">
      <c r="A5" t="s">
        <v>89</v>
      </c>
      <c r="B5" s="8">
        <f>Assumptions!C29</f>
        <v>5000</v>
      </c>
      <c r="C5" s="8">
        <f>'Income Statement'!B3*Assumptions!$I$32/(31*Assumptions!J27)</f>
        <v>965.32258064516134</v>
      </c>
      <c r="D5" s="8">
        <f>'Income Statement'!C3*Assumptions!$I$32/365</f>
        <v>5903.0136986301368</v>
      </c>
      <c r="E5" s="8">
        <f>'Income Statement'!D3*Assumptions!$I$32/365</f>
        <v>19676.712328767127</v>
      </c>
      <c r="F5" s="8">
        <f>'Income Statement'!E3*Assumptions!$I$32/365</f>
        <v>39353.424657534255</v>
      </c>
      <c r="G5" s="8">
        <f>'Income Statement'!F3*Assumptions!$I$32/365</f>
        <v>78706.849315068495</v>
      </c>
    </row>
    <row r="6" spans="1:7">
      <c r="A6" t="s">
        <v>46</v>
      </c>
      <c r="B6" s="8">
        <f>Assumptions!C33</f>
        <v>5000</v>
      </c>
      <c r="C6" s="8">
        <f>B6*(1+Assumptions!$D$33)</f>
        <v>5000</v>
      </c>
      <c r="D6" s="8">
        <f>C6*(1+Assumptions!$D$33)</f>
        <v>5000</v>
      </c>
      <c r="E6" s="8">
        <f>D6*(1+Assumptions!$D$33)</f>
        <v>5000</v>
      </c>
      <c r="F6" s="8">
        <f>E6*(1+Assumptions!$D$33)</f>
        <v>5000</v>
      </c>
      <c r="G6" s="8">
        <f>F6*(1+Assumptions!$D$33)</f>
        <v>5000</v>
      </c>
    </row>
    <row r="7" spans="1:7" ht="15">
      <c r="A7" t="s">
        <v>90</v>
      </c>
      <c r="B7" s="12">
        <f>Assumptions!C30</f>
        <v>0</v>
      </c>
      <c r="C7" s="12">
        <f>B7*(1+Assumptions!$D$30)</f>
        <v>0</v>
      </c>
      <c r="D7" s="12">
        <f>C7*(1+Assumptions!$D$30)</f>
        <v>0</v>
      </c>
      <c r="E7" s="12">
        <f>D7*(1+Assumptions!$D$30)</f>
        <v>0</v>
      </c>
      <c r="F7" s="12">
        <f>E7*(1+Assumptions!$D$30)</f>
        <v>0</v>
      </c>
      <c r="G7" s="12">
        <f>F7*(1+Assumptions!$D$30)</f>
        <v>0</v>
      </c>
    </row>
    <row r="8" spans="1:7">
      <c r="A8" t="s">
        <v>91</v>
      </c>
      <c r="B8" s="8">
        <f>B2+B4+B5+B6+B7+B3</f>
        <v>30000</v>
      </c>
      <c r="C8" s="8">
        <f>C2+C3+C4+C5+C6+C7</f>
        <v>19665.887096774193</v>
      </c>
      <c r="D8" s="8">
        <f>D2+D3+D4+D5+D6+D7</f>
        <v>35706.835616438359</v>
      </c>
      <c r="E8" s="8">
        <f>E2+E3+E4+E5+E6+E7</f>
        <v>116562.45205479451</v>
      </c>
      <c r="F8" s="8">
        <f>F2+F3+F4+F5+F6+F7</f>
        <v>276761.90410958906</v>
      </c>
      <c r="G8" s="8">
        <f>G2+G3+G4+G5+G6+G7</f>
        <v>814360.808219178</v>
      </c>
    </row>
    <row r="9" spans="1:7">
      <c r="A9" t="s">
        <v>92</v>
      </c>
      <c r="B9" s="8">
        <f>Assumptions!C32</f>
        <v>0</v>
      </c>
      <c r="C9" s="8">
        <f>B9*(1+Assumptions!$D$32)</f>
        <v>0</v>
      </c>
      <c r="D9" s="8">
        <f>C9*(1+Assumptions!$D$32)</f>
        <v>0</v>
      </c>
      <c r="E9" s="8">
        <f>D9*(1+Assumptions!$D$32)</f>
        <v>0</v>
      </c>
      <c r="F9" s="8">
        <f>E9*(1+Assumptions!$D$32)</f>
        <v>0</v>
      </c>
      <c r="G9" s="8">
        <f>F9*(1+Assumptions!$D$32)</f>
        <v>0</v>
      </c>
    </row>
    <row r="10" spans="1:7">
      <c r="A10" t="s">
        <v>93</v>
      </c>
      <c r="B10" s="8">
        <f>Assumptions!C31</f>
        <v>10000</v>
      </c>
      <c r="C10" s="15">
        <f>B10+Assumptions!G22</f>
        <v>10000</v>
      </c>
      <c r="D10" s="15">
        <f>C10+Assumptions!H22</f>
        <v>10000</v>
      </c>
      <c r="E10" s="15">
        <f>D10+Assumptions!I22</f>
        <v>10000</v>
      </c>
      <c r="F10" s="15">
        <f>E10+Assumptions!J22</f>
        <v>30000</v>
      </c>
      <c r="G10" s="15">
        <f>F10+Assumptions!K22</f>
        <v>30000</v>
      </c>
    </row>
    <row r="11" spans="1:7">
      <c r="A11" t="s">
        <v>94</v>
      </c>
      <c r="B11" s="8">
        <v>0</v>
      </c>
      <c r="C11" s="8">
        <f>-'Income Statement'!B12</f>
        <v>-5000</v>
      </c>
      <c r="D11" s="8">
        <f>C11-'Income Statement'!C12</f>
        <v>-10000</v>
      </c>
      <c r="E11" s="8">
        <f>D11-'Income Statement'!D12</f>
        <v>-15000</v>
      </c>
      <c r="F11" s="8">
        <f>E11-'Income Statement'!E12</f>
        <v>-22000</v>
      </c>
      <c r="G11" s="8">
        <f>F11-'Income Statement'!F12</f>
        <v>-29000</v>
      </c>
    </row>
    <row r="12" spans="1:7" ht="15">
      <c r="A12" t="s">
        <v>95</v>
      </c>
      <c r="B12" s="12">
        <f t="shared" ref="B12:G12" si="0">B10+B11</f>
        <v>10000</v>
      </c>
      <c r="C12" s="20">
        <f t="shared" si="0"/>
        <v>5000</v>
      </c>
      <c r="D12" s="20">
        <f t="shared" si="0"/>
        <v>0</v>
      </c>
      <c r="E12" s="20">
        <f t="shared" si="0"/>
        <v>-5000</v>
      </c>
      <c r="F12" s="20">
        <f t="shared" si="0"/>
        <v>8000</v>
      </c>
      <c r="G12" s="20">
        <f t="shared" si="0"/>
        <v>1000</v>
      </c>
    </row>
    <row r="13" spans="1:7" ht="13.15" thickBot="1">
      <c r="A13" t="s">
        <v>96</v>
      </c>
      <c r="B13" s="21">
        <f t="shared" ref="B13:G13" si="1">B12+B8+B9</f>
        <v>40000</v>
      </c>
      <c r="C13" s="21">
        <f t="shared" si="1"/>
        <v>24665.887096774193</v>
      </c>
      <c r="D13" s="21">
        <f t="shared" si="1"/>
        <v>35706.835616438359</v>
      </c>
      <c r="E13" s="21">
        <f t="shared" si="1"/>
        <v>111562.45205479451</v>
      </c>
      <c r="F13" s="21">
        <f t="shared" si="1"/>
        <v>284761.90410958906</v>
      </c>
      <c r="G13" s="21">
        <f t="shared" si="1"/>
        <v>815360.808219178</v>
      </c>
    </row>
    <row r="14" spans="1:7" ht="13.15" thickTop="1">
      <c r="B14" s="8"/>
    </row>
    <row r="15" spans="1:7">
      <c r="A15" t="s">
        <v>97</v>
      </c>
      <c r="B15" s="8">
        <v>0</v>
      </c>
      <c r="C15" s="8">
        <f>'Income Statement'!B3*Assumptions!$I$33/(31*Assumptions!J27)</f>
        <v>160.88709677419354</v>
      </c>
      <c r="D15" s="8">
        <f>'Income Statement'!C3*Assumptions!$I$33/365</f>
        <v>983.83561643835617</v>
      </c>
      <c r="E15" s="8">
        <f>'Income Statement'!D3*Assumptions!$I$33/365</f>
        <v>3279.4520547945212</v>
      </c>
      <c r="F15" s="8">
        <f>'Income Statement'!E3*Assumptions!$I$33/365</f>
        <v>6558.9041095890425</v>
      </c>
      <c r="G15" s="8">
        <f>'Income Statement'!F3*Assumptions!$I$33/365</f>
        <v>13117.808219178081</v>
      </c>
    </row>
    <row r="16" spans="1:7" ht="51">
      <c r="A16" s="14" t="s">
        <v>98</v>
      </c>
      <c r="B16" s="8">
        <v>0</v>
      </c>
      <c r="C16" s="8">
        <f>('Income Statement'!B5+'Income Statement'!B6)*(Assumptions!$I34/365)</f>
        <v>0</v>
      </c>
      <c r="D16" s="8">
        <f>('Income Statement'!C5+'Income Statement'!C6)*(Assumptions!$I34/365)</f>
        <v>0</v>
      </c>
      <c r="E16" s="8">
        <f>('Income Statement'!D5+'Income Statement'!D6)*(Assumptions!$I34/365)</f>
        <v>0</v>
      </c>
      <c r="F16" s="8">
        <f>('Income Statement'!E5+'Income Statement'!E6)*(Assumptions!$I34/365)</f>
        <v>0</v>
      </c>
      <c r="G16" s="8">
        <f>('Income Statement'!F5+'Income Statement'!F6)*(Assumptions!$I34/365)</f>
        <v>0</v>
      </c>
    </row>
    <row r="17" spans="1:10">
      <c r="A17" t="s">
        <v>99</v>
      </c>
      <c r="B17" s="8">
        <f t="shared" ref="B17:G17" si="2">B15+B16</f>
        <v>0</v>
      </c>
      <c r="C17" s="8">
        <f t="shared" si="2"/>
        <v>160.88709677419354</v>
      </c>
      <c r="D17" s="8">
        <f t="shared" si="2"/>
        <v>983.83561643835617</v>
      </c>
      <c r="E17" s="8">
        <f t="shared" si="2"/>
        <v>3279.4520547945212</v>
      </c>
      <c r="F17" s="8">
        <f t="shared" si="2"/>
        <v>6558.9041095890425</v>
      </c>
      <c r="G17" s="8">
        <f t="shared" si="2"/>
        <v>13117.808219178081</v>
      </c>
    </row>
    <row r="18" spans="1:10">
      <c r="A18" t="s">
        <v>100</v>
      </c>
      <c r="B18" s="103">
        <f>Assumptions!C37</f>
        <v>0</v>
      </c>
      <c r="C18" s="103">
        <f>B18-Assumptions!H43+Assumptions!H37</f>
        <v>0</v>
      </c>
      <c r="D18" s="103">
        <f>C18-Assumptions!I43+Assumptions!I37</f>
        <v>0</v>
      </c>
      <c r="E18" s="103">
        <f>D18-Assumptions!J43+Assumptions!J37</f>
        <v>0</v>
      </c>
      <c r="F18" s="103">
        <f>E18-Assumptions!K43+Assumptions!K37</f>
        <v>0</v>
      </c>
      <c r="G18" s="103">
        <f>F18-Assumptions!L43+Assumptions!L37</f>
        <v>0</v>
      </c>
    </row>
    <row r="19" spans="1:10">
      <c r="A19" t="s">
        <v>101</v>
      </c>
      <c r="B19" s="103">
        <f>Assumptions!C38</f>
        <v>0</v>
      </c>
      <c r="C19" s="103">
        <f>B19-Assumptions!H44+Assumptions!H38</f>
        <v>0</v>
      </c>
      <c r="D19" s="103">
        <f>C19-Assumptions!I44+Assumptions!I38</f>
        <v>0</v>
      </c>
      <c r="E19" s="103">
        <f>D19-Assumptions!J44+Assumptions!J38</f>
        <v>0</v>
      </c>
      <c r="F19" s="103">
        <f>E19-Assumptions!K44+Assumptions!K38</f>
        <v>0</v>
      </c>
      <c r="G19" s="103">
        <f>F19-Assumptions!L44+Assumptions!L38</f>
        <v>0</v>
      </c>
    </row>
    <row r="20" spans="1:10" ht="15">
      <c r="A20" t="s">
        <v>102</v>
      </c>
      <c r="B20" s="104">
        <f>Assumptions!C39</f>
        <v>0</v>
      </c>
      <c r="C20" s="104">
        <f>B20-Assumptions!H45+Assumptions!H39</f>
        <v>0</v>
      </c>
      <c r="D20" s="104">
        <f>C20-Assumptions!I45+Assumptions!I39</f>
        <v>0</v>
      </c>
      <c r="E20" s="104">
        <f>D20-Assumptions!J45+Assumptions!J39</f>
        <v>0</v>
      </c>
      <c r="F20" s="104">
        <f>E20-Assumptions!K45+Assumptions!K39</f>
        <v>0</v>
      </c>
      <c r="G20" s="104">
        <f>F20-Assumptions!L45+Assumptions!L39</f>
        <v>0</v>
      </c>
    </row>
    <row r="21" spans="1:10">
      <c r="A21" t="s">
        <v>103</v>
      </c>
      <c r="B21" s="8">
        <f>B18+B17+B19+B20</f>
        <v>0</v>
      </c>
      <c r="C21" s="8">
        <f>SUM(C17:C20)</f>
        <v>160.88709677419354</v>
      </c>
      <c r="D21" s="8">
        <f>SUM(D17:D20)</f>
        <v>983.83561643835617</v>
      </c>
      <c r="E21" s="8">
        <f>SUM(E17:E20)</f>
        <v>3279.4520547945212</v>
      </c>
      <c r="F21" s="8">
        <f>SUM(F17:F20)</f>
        <v>6558.9041095890425</v>
      </c>
      <c r="G21" s="8">
        <f>SUM(G17:G20)</f>
        <v>13117.808219178081</v>
      </c>
    </row>
    <row r="22" spans="1:10">
      <c r="A22" t="s">
        <v>60</v>
      </c>
      <c r="B22" s="16">
        <f>Assumptions!C40</f>
        <v>0</v>
      </c>
      <c r="C22" s="15">
        <f t="shared" ref="C22:G23" si="3">B22</f>
        <v>0</v>
      </c>
      <c r="D22" s="15">
        <f t="shared" si="3"/>
        <v>0</v>
      </c>
      <c r="E22" s="15">
        <f t="shared" si="3"/>
        <v>0</v>
      </c>
      <c r="F22" s="15">
        <f t="shared" si="3"/>
        <v>0</v>
      </c>
      <c r="G22" s="15">
        <f t="shared" si="3"/>
        <v>0</v>
      </c>
    </row>
    <row r="23" spans="1:10">
      <c r="A23" t="s">
        <v>61</v>
      </c>
      <c r="B23" s="16">
        <f>Assumptions!C41</f>
        <v>40000</v>
      </c>
      <c r="C23" s="16">
        <f t="shared" si="3"/>
        <v>40000</v>
      </c>
      <c r="D23" s="16">
        <f t="shared" si="3"/>
        <v>40000</v>
      </c>
      <c r="E23" s="16">
        <f t="shared" si="3"/>
        <v>40000</v>
      </c>
      <c r="F23" s="16">
        <f t="shared" si="3"/>
        <v>40000</v>
      </c>
      <c r="G23" s="16">
        <f t="shared" si="3"/>
        <v>40000</v>
      </c>
      <c r="J23" t="s">
        <v>104</v>
      </c>
    </row>
    <row r="24" spans="1:10" ht="15">
      <c r="A24" t="s">
        <v>105</v>
      </c>
      <c r="B24" s="12"/>
      <c r="C24" s="12">
        <f>'Income Statement'!B17</f>
        <v>-15495</v>
      </c>
      <c r="D24" s="12">
        <f>'Income Statement'!C17+C24</f>
        <v>-5277</v>
      </c>
      <c r="E24" s="12">
        <f>'Income Statement'!D17+D24</f>
        <v>68283</v>
      </c>
      <c r="F24" s="12">
        <f>'Income Statement'!E17+E24</f>
        <v>238203</v>
      </c>
      <c r="G24" s="12">
        <f>'Income Statement'!F17+F24</f>
        <v>762243</v>
      </c>
    </row>
    <row r="25" spans="1:10" ht="13.15" thickBot="1">
      <c r="A25" t="s">
        <v>106</v>
      </c>
      <c r="B25" s="21">
        <f t="shared" ref="B25:G25" si="4">B21+B22+B23+B24</f>
        <v>40000</v>
      </c>
      <c r="C25" s="21">
        <f t="shared" si="4"/>
        <v>24665.887096774197</v>
      </c>
      <c r="D25" s="21">
        <f t="shared" si="4"/>
        <v>35706.835616438359</v>
      </c>
      <c r="E25" s="21">
        <f t="shared" si="4"/>
        <v>111562.45205479453</v>
      </c>
      <c r="F25" s="21">
        <f t="shared" si="4"/>
        <v>284761.90410958906</v>
      </c>
      <c r="G25" s="21">
        <f t="shared" si="4"/>
        <v>815360.80821917811</v>
      </c>
    </row>
    <row r="26" spans="1:10" ht="13.15" thickTop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9"/>
  <sheetViews>
    <sheetView workbookViewId="0">
      <selection activeCell="F17" sqref="F17"/>
    </sheetView>
  </sheetViews>
  <sheetFormatPr defaultColWidth="8.85546875" defaultRowHeight="12.75"/>
  <cols>
    <col min="1" max="1" width="23" customWidth="1"/>
    <col min="2" max="2" width="12.28515625" customWidth="1"/>
    <col min="3" max="3" width="12.42578125" customWidth="1"/>
    <col min="4" max="5" width="13.140625" customWidth="1"/>
    <col min="6" max="6" width="13.85546875" customWidth="1"/>
    <col min="7" max="7" width="3.42578125" customWidth="1"/>
    <col min="8" max="8" width="14.42578125" customWidth="1"/>
    <col min="9" max="9" width="11.28515625" customWidth="1"/>
  </cols>
  <sheetData>
    <row r="1" spans="1:9" s="11" customFormat="1" ht="15">
      <c r="A1" s="22" t="s">
        <v>107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</row>
    <row r="2" spans="1:9" s="57" customFormat="1" ht="19.5" customHeight="1">
      <c r="A2" s="57" t="s">
        <v>108</v>
      </c>
      <c r="B2" s="59">
        <f>Assumptions!C5</f>
        <v>10000</v>
      </c>
      <c r="C2" s="59">
        <f>Assumptions!D5</f>
        <v>60000</v>
      </c>
      <c r="D2" s="59">
        <f>Assumptions!E5</f>
        <v>250000</v>
      </c>
      <c r="E2" s="59">
        <f>Assumptions!F5</f>
        <v>500000</v>
      </c>
      <c r="F2" s="59">
        <f>Assumptions!G5</f>
        <v>1200000</v>
      </c>
    </row>
    <row r="3" spans="1:9" ht="15">
      <c r="A3" t="s">
        <v>109</v>
      </c>
      <c r="B3" s="60">
        <f>B2*Assumptions!C9</f>
        <v>1995</v>
      </c>
      <c r="C3" s="60">
        <f>C2*Assumptions!D9</f>
        <v>11970</v>
      </c>
      <c r="D3" s="60">
        <f>D2*Assumptions!E9</f>
        <v>39900.000000000007</v>
      </c>
      <c r="E3" s="60">
        <f>E2*Assumptions!F9</f>
        <v>79800.000000000015</v>
      </c>
      <c r="F3" s="60">
        <f>F2*Assumptions!G9</f>
        <v>159600</v>
      </c>
      <c r="G3" s="12"/>
    </row>
    <row r="4" spans="1:9" s="57" customFormat="1">
      <c r="A4" s="57" t="s">
        <v>110</v>
      </c>
      <c r="B4" s="59">
        <f>B2-B3</f>
        <v>8005</v>
      </c>
      <c r="C4" s="59">
        <f>C2-C3</f>
        <v>48030</v>
      </c>
      <c r="D4" s="59">
        <f>D2-D3</f>
        <v>210100</v>
      </c>
      <c r="E4" s="59">
        <f>E2-E3</f>
        <v>420200</v>
      </c>
      <c r="F4" s="59">
        <f>F2-F3</f>
        <v>1040400</v>
      </c>
    </row>
    <row r="5" spans="1:9" ht="15.75" customHeight="1">
      <c r="A5" t="str">
        <f>Assumptions!B14</f>
        <v>Salaries</v>
      </c>
      <c r="B5" s="61">
        <f>Assumptions!C14</f>
        <v>0</v>
      </c>
      <c r="C5" s="61">
        <f>Assumptions!D14</f>
        <v>0</v>
      </c>
      <c r="D5" s="61">
        <f>Assumptions!E14</f>
        <v>30000</v>
      </c>
      <c r="E5" s="61">
        <f>Assumptions!F14</f>
        <v>30000</v>
      </c>
      <c r="F5" s="61">
        <f>Assumptions!G14</f>
        <v>45000</v>
      </c>
      <c r="G5" s="8"/>
    </row>
    <row r="6" spans="1:9">
      <c r="A6" t="s">
        <v>111</v>
      </c>
      <c r="B6" s="61">
        <f>B2*Assumptions!C10</f>
        <v>0</v>
      </c>
      <c r="C6" s="61">
        <f>C2*Assumptions!D10</f>
        <v>0</v>
      </c>
      <c r="D6" s="61">
        <f>D2*Assumptions!E10</f>
        <v>0</v>
      </c>
      <c r="E6" s="61">
        <f>E2*Assumptions!F10</f>
        <v>0</v>
      </c>
      <c r="F6" s="61">
        <f>F2*Assumptions!G10</f>
        <v>0</v>
      </c>
      <c r="G6" s="8"/>
    </row>
    <row r="7" spans="1:9">
      <c r="A7" t="str">
        <f>Assumptions!B11</f>
        <v>Other Variable Expense</v>
      </c>
      <c r="B7" s="61">
        <f>B2*Assumptions!C11</f>
        <v>500</v>
      </c>
      <c r="C7" s="61">
        <f>C2*Assumptions!D11</f>
        <v>3000</v>
      </c>
      <c r="D7" s="61">
        <f>D2*Assumptions!E11</f>
        <v>12500</v>
      </c>
      <c r="E7" s="61">
        <f>E2*Assumptions!F11</f>
        <v>25000</v>
      </c>
      <c r="F7" s="61">
        <f>F2*Assumptions!G11</f>
        <v>60000</v>
      </c>
      <c r="G7" s="8"/>
    </row>
    <row r="8" spans="1:9">
      <c r="A8" t="str">
        <f>Assumptions!B17</f>
        <v>R&amp;D</v>
      </c>
      <c r="B8" s="61">
        <f>Assumptions!C17</f>
        <v>8000</v>
      </c>
      <c r="C8" s="61">
        <f>Assumptions!D17</f>
        <v>10000</v>
      </c>
      <c r="D8" s="61">
        <f>Assumptions!E17</f>
        <v>20000</v>
      </c>
      <c r="E8" s="61">
        <f>Assumptions!F17</f>
        <v>30000</v>
      </c>
      <c r="F8" s="61">
        <f>Assumptions!G17</f>
        <v>30000</v>
      </c>
      <c r="G8" s="8"/>
    </row>
    <row r="9" spans="1:9">
      <c r="A9" t="str">
        <f>Assumptions!B15</f>
        <v>Lease Expense (Rent)</v>
      </c>
      <c r="B9" s="61">
        <f>Assumptions!C15</f>
        <v>5000</v>
      </c>
      <c r="C9" s="61">
        <f>Assumptions!D15</f>
        <v>5000</v>
      </c>
      <c r="D9" s="61">
        <f>Assumptions!E15</f>
        <v>5000</v>
      </c>
      <c r="E9" s="61">
        <f>Assumptions!F15</f>
        <v>10000</v>
      </c>
      <c r="F9" s="61">
        <f>Assumptions!G15</f>
        <v>10000</v>
      </c>
      <c r="G9" s="8"/>
    </row>
    <row r="10" spans="1:9">
      <c r="A10" s="8" t="str">
        <f>Assumptions!B16</f>
        <v>Marketing</v>
      </c>
      <c r="B10" s="61">
        <f>Assumptions!C16</f>
        <v>0</v>
      </c>
      <c r="C10" s="61">
        <f>Assumptions!D16</f>
        <v>0</v>
      </c>
      <c r="D10" s="61">
        <f>Assumptions!E16</f>
        <v>0</v>
      </c>
      <c r="E10" s="61">
        <f>Assumptions!F16</f>
        <v>0</v>
      </c>
      <c r="F10" s="61">
        <f>Assumptions!G16</f>
        <v>0</v>
      </c>
      <c r="G10" s="8"/>
    </row>
    <row r="11" spans="1:9">
      <c r="A11" s="8" t="str">
        <f>Assumptions!B18</f>
        <v>Other Fixed Expense</v>
      </c>
      <c r="B11" s="61">
        <f>Assumptions!C18</f>
        <v>5000</v>
      </c>
      <c r="C11" s="61">
        <f>Assumptions!D18</f>
        <v>8000</v>
      </c>
      <c r="D11" s="61">
        <f>Assumptions!E18</f>
        <v>15000</v>
      </c>
      <c r="E11" s="61">
        <f>Assumptions!F18</f>
        <v>35000</v>
      </c>
      <c r="F11" s="61">
        <f>Assumptions!G18</f>
        <v>15000</v>
      </c>
      <c r="G11" s="8"/>
    </row>
    <row r="12" spans="1:9" ht="15">
      <c r="A12" t="s">
        <v>37</v>
      </c>
      <c r="B12" s="60">
        <f>Assumptions!G24</f>
        <v>5000</v>
      </c>
      <c r="C12" s="60">
        <f>Assumptions!H24</f>
        <v>5000</v>
      </c>
      <c r="D12" s="60">
        <f>Assumptions!I24</f>
        <v>5000</v>
      </c>
      <c r="E12" s="60">
        <f>Assumptions!J24</f>
        <v>7000</v>
      </c>
      <c r="F12" s="60">
        <f>Assumptions!K24</f>
        <v>7000</v>
      </c>
      <c r="G12" s="12"/>
      <c r="H12" s="39"/>
    </row>
    <row r="13" spans="1:9" s="57" customFormat="1">
      <c r="A13" s="57" t="s">
        <v>112</v>
      </c>
      <c r="B13" s="59">
        <f>B4-B5-B6-B7-B8-B9-B11-B10-B12</f>
        <v>-15495</v>
      </c>
      <c r="C13" s="59">
        <f>C4-C5-C9-C6-C12-C7-C8-C10-C11</f>
        <v>17030</v>
      </c>
      <c r="D13" s="59">
        <f>D4-D5-D9-D6-D12-D7-D8-D10-D11</f>
        <v>122600</v>
      </c>
      <c r="E13" s="59">
        <f>E4-E5-E9-E6-E12-E7-E8-E10-E11</f>
        <v>283200</v>
      </c>
      <c r="F13" s="59">
        <f>F4-F5-F9-F6-F12-F7-F8-F10-F11</f>
        <v>873400</v>
      </c>
      <c r="H13" s="58"/>
      <c r="I13" s="58"/>
    </row>
    <row r="14" spans="1:9">
      <c r="A14" t="s">
        <v>113</v>
      </c>
      <c r="B14" s="59">
        <f>('Balance Sheet'!B18+'Balance Sheet'!C18)/2*Assumptions!$D$37+('Balance Sheet'!B19+'Balance Sheet'!C19)/2*Assumptions!$D$38+('Balance Sheet'!B20+'Balance Sheet'!C20)/2*Assumptions!D39</f>
        <v>0</v>
      </c>
      <c r="C14" s="59">
        <f>('Balance Sheet'!C18+'Balance Sheet'!D18)/2*Assumptions!$D$37+('Balance Sheet'!C19+'Balance Sheet'!D19)/2*Assumptions!$D$38+('Balance Sheet'!C20+'Balance Sheet'!D20)/2*Assumptions!D39</f>
        <v>0</v>
      </c>
      <c r="D14" s="59">
        <f>('Balance Sheet'!D18+'Balance Sheet'!E18)/2*Assumptions!$D$37+('Balance Sheet'!D19+'Balance Sheet'!E19)/2*Assumptions!$D$38+('Balance Sheet'!D20+'Balance Sheet'!E20)/2*Assumptions!D39</f>
        <v>0</v>
      </c>
      <c r="E14" s="59">
        <f>('Balance Sheet'!E18+'Balance Sheet'!F18)/2*Assumptions!$D$37+('Balance Sheet'!E19+'Balance Sheet'!F19)/2*Assumptions!$D$38+('Balance Sheet'!E20+'Balance Sheet'!F20)/2*Assumptions!D39</f>
        <v>0</v>
      </c>
      <c r="F14" s="59">
        <f>('Balance Sheet'!F18+'Balance Sheet'!G18)/2*Assumptions!$D$37+('Balance Sheet'!F19+'Balance Sheet'!G19)/2*Assumptions!$D$38+('Balance Sheet'!F20+'Balance Sheet'!G20)/2*Assumptions!D39</f>
        <v>0</v>
      </c>
      <c r="G14" s="10"/>
      <c r="I14" s="8"/>
    </row>
    <row r="15" spans="1:9" s="57" customFormat="1">
      <c r="A15" s="57" t="s">
        <v>114</v>
      </c>
      <c r="B15" s="59">
        <f>B13-B14</f>
        <v>-15495</v>
      </c>
      <c r="C15" s="59">
        <f>C13-C14</f>
        <v>17030</v>
      </c>
      <c r="D15" s="59">
        <f>D13-D14</f>
        <v>122600</v>
      </c>
      <c r="E15" s="59">
        <f>E13-E14</f>
        <v>283200</v>
      </c>
      <c r="F15" s="59">
        <f>F13-F14</f>
        <v>873400</v>
      </c>
    </row>
    <row r="16" spans="1:9">
      <c r="A16" t="s">
        <v>115</v>
      </c>
      <c r="B16" s="61">
        <f>IF(B15&lt;0,0,B15*Assumptions!$C22)</f>
        <v>0</v>
      </c>
      <c r="C16" s="61">
        <f>IF(C15&lt;0,0,C15*Assumptions!$C22)</f>
        <v>6812</v>
      </c>
      <c r="D16" s="61">
        <f>IF(D15&lt;0,0,D15*Assumptions!$C22)</f>
        <v>49040</v>
      </c>
      <c r="E16" s="61">
        <f>IF(E15&lt;0,0,E15*Assumptions!$C22)</f>
        <v>113280</v>
      </c>
      <c r="F16" s="61">
        <f>IF(F15&lt;0,0,F15*Assumptions!$C22)</f>
        <v>349360</v>
      </c>
      <c r="G16" s="8"/>
      <c r="I16" s="10"/>
    </row>
    <row r="17" spans="1:6" s="65" customFormat="1" ht="13.15">
      <c r="A17" s="65" t="s">
        <v>65</v>
      </c>
      <c r="B17" s="66">
        <f>B15-B16</f>
        <v>-15495</v>
      </c>
      <c r="C17" s="66">
        <f>C15-C16</f>
        <v>10218</v>
      </c>
      <c r="D17" s="66">
        <f>D15-D16</f>
        <v>73560</v>
      </c>
      <c r="E17" s="66">
        <f>E15-E16</f>
        <v>169920</v>
      </c>
      <c r="F17" s="66">
        <f>F15-F16</f>
        <v>524040</v>
      </c>
    </row>
    <row r="18" spans="1:6">
      <c r="A18" s="1"/>
      <c r="B18" s="42"/>
    </row>
    <row r="19" spans="1:6">
      <c r="A19" s="1"/>
      <c r="B19" s="1"/>
      <c r="E19" s="50"/>
      <c r="F19" s="50"/>
    </row>
  </sheetData>
  <phoneticPr fontId="0" type="noConversion"/>
  <pageMargins left="0.75" right="0.75" top="1" bottom="1" header="0.5" footer="0.5"/>
  <pageSetup orientation="portrait" r:id="rId1"/>
  <headerFooter alignWithMargins="0">
    <oddHeader>&amp;CGreen Glass Five-Year Forecast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13:I159"/>
  <sheetViews>
    <sheetView topLeftCell="A7" workbookViewId="0">
      <selection activeCell="S20" sqref="S20"/>
    </sheetView>
  </sheetViews>
  <sheetFormatPr defaultRowHeight="12.75"/>
  <sheetData>
    <row r="113" spans="3:9">
      <c r="C113" s="83" t="s">
        <v>116</v>
      </c>
      <c r="D113" s="83" t="s">
        <v>117</v>
      </c>
      <c r="E113" s="83" t="s">
        <v>118</v>
      </c>
      <c r="G113" s="83" t="s">
        <v>116</v>
      </c>
      <c r="H113" s="83" t="s">
        <v>117</v>
      </c>
      <c r="I113" s="83" t="s">
        <v>118</v>
      </c>
    </row>
    <row r="114" spans="3:9">
      <c r="C114">
        <v>0</v>
      </c>
      <c r="D114">
        <f>2.13*C114</f>
        <v>0</v>
      </c>
      <c r="E114">
        <f>1.63*C114+7400</f>
        <v>7400</v>
      </c>
      <c r="G114">
        <v>0</v>
      </c>
      <c r="H114">
        <f>2.49*G114</f>
        <v>0</v>
      </c>
      <c r="I114">
        <f>0.35*G114+150000</f>
        <v>150000</v>
      </c>
    </row>
    <row r="115" spans="3:9">
      <c r="C115">
        <v>1000</v>
      </c>
      <c r="D115">
        <f t="shared" ref="D115:D134" si="0">2.13*C115</f>
        <v>2130</v>
      </c>
      <c r="E115">
        <f t="shared" ref="E115:E134" si="1">1.63*C115+7400</f>
        <v>9030</v>
      </c>
      <c r="G115">
        <v>8000</v>
      </c>
      <c r="H115">
        <f t="shared" ref="H115:H134" si="2">2.49*G115</f>
        <v>19920</v>
      </c>
      <c r="I115">
        <f t="shared" ref="I115:I134" si="3">0.35*G115+150000</f>
        <v>152800</v>
      </c>
    </row>
    <row r="116" spans="3:9">
      <c r="C116">
        <v>2000</v>
      </c>
      <c r="D116">
        <f t="shared" si="0"/>
        <v>4260</v>
      </c>
      <c r="E116">
        <f t="shared" si="1"/>
        <v>10660</v>
      </c>
      <c r="G116">
        <v>16000</v>
      </c>
      <c r="H116">
        <f t="shared" si="2"/>
        <v>39840</v>
      </c>
      <c r="I116">
        <f t="shared" si="3"/>
        <v>155600</v>
      </c>
    </row>
    <row r="117" spans="3:9">
      <c r="C117">
        <v>3000</v>
      </c>
      <c r="D117">
        <f t="shared" si="0"/>
        <v>6390</v>
      </c>
      <c r="E117">
        <f t="shared" si="1"/>
        <v>12290</v>
      </c>
      <c r="G117">
        <v>24000</v>
      </c>
      <c r="H117">
        <f t="shared" si="2"/>
        <v>59760.000000000007</v>
      </c>
      <c r="I117">
        <f t="shared" si="3"/>
        <v>158400</v>
      </c>
    </row>
    <row r="118" spans="3:9">
      <c r="C118">
        <v>4000</v>
      </c>
      <c r="D118">
        <f t="shared" si="0"/>
        <v>8520</v>
      </c>
      <c r="E118">
        <f t="shared" si="1"/>
        <v>13920</v>
      </c>
      <c r="G118">
        <v>32000</v>
      </c>
      <c r="H118">
        <f t="shared" si="2"/>
        <v>79680</v>
      </c>
      <c r="I118">
        <f t="shared" si="3"/>
        <v>161200</v>
      </c>
    </row>
    <row r="119" spans="3:9">
      <c r="C119">
        <v>5000</v>
      </c>
      <c r="D119">
        <f t="shared" si="0"/>
        <v>10650</v>
      </c>
      <c r="E119">
        <f t="shared" si="1"/>
        <v>15550</v>
      </c>
      <c r="G119">
        <v>40000</v>
      </c>
      <c r="H119">
        <f t="shared" si="2"/>
        <v>99600.000000000015</v>
      </c>
      <c r="I119">
        <f t="shared" si="3"/>
        <v>164000</v>
      </c>
    </row>
    <row r="120" spans="3:9">
      <c r="C120">
        <v>6000</v>
      </c>
      <c r="D120">
        <f t="shared" si="0"/>
        <v>12780</v>
      </c>
      <c r="E120">
        <f t="shared" si="1"/>
        <v>17180</v>
      </c>
      <c r="G120">
        <v>48000</v>
      </c>
      <c r="H120">
        <f t="shared" si="2"/>
        <v>119520.00000000001</v>
      </c>
      <c r="I120">
        <f t="shared" si="3"/>
        <v>166800</v>
      </c>
    </row>
    <row r="121" spans="3:9">
      <c r="C121">
        <v>7000</v>
      </c>
      <c r="D121">
        <f t="shared" si="0"/>
        <v>14910</v>
      </c>
      <c r="E121">
        <f t="shared" si="1"/>
        <v>18810</v>
      </c>
      <c r="G121">
        <v>56000</v>
      </c>
      <c r="H121">
        <f t="shared" si="2"/>
        <v>139440</v>
      </c>
      <c r="I121">
        <f t="shared" si="3"/>
        <v>169600</v>
      </c>
    </row>
    <row r="122" spans="3:9">
      <c r="C122">
        <v>8000</v>
      </c>
      <c r="D122">
        <f t="shared" si="0"/>
        <v>17040</v>
      </c>
      <c r="E122">
        <f t="shared" si="1"/>
        <v>20440</v>
      </c>
      <c r="G122">
        <v>64000</v>
      </c>
      <c r="H122">
        <f t="shared" si="2"/>
        <v>159360</v>
      </c>
      <c r="I122">
        <f t="shared" si="3"/>
        <v>172400</v>
      </c>
    </row>
    <row r="123" spans="3:9">
      <c r="C123">
        <v>9000</v>
      </c>
      <c r="D123">
        <f t="shared" si="0"/>
        <v>19170</v>
      </c>
      <c r="E123">
        <f t="shared" si="1"/>
        <v>22070</v>
      </c>
      <c r="G123">
        <v>72000</v>
      </c>
      <c r="H123">
        <f t="shared" si="2"/>
        <v>179280.00000000003</v>
      </c>
      <c r="I123">
        <f t="shared" si="3"/>
        <v>175200</v>
      </c>
    </row>
    <row r="124" spans="3:9">
      <c r="C124">
        <v>10000</v>
      </c>
      <c r="D124">
        <f t="shared" si="0"/>
        <v>21300</v>
      </c>
      <c r="E124">
        <f t="shared" si="1"/>
        <v>23700</v>
      </c>
      <c r="G124">
        <v>80000</v>
      </c>
      <c r="H124">
        <f t="shared" si="2"/>
        <v>199200.00000000003</v>
      </c>
      <c r="I124">
        <f t="shared" si="3"/>
        <v>178000</v>
      </c>
    </row>
    <row r="125" spans="3:9">
      <c r="C125">
        <v>11000</v>
      </c>
      <c r="D125">
        <f t="shared" si="0"/>
        <v>23430</v>
      </c>
      <c r="E125">
        <f t="shared" si="1"/>
        <v>25330</v>
      </c>
      <c r="G125">
        <v>88000</v>
      </c>
      <c r="H125">
        <f t="shared" si="2"/>
        <v>219120.00000000003</v>
      </c>
      <c r="I125">
        <f t="shared" si="3"/>
        <v>180800</v>
      </c>
    </row>
    <row r="126" spans="3:9">
      <c r="C126">
        <v>12000</v>
      </c>
      <c r="D126">
        <f t="shared" si="0"/>
        <v>25560</v>
      </c>
      <c r="E126">
        <f t="shared" si="1"/>
        <v>26960</v>
      </c>
      <c r="G126">
        <v>96000</v>
      </c>
      <c r="H126">
        <f t="shared" si="2"/>
        <v>239040.00000000003</v>
      </c>
      <c r="I126">
        <f t="shared" si="3"/>
        <v>183600</v>
      </c>
    </row>
    <row r="127" spans="3:9">
      <c r="C127">
        <v>13000</v>
      </c>
      <c r="D127">
        <f t="shared" si="0"/>
        <v>27690</v>
      </c>
      <c r="E127">
        <f t="shared" si="1"/>
        <v>28590</v>
      </c>
      <c r="G127">
        <v>104000</v>
      </c>
      <c r="H127">
        <f t="shared" si="2"/>
        <v>258960.00000000003</v>
      </c>
      <c r="I127">
        <f t="shared" si="3"/>
        <v>186400</v>
      </c>
    </row>
    <row r="128" spans="3:9">
      <c r="C128">
        <v>14000</v>
      </c>
      <c r="D128">
        <f t="shared" si="0"/>
        <v>29820</v>
      </c>
      <c r="E128">
        <f t="shared" si="1"/>
        <v>30220</v>
      </c>
      <c r="G128">
        <v>112000</v>
      </c>
      <c r="H128">
        <f t="shared" si="2"/>
        <v>278880</v>
      </c>
      <c r="I128">
        <f t="shared" si="3"/>
        <v>189200</v>
      </c>
    </row>
    <row r="129" spans="3:9">
      <c r="C129">
        <v>15000</v>
      </c>
      <c r="D129">
        <f t="shared" si="0"/>
        <v>31950</v>
      </c>
      <c r="E129">
        <f t="shared" si="1"/>
        <v>31850</v>
      </c>
      <c r="G129">
        <v>120000</v>
      </c>
      <c r="H129">
        <f t="shared" si="2"/>
        <v>298800</v>
      </c>
      <c r="I129">
        <f t="shared" si="3"/>
        <v>192000</v>
      </c>
    </row>
    <row r="130" spans="3:9">
      <c r="C130">
        <v>16000</v>
      </c>
      <c r="D130">
        <f t="shared" si="0"/>
        <v>34080</v>
      </c>
      <c r="E130">
        <f t="shared" si="1"/>
        <v>33480</v>
      </c>
      <c r="G130">
        <v>128000</v>
      </c>
      <c r="H130">
        <f t="shared" si="2"/>
        <v>318720</v>
      </c>
      <c r="I130">
        <f t="shared" si="3"/>
        <v>194800</v>
      </c>
    </row>
    <row r="131" spans="3:9">
      <c r="C131">
        <v>17000</v>
      </c>
      <c r="D131">
        <f t="shared" si="0"/>
        <v>36210</v>
      </c>
      <c r="E131">
        <f t="shared" si="1"/>
        <v>35110</v>
      </c>
      <c r="G131">
        <v>136000</v>
      </c>
      <c r="H131">
        <f t="shared" si="2"/>
        <v>338640</v>
      </c>
      <c r="I131">
        <f t="shared" si="3"/>
        <v>197600</v>
      </c>
    </row>
    <row r="132" spans="3:9">
      <c r="C132">
        <v>18000</v>
      </c>
      <c r="D132">
        <f t="shared" si="0"/>
        <v>38340</v>
      </c>
      <c r="E132">
        <f t="shared" si="1"/>
        <v>36740</v>
      </c>
      <c r="G132">
        <v>144000</v>
      </c>
      <c r="H132">
        <f t="shared" si="2"/>
        <v>358560.00000000006</v>
      </c>
      <c r="I132">
        <f t="shared" si="3"/>
        <v>200400</v>
      </c>
    </row>
    <row r="133" spans="3:9">
      <c r="C133">
        <v>19000</v>
      </c>
      <c r="D133">
        <f t="shared" si="0"/>
        <v>40470</v>
      </c>
      <c r="E133">
        <f t="shared" si="1"/>
        <v>38370</v>
      </c>
      <c r="G133">
        <v>152000</v>
      </c>
      <c r="H133">
        <f t="shared" si="2"/>
        <v>378480.00000000006</v>
      </c>
      <c r="I133">
        <f t="shared" si="3"/>
        <v>203200</v>
      </c>
    </row>
    <row r="134" spans="3:9">
      <c r="C134">
        <v>20000</v>
      </c>
      <c r="D134">
        <f t="shared" si="0"/>
        <v>42600</v>
      </c>
      <c r="E134">
        <f t="shared" si="1"/>
        <v>40000</v>
      </c>
      <c r="G134">
        <v>160000</v>
      </c>
      <c r="H134">
        <f t="shared" si="2"/>
        <v>398400.00000000006</v>
      </c>
      <c r="I134">
        <f t="shared" si="3"/>
        <v>206000</v>
      </c>
    </row>
    <row r="138" spans="3:9">
      <c r="C138" s="83" t="s">
        <v>116</v>
      </c>
      <c r="D138" s="83" t="s">
        <v>119</v>
      </c>
      <c r="E138" s="83" t="s">
        <v>120</v>
      </c>
    </row>
    <row r="139" spans="3:9">
      <c r="C139">
        <v>0</v>
      </c>
      <c r="D139">
        <f>0.2*C139-7400</f>
        <v>-7400</v>
      </c>
      <c r="E139">
        <f>2.14*C139-150000</f>
        <v>-150000</v>
      </c>
    </row>
    <row r="140" spans="3:9">
      <c r="C140">
        <v>8000</v>
      </c>
      <c r="D140">
        <f t="shared" ref="D140:D159" si="4">0.2*C140-7400</f>
        <v>-5800</v>
      </c>
      <c r="E140">
        <f t="shared" ref="E140:E158" si="5">2.14*C140-150000</f>
        <v>-132880</v>
      </c>
    </row>
    <row r="141" spans="3:9">
      <c r="C141">
        <v>16000</v>
      </c>
      <c r="D141">
        <f t="shared" si="4"/>
        <v>-4200</v>
      </c>
      <c r="E141">
        <f t="shared" si="5"/>
        <v>-115760</v>
      </c>
    </row>
    <row r="142" spans="3:9">
      <c r="C142">
        <v>24000</v>
      </c>
      <c r="D142">
        <f t="shared" si="4"/>
        <v>-2600</v>
      </c>
      <c r="E142">
        <f t="shared" si="5"/>
        <v>-98640</v>
      </c>
    </row>
    <row r="143" spans="3:9">
      <c r="C143">
        <v>32000</v>
      </c>
      <c r="D143">
        <f t="shared" si="4"/>
        <v>-1000</v>
      </c>
      <c r="E143">
        <f t="shared" si="5"/>
        <v>-81520</v>
      </c>
    </row>
    <row r="144" spans="3:9">
      <c r="C144">
        <v>40000</v>
      </c>
      <c r="D144">
        <f t="shared" si="4"/>
        <v>600</v>
      </c>
      <c r="E144">
        <f t="shared" si="5"/>
        <v>-64400</v>
      </c>
    </row>
    <row r="145" spans="3:5">
      <c r="C145">
        <v>48000</v>
      </c>
      <c r="D145">
        <f t="shared" si="4"/>
        <v>2200</v>
      </c>
      <c r="E145">
        <f t="shared" si="5"/>
        <v>-47280</v>
      </c>
    </row>
    <row r="146" spans="3:5">
      <c r="C146">
        <v>56000</v>
      </c>
      <c r="D146">
        <f t="shared" si="4"/>
        <v>3800</v>
      </c>
      <c r="E146">
        <f t="shared" si="5"/>
        <v>-30160</v>
      </c>
    </row>
    <row r="147" spans="3:5">
      <c r="C147">
        <v>64000</v>
      </c>
      <c r="D147">
        <f t="shared" si="4"/>
        <v>5400</v>
      </c>
      <c r="E147">
        <f t="shared" si="5"/>
        <v>-13040</v>
      </c>
    </row>
    <row r="148" spans="3:5">
      <c r="C148">
        <v>72000</v>
      </c>
      <c r="D148">
        <f t="shared" si="4"/>
        <v>7000</v>
      </c>
      <c r="E148">
        <f t="shared" si="5"/>
        <v>4080</v>
      </c>
    </row>
    <row r="149" spans="3:5">
      <c r="C149">
        <v>80000</v>
      </c>
      <c r="D149">
        <f t="shared" si="4"/>
        <v>8600</v>
      </c>
      <c r="E149">
        <f t="shared" si="5"/>
        <v>21200</v>
      </c>
    </row>
    <row r="150" spans="3:5">
      <c r="C150">
        <v>88000</v>
      </c>
      <c r="D150">
        <f t="shared" si="4"/>
        <v>10200</v>
      </c>
      <c r="E150">
        <f t="shared" si="5"/>
        <v>38320</v>
      </c>
    </row>
    <row r="151" spans="3:5">
      <c r="C151">
        <v>96000</v>
      </c>
      <c r="D151">
        <f t="shared" si="4"/>
        <v>11800</v>
      </c>
      <c r="E151">
        <f t="shared" si="5"/>
        <v>55440</v>
      </c>
    </row>
    <row r="152" spans="3:5">
      <c r="C152">
        <v>104000</v>
      </c>
      <c r="D152">
        <f t="shared" si="4"/>
        <v>13400</v>
      </c>
      <c r="E152">
        <f t="shared" si="5"/>
        <v>72560</v>
      </c>
    </row>
    <row r="153" spans="3:5">
      <c r="C153">
        <v>112000</v>
      </c>
      <c r="D153">
        <f t="shared" si="4"/>
        <v>15000</v>
      </c>
      <c r="E153">
        <f t="shared" si="5"/>
        <v>89680</v>
      </c>
    </row>
    <row r="154" spans="3:5">
      <c r="C154">
        <v>120000</v>
      </c>
      <c r="D154">
        <f t="shared" si="4"/>
        <v>16600</v>
      </c>
      <c r="E154">
        <f t="shared" si="5"/>
        <v>106800.00000000003</v>
      </c>
    </row>
    <row r="155" spans="3:5">
      <c r="C155">
        <v>128000</v>
      </c>
      <c r="D155">
        <f t="shared" si="4"/>
        <v>18200</v>
      </c>
      <c r="E155">
        <f t="shared" si="5"/>
        <v>123920</v>
      </c>
    </row>
    <row r="156" spans="3:5">
      <c r="C156">
        <v>136000</v>
      </c>
      <c r="D156">
        <f t="shared" si="4"/>
        <v>19800</v>
      </c>
      <c r="E156">
        <f t="shared" si="5"/>
        <v>141040</v>
      </c>
    </row>
    <row r="157" spans="3:5">
      <c r="C157">
        <v>144000</v>
      </c>
      <c r="D157">
        <f t="shared" si="4"/>
        <v>21400</v>
      </c>
      <c r="E157">
        <f t="shared" si="5"/>
        <v>158160</v>
      </c>
    </row>
    <row r="158" spans="3:5">
      <c r="C158">
        <v>152000</v>
      </c>
      <c r="D158">
        <f t="shared" si="4"/>
        <v>23000</v>
      </c>
      <c r="E158">
        <f t="shared" si="5"/>
        <v>175280</v>
      </c>
    </row>
    <row r="159" spans="3:5">
      <c r="C159">
        <v>160000</v>
      </c>
      <c r="D159">
        <f t="shared" si="4"/>
        <v>24600</v>
      </c>
      <c r="E159">
        <f>2.14*C159-150000</f>
        <v>192400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the Pacific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lbangsun</dc:creator>
  <cp:keywords/>
  <dc:description/>
  <cp:lastModifiedBy/>
  <cp:revision/>
  <dcterms:created xsi:type="dcterms:W3CDTF">2006-12-14T21:25:54Z</dcterms:created>
  <dcterms:modified xsi:type="dcterms:W3CDTF">2020-06-03T19:02:41Z</dcterms:modified>
  <cp:category/>
  <cp:contentStatus/>
</cp:coreProperties>
</file>