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essica\VsCode\clustering-tpt-tpak\"/>
    </mc:Choice>
  </mc:AlternateContent>
  <xr:revisionPtr revIDLastSave="0" documentId="13_ncr:1_{6E6D1523-7DE0-44D4-AC96-38B097317C9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opulasi" sheetId="1" r:id="rId1"/>
    <sheet name="Sheet1" sheetId="3" r:id="rId2"/>
    <sheet name="Samp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KgM38JHnCU3kBWJt8Em7yTJtMra/LhRO2UIpkmkpkk="/>
    </ext>
  </extLst>
</workbook>
</file>

<file path=xl/calcChain.xml><?xml version="1.0" encoding="utf-8"?>
<calcChain xmlns="http://schemas.openxmlformats.org/spreadsheetml/2006/main">
  <c r="C44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2" i="1"/>
  <c r="C143" i="1"/>
  <c r="C144" i="1"/>
  <c r="C145" i="1"/>
  <c r="C146" i="1"/>
  <c r="C147" i="1"/>
  <c r="C149" i="1"/>
  <c r="C150" i="1"/>
  <c r="C151" i="1"/>
  <c r="C152" i="1"/>
  <c r="C153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7" i="1"/>
  <c r="C358" i="1"/>
  <c r="C359" i="1"/>
  <c r="C360" i="1"/>
  <c r="C361" i="1"/>
  <c r="C362" i="1"/>
  <c r="C363" i="1"/>
  <c r="C367" i="1"/>
  <c r="C368" i="1"/>
  <c r="C369" i="1"/>
  <c r="C370" i="1"/>
  <c r="C372" i="1"/>
  <c r="C373" i="1"/>
  <c r="C374" i="1"/>
  <c r="C375" i="1"/>
  <c r="C376" i="1"/>
  <c r="C377" i="1"/>
  <c r="C378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3" i="1"/>
  <c r="C394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9" i="1"/>
  <c r="C410" i="1"/>
  <c r="C411" i="1"/>
  <c r="C412" i="1"/>
  <c r="C414" i="1"/>
  <c r="C415" i="1"/>
  <c r="C416" i="1"/>
  <c r="C417" i="1"/>
  <c r="C418" i="1"/>
  <c r="C419" i="1"/>
  <c r="C420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3" i="1"/>
  <c r="C444" i="1"/>
  <c r="C445" i="1"/>
  <c r="C453" i="1"/>
  <c r="C454" i="1"/>
  <c r="C455" i="1"/>
  <c r="C456" i="1"/>
  <c r="C457" i="1"/>
  <c r="C458" i="1"/>
  <c r="C459" i="1"/>
  <c r="C460" i="1"/>
  <c r="C461" i="1"/>
  <c r="C464" i="1"/>
  <c r="C465" i="1"/>
  <c r="C466" i="1"/>
  <c r="C467" i="1"/>
  <c r="C468" i="1"/>
  <c r="C469" i="1"/>
  <c r="C470" i="1"/>
  <c r="C471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B11" i="1"/>
  <c r="O515" i="1"/>
  <c r="N515" i="1"/>
  <c r="M515" i="1"/>
  <c r="L515" i="1"/>
  <c r="K515" i="1"/>
  <c r="I515" i="1"/>
  <c r="H515" i="1"/>
  <c r="G515" i="1"/>
  <c r="F515" i="1"/>
  <c r="E515" i="1"/>
  <c r="D515" i="1"/>
  <c r="B515" i="1"/>
  <c r="O514" i="1"/>
  <c r="N514" i="1"/>
  <c r="M514" i="1"/>
  <c r="L514" i="1"/>
  <c r="K514" i="1"/>
  <c r="I514" i="1"/>
  <c r="H514" i="1"/>
  <c r="G514" i="1"/>
  <c r="F514" i="1"/>
  <c r="E514" i="1"/>
  <c r="D514" i="1"/>
  <c r="B514" i="1"/>
  <c r="O513" i="1"/>
  <c r="N513" i="1"/>
  <c r="M513" i="1"/>
  <c r="L513" i="1"/>
  <c r="K513" i="1"/>
  <c r="I513" i="1"/>
  <c r="H513" i="1"/>
  <c r="G513" i="1"/>
  <c r="F513" i="1"/>
  <c r="E513" i="1"/>
  <c r="D513" i="1"/>
  <c r="B513" i="1"/>
  <c r="O512" i="1"/>
  <c r="N512" i="1"/>
  <c r="M512" i="1"/>
  <c r="L512" i="1"/>
  <c r="K512" i="1"/>
  <c r="I512" i="1"/>
  <c r="H512" i="1"/>
  <c r="G512" i="1"/>
  <c r="F512" i="1"/>
  <c r="E512" i="1"/>
  <c r="D512" i="1"/>
  <c r="B512" i="1"/>
  <c r="O511" i="1"/>
  <c r="N511" i="1"/>
  <c r="M511" i="1"/>
  <c r="L511" i="1"/>
  <c r="K511" i="1"/>
  <c r="I511" i="1"/>
  <c r="H511" i="1"/>
  <c r="G511" i="1"/>
  <c r="F511" i="1"/>
  <c r="E511" i="1"/>
  <c r="D511" i="1"/>
  <c r="B511" i="1"/>
  <c r="O510" i="1"/>
  <c r="N510" i="1"/>
  <c r="M510" i="1"/>
  <c r="L510" i="1"/>
  <c r="K510" i="1"/>
  <c r="I510" i="1"/>
  <c r="H510" i="1"/>
  <c r="G510" i="1"/>
  <c r="F510" i="1"/>
  <c r="E510" i="1"/>
  <c r="D510" i="1"/>
  <c r="B510" i="1"/>
  <c r="N509" i="1"/>
  <c r="M509" i="1"/>
  <c r="L509" i="1"/>
  <c r="K509" i="1"/>
  <c r="I509" i="1"/>
  <c r="G509" i="1"/>
  <c r="F509" i="1"/>
  <c r="E509" i="1"/>
  <c r="D509" i="1"/>
  <c r="B509" i="1"/>
  <c r="N508" i="1"/>
  <c r="M508" i="1"/>
  <c r="L508" i="1"/>
  <c r="K508" i="1"/>
  <c r="I508" i="1"/>
  <c r="G508" i="1"/>
  <c r="F508" i="1"/>
  <c r="E508" i="1"/>
  <c r="D508" i="1"/>
  <c r="B508" i="1"/>
  <c r="N507" i="1"/>
  <c r="M507" i="1"/>
  <c r="L507" i="1"/>
  <c r="K507" i="1"/>
  <c r="I507" i="1"/>
  <c r="G507" i="1"/>
  <c r="F507" i="1"/>
  <c r="E507" i="1"/>
  <c r="D507" i="1"/>
  <c r="B507" i="1"/>
  <c r="N506" i="1"/>
  <c r="M506" i="1"/>
  <c r="L506" i="1"/>
  <c r="K506" i="1"/>
  <c r="I506" i="1"/>
  <c r="G506" i="1"/>
  <c r="F506" i="1"/>
  <c r="E506" i="1"/>
  <c r="D506" i="1"/>
  <c r="B506" i="1"/>
  <c r="N505" i="1"/>
  <c r="M505" i="1"/>
  <c r="L505" i="1"/>
  <c r="K505" i="1"/>
  <c r="I505" i="1"/>
  <c r="G505" i="1"/>
  <c r="F505" i="1"/>
  <c r="E505" i="1"/>
  <c r="D505" i="1"/>
  <c r="B505" i="1"/>
  <c r="N504" i="1"/>
  <c r="M504" i="1"/>
  <c r="L504" i="1"/>
  <c r="K504" i="1"/>
  <c r="I504" i="1"/>
  <c r="G504" i="1"/>
  <c r="F504" i="1"/>
  <c r="E504" i="1"/>
  <c r="D504" i="1"/>
  <c r="B504" i="1"/>
  <c r="N503" i="1"/>
  <c r="M503" i="1"/>
  <c r="L503" i="1"/>
  <c r="K503" i="1"/>
  <c r="I503" i="1"/>
  <c r="G503" i="1"/>
  <c r="F503" i="1"/>
  <c r="E503" i="1"/>
  <c r="D503" i="1"/>
  <c r="B503" i="1"/>
  <c r="N502" i="1"/>
  <c r="M502" i="1"/>
  <c r="L502" i="1"/>
  <c r="K502" i="1"/>
  <c r="I502" i="1"/>
  <c r="G502" i="1"/>
  <c r="F502" i="1"/>
  <c r="E502" i="1"/>
  <c r="D502" i="1"/>
  <c r="B502" i="1"/>
  <c r="N501" i="1"/>
  <c r="M501" i="1"/>
  <c r="L501" i="1"/>
  <c r="K501" i="1"/>
  <c r="I501" i="1"/>
  <c r="G501" i="1"/>
  <c r="F501" i="1"/>
  <c r="E501" i="1"/>
  <c r="D501" i="1"/>
  <c r="B501" i="1"/>
  <c r="N500" i="1"/>
  <c r="M500" i="1"/>
  <c r="L500" i="1"/>
  <c r="K500" i="1"/>
  <c r="I500" i="1"/>
  <c r="G500" i="1"/>
  <c r="F500" i="1"/>
  <c r="E500" i="1"/>
  <c r="D500" i="1"/>
  <c r="B500" i="1"/>
  <c r="N499" i="1"/>
  <c r="M499" i="1"/>
  <c r="L499" i="1"/>
  <c r="K499" i="1"/>
  <c r="I499" i="1"/>
  <c r="G499" i="1"/>
  <c r="F499" i="1"/>
  <c r="E499" i="1"/>
  <c r="D499" i="1"/>
  <c r="B499" i="1"/>
  <c r="N498" i="1"/>
  <c r="M498" i="1"/>
  <c r="L498" i="1"/>
  <c r="K498" i="1"/>
  <c r="I498" i="1"/>
  <c r="G498" i="1"/>
  <c r="F498" i="1"/>
  <c r="E498" i="1"/>
  <c r="D498" i="1"/>
  <c r="B498" i="1"/>
  <c r="N497" i="1"/>
  <c r="M497" i="1"/>
  <c r="L497" i="1"/>
  <c r="K497" i="1"/>
  <c r="I497" i="1"/>
  <c r="G497" i="1"/>
  <c r="F497" i="1"/>
  <c r="E497" i="1"/>
  <c r="D497" i="1"/>
  <c r="B497" i="1"/>
  <c r="N496" i="1"/>
  <c r="M496" i="1"/>
  <c r="L496" i="1"/>
  <c r="K496" i="1"/>
  <c r="I496" i="1"/>
  <c r="G496" i="1"/>
  <c r="F496" i="1"/>
  <c r="E496" i="1"/>
  <c r="D496" i="1"/>
  <c r="B496" i="1"/>
  <c r="N495" i="1"/>
  <c r="M495" i="1"/>
  <c r="L495" i="1"/>
  <c r="K495" i="1"/>
  <c r="I495" i="1"/>
  <c r="G495" i="1"/>
  <c r="F495" i="1"/>
  <c r="E495" i="1"/>
  <c r="D495" i="1"/>
  <c r="B495" i="1"/>
  <c r="N494" i="1"/>
  <c r="M494" i="1"/>
  <c r="L494" i="1"/>
  <c r="K494" i="1"/>
  <c r="I494" i="1"/>
  <c r="G494" i="1"/>
  <c r="F494" i="1"/>
  <c r="E494" i="1"/>
  <c r="D494" i="1"/>
  <c r="B494" i="1"/>
  <c r="N493" i="1"/>
  <c r="M493" i="1"/>
  <c r="L493" i="1"/>
  <c r="K493" i="1"/>
  <c r="I493" i="1"/>
  <c r="G493" i="1"/>
  <c r="F493" i="1"/>
  <c r="E493" i="1"/>
  <c r="D493" i="1"/>
  <c r="B493" i="1"/>
  <c r="N492" i="1"/>
  <c r="M492" i="1"/>
  <c r="L492" i="1"/>
  <c r="K492" i="1"/>
  <c r="I492" i="1"/>
  <c r="G492" i="1"/>
  <c r="F492" i="1"/>
  <c r="E492" i="1"/>
  <c r="D492" i="1"/>
  <c r="B492" i="1"/>
  <c r="N491" i="1"/>
  <c r="M491" i="1"/>
  <c r="L491" i="1"/>
  <c r="K491" i="1"/>
  <c r="I491" i="1"/>
  <c r="G491" i="1"/>
  <c r="F491" i="1"/>
  <c r="E491" i="1"/>
  <c r="D491" i="1"/>
  <c r="B491" i="1"/>
  <c r="N490" i="1"/>
  <c r="M490" i="1"/>
  <c r="L490" i="1"/>
  <c r="K490" i="1"/>
  <c r="I490" i="1"/>
  <c r="G490" i="1"/>
  <c r="F490" i="1"/>
  <c r="E490" i="1"/>
  <c r="D490" i="1"/>
  <c r="B490" i="1"/>
  <c r="P489" i="1"/>
  <c r="O489" i="1"/>
  <c r="N489" i="1"/>
  <c r="M489" i="1"/>
  <c r="L489" i="1"/>
  <c r="K489" i="1"/>
  <c r="I489" i="1"/>
  <c r="H489" i="1"/>
  <c r="G489" i="1"/>
  <c r="F489" i="1"/>
  <c r="E489" i="1"/>
  <c r="D489" i="1"/>
  <c r="B489" i="1"/>
  <c r="P488" i="1"/>
  <c r="O488" i="1"/>
  <c r="N488" i="1"/>
  <c r="M488" i="1"/>
  <c r="L488" i="1"/>
  <c r="K488" i="1"/>
  <c r="I488" i="1"/>
  <c r="H488" i="1"/>
  <c r="G488" i="1"/>
  <c r="F488" i="1"/>
  <c r="E488" i="1"/>
  <c r="D488" i="1"/>
  <c r="B488" i="1"/>
  <c r="P487" i="1"/>
  <c r="O487" i="1"/>
  <c r="N487" i="1"/>
  <c r="M487" i="1"/>
  <c r="L487" i="1"/>
  <c r="K487" i="1"/>
  <c r="I487" i="1"/>
  <c r="H487" i="1"/>
  <c r="G487" i="1"/>
  <c r="F487" i="1"/>
  <c r="E487" i="1"/>
  <c r="D487" i="1"/>
  <c r="B487" i="1"/>
  <c r="P486" i="1"/>
  <c r="O486" i="1"/>
  <c r="N486" i="1"/>
  <c r="M486" i="1"/>
  <c r="L486" i="1"/>
  <c r="K486" i="1"/>
  <c r="I486" i="1"/>
  <c r="H486" i="1"/>
  <c r="G486" i="1"/>
  <c r="F486" i="1"/>
  <c r="E486" i="1"/>
  <c r="D486" i="1"/>
  <c r="B486" i="1"/>
  <c r="P485" i="1"/>
  <c r="O485" i="1"/>
  <c r="N485" i="1"/>
  <c r="M485" i="1"/>
  <c r="L485" i="1"/>
  <c r="K485" i="1"/>
  <c r="I485" i="1"/>
  <c r="H485" i="1"/>
  <c r="G485" i="1"/>
  <c r="F485" i="1"/>
  <c r="E485" i="1"/>
  <c r="D485" i="1"/>
  <c r="B485" i="1"/>
  <c r="P484" i="1"/>
  <c r="O484" i="1"/>
  <c r="N484" i="1"/>
  <c r="M484" i="1"/>
  <c r="L484" i="1"/>
  <c r="K484" i="1"/>
  <c r="I484" i="1"/>
  <c r="H484" i="1"/>
  <c r="G484" i="1"/>
  <c r="F484" i="1"/>
  <c r="E484" i="1"/>
  <c r="D484" i="1"/>
  <c r="B484" i="1"/>
  <c r="P483" i="1"/>
  <c r="O483" i="1"/>
  <c r="N483" i="1"/>
  <c r="M483" i="1"/>
  <c r="L483" i="1"/>
  <c r="K483" i="1"/>
  <c r="I483" i="1"/>
  <c r="H483" i="1"/>
  <c r="G483" i="1"/>
  <c r="F483" i="1"/>
  <c r="E483" i="1"/>
  <c r="D483" i="1"/>
  <c r="B483" i="1"/>
  <c r="P482" i="1"/>
  <c r="O482" i="1"/>
  <c r="N482" i="1"/>
  <c r="M482" i="1"/>
  <c r="L482" i="1"/>
  <c r="K482" i="1"/>
  <c r="I482" i="1"/>
  <c r="H482" i="1"/>
  <c r="G482" i="1"/>
  <c r="F482" i="1"/>
  <c r="E482" i="1"/>
  <c r="D482" i="1"/>
  <c r="B482" i="1"/>
  <c r="P481" i="1"/>
  <c r="O481" i="1"/>
  <c r="N481" i="1"/>
  <c r="M481" i="1"/>
  <c r="L481" i="1"/>
  <c r="K481" i="1"/>
  <c r="I481" i="1"/>
  <c r="H481" i="1"/>
  <c r="G481" i="1"/>
  <c r="F481" i="1"/>
  <c r="E481" i="1"/>
  <c r="D481" i="1"/>
  <c r="B481" i="1"/>
  <c r="P480" i="1"/>
  <c r="O480" i="1"/>
  <c r="N480" i="1"/>
  <c r="M480" i="1"/>
  <c r="L480" i="1"/>
  <c r="K480" i="1"/>
  <c r="I480" i="1"/>
  <c r="H480" i="1"/>
  <c r="G480" i="1"/>
  <c r="F480" i="1"/>
  <c r="E480" i="1"/>
  <c r="D480" i="1"/>
  <c r="B480" i="1"/>
  <c r="P479" i="1"/>
  <c r="O479" i="1"/>
  <c r="N479" i="1"/>
  <c r="M479" i="1"/>
  <c r="L479" i="1"/>
  <c r="K479" i="1"/>
  <c r="I479" i="1"/>
  <c r="H479" i="1"/>
  <c r="G479" i="1"/>
  <c r="F479" i="1"/>
  <c r="E479" i="1"/>
  <c r="D479" i="1"/>
  <c r="B479" i="1"/>
  <c r="P478" i="1"/>
  <c r="O478" i="1"/>
  <c r="N478" i="1"/>
  <c r="M478" i="1"/>
  <c r="L478" i="1"/>
  <c r="K478" i="1"/>
  <c r="I478" i="1"/>
  <c r="H478" i="1"/>
  <c r="G478" i="1"/>
  <c r="F478" i="1"/>
  <c r="E478" i="1"/>
  <c r="D478" i="1"/>
  <c r="B478" i="1"/>
  <c r="P477" i="1"/>
  <c r="O477" i="1"/>
  <c r="N477" i="1"/>
  <c r="M477" i="1"/>
  <c r="L477" i="1"/>
  <c r="K477" i="1"/>
  <c r="I477" i="1"/>
  <c r="H477" i="1"/>
  <c r="G477" i="1"/>
  <c r="F477" i="1"/>
  <c r="E477" i="1"/>
  <c r="D477" i="1"/>
  <c r="B477" i="1"/>
  <c r="P476" i="1"/>
  <c r="O476" i="1"/>
  <c r="N476" i="1"/>
  <c r="M476" i="1"/>
  <c r="L476" i="1"/>
  <c r="K476" i="1"/>
  <c r="I476" i="1"/>
  <c r="H476" i="1"/>
  <c r="G476" i="1"/>
  <c r="F476" i="1"/>
  <c r="E476" i="1"/>
  <c r="D476" i="1"/>
  <c r="B476" i="1"/>
  <c r="P475" i="1"/>
  <c r="O475" i="1"/>
  <c r="N475" i="1"/>
  <c r="M475" i="1"/>
  <c r="L475" i="1"/>
  <c r="K475" i="1"/>
  <c r="I475" i="1"/>
  <c r="H475" i="1"/>
  <c r="G475" i="1"/>
  <c r="F475" i="1"/>
  <c r="E475" i="1"/>
  <c r="D475" i="1"/>
  <c r="B475" i="1"/>
  <c r="P474" i="1"/>
  <c r="O474" i="1"/>
  <c r="N474" i="1"/>
  <c r="M474" i="1"/>
  <c r="L474" i="1"/>
  <c r="K474" i="1"/>
  <c r="I474" i="1"/>
  <c r="H474" i="1"/>
  <c r="G474" i="1"/>
  <c r="F474" i="1"/>
  <c r="E474" i="1"/>
  <c r="D474" i="1"/>
  <c r="B474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B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B472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B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B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B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B468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B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B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B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B464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B463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B462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B461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B460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B459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B458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B457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B456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B455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B454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B453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B452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B451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B450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B449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B448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B447" i="1"/>
  <c r="P446" i="1"/>
  <c r="O446" i="1"/>
  <c r="N446" i="1"/>
  <c r="M446" i="1"/>
  <c r="L446" i="1"/>
  <c r="K446" i="1"/>
  <c r="I446" i="1"/>
  <c r="H446" i="1"/>
  <c r="G446" i="1"/>
  <c r="F446" i="1"/>
  <c r="E446" i="1"/>
  <c r="D446" i="1"/>
  <c r="B446" i="1"/>
  <c r="P445" i="1"/>
  <c r="O445" i="1"/>
  <c r="N445" i="1"/>
  <c r="M445" i="1"/>
  <c r="L445" i="1"/>
  <c r="K445" i="1"/>
  <c r="I445" i="1"/>
  <c r="H445" i="1"/>
  <c r="G445" i="1"/>
  <c r="F445" i="1"/>
  <c r="E445" i="1"/>
  <c r="D445" i="1"/>
  <c r="B445" i="1"/>
  <c r="P444" i="1"/>
  <c r="O444" i="1"/>
  <c r="N444" i="1"/>
  <c r="M444" i="1"/>
  <c r="L444" i="1"/>
  <c r="K444" i="1"/>
  <c r="I444" i="1"/>
  <c r="H444" i="1"/>
  <c r="G444" i="1"/>
  <c r="F444" i="1"/>
  <c r="E444" i="1"/>
  <c r="D444" i="1"/>
  <c r="B444" i="1"/>
  <c r="P443" i="1"/>
  <c r="O443" i="1"/>
  <c r="N443" i="1"/>
  <c r="M443" i="1"/>
  <c r="L443" i="1"/>
  <c r="K443" i="1"/>
  <c r="I443" i="1"/>
  <c r="H443" i="1"/>
  <c r="G443" i="1"/>
  <c r="F443" i="1"/>
  <c r="E443" i="1"/>
  <c r="D443" i="1"/>
  <c r="B443" i="1"/>
  <c r="P442" i="1"/>
  <c r="O442" i="1"/>
  <c r="N442" i="1"/>
  <c r="M442" i="1"/>
  <c r="L442" i="1"/>
  <c r="K442" i="1"/>
  <c r="I442" i="1"/>
  <c r="H442" i="1"/>
  <c r="G442" i="1"/>
  <c r="F442" i="1"/>
  <c r="E442" i="1"/>
  <c r="D442" i="1"/>
  <c r="B442" i="1"/>
  <c r="P441" i="1"/>
  <c r="O441" i="1"/>
  <c r="N441" i="1"/>
  <c r="M441" i="1"/>
  <c r="L441" i="1"/>
  <c r="K441" i="1"/>
  <c r="I441" i="1"/>
  <c r="H441" i="1"/>
  <c r="G441" i="1"/>
  <c r="F441" i="1"/>
  <c r="E441" i="1"/>
  <c r="D441" i="1"/>
  <c r="B441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B440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B439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B438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B437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B436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B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B434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B433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B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B431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B430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B429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B428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B427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B426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B425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B424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B423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B422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B421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B420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B419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B418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B417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B416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B415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B414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B413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B412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B411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B410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B409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B408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B407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B406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B405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B404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B403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B402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B401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B400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B399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B398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B397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B396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B395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B394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B393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B392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B391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B390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B389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B388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B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B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B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B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B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B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B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B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B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B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B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B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B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B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B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B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B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B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B369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B368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B367" i="1"/>
  <c r="P366" i="1"/>
  <c r="O366" i="1"/>
  <c r="N366" i="1"/>
  <c r="M366" i="1"/>
  <c r="L366" i="1"/>
  <c r="K366" i="1"/>
  <c r="I366" i="1"/>
  <c r="H366" i="1"/>
  <c r="G366" i="1"/>
  <c r="F366" i="1"/>
  <c r="E366" i="1"/>
  <c r="D366" i="1"/>
  <c r="B366" i="1"/>
  <c r="P365" i="1"/>
  <c r="O365" i="1"/>
  <c r="N365" i="1"/>
  <c r="M365" i="1"/>
  <c r="L365" i="1"/>
  <c r="K365" i="1"/>
  <c r="I365" i="1"/>
  <c r="H365" i="1"/>
  <c r="G365" i="1"/>
  <c r="F365" i="1"/>
  <c r="E365" i="1"/>
  <c r="D365" i="1"/>
  <c r="B365" i="1"/>
  <c r="P364" i="1"/>
  <c r="O364" i="1"/>
  <c r="N364" i="1"/>
  <c r="M364" i="1"/>
  <c r="L364" i="1"/>
  <c r="K364" i="1"/>
  <c r="I364" i="1"/>
  <c r="H364" i="1"/>
  <c r="G364" i="1"/>
  <c r="F364" i="1"/>
  <c r="E364" i="1"/>
  <c r="D364" i="1"/>
  <c r="B364" i="1"/>
  <c r="P363" i="1"/>
  <c r="O363" i="1"/>
  <c r="N363" i="1"/>
  <c r="M363" i="1"/>
  <c r="L363" i="1"/>
  <c r="K363" i="1"/>
  <c r="I363" i="1"/>
  <c r="H363" i="1"/>
  <c r="G363" i="1"/>
  <c r="F363" i="1"/>
  <c r="E363" i="1"/>
  <c r="D363" i="1"/>
  <c r="B363" i="1"/>
  <c r="P362" i="1"/>
  <c r="O362" i="1"/>
  <c r="N362" i="1"/>
  <c r="M362" i="1"/>
  <c r="L362" i="1"/>
  <c r="K362" i="1"/>
  <c r="I362" i="1"/>
  <c r="H362" i="1"/>
  <c r="G362" i="1"/>
  <c r="F362" i="1"/>
  <c r="E362" i="1"/>
  <c r="D362" i="1"/>
  <c r="B362" i="1"/>
  <c r="P361" i="1"/>
  <c r="O361" i="1"/>
  <c r="N361" i="1"/>
  <c r="M361" i="1"/>
  <c r="L361" i="1"/>
  <c r="K361" i="1"/>
  <c r="I361" i="1"/>
  <c r="H361" i="1"/>
  <c r="G361" i="1"/>
  <c r="F361" i="1"/>
  <c r="E361" i="1"/>
  <c r="D361" i="1"/>
  <c r="B361" i="1"/>
  <c r="P360" i="1"/>
  <c r="O360" i="1"/>
  <c r="N360" i="1"/>
  <c r="M360" i="1"/>
  <c r="L360" i="1"/>
  <c r="K360" i="1"/>
  <c r="I360" i="1"/>
  <c r="H360" i="1"/>
  <c r="G360" i="1"/>
  <c r="F360" i="1"/>
  <c r="E360" i="1"/>
  <c r="D360" i="1"/>
  <c r="B360" i="1"/>
  <c r="P359" i="1"/>
  <c r="O359" i="1"/>
  <c r="N359" i="1"/>
  <c r="M359" i="1"/>
  <c r="L359" i="1"/>
  <c r="K359" i="1"/>
  <c r="I359" i="1"/>
  <c r="H359" i="1"/>
  <c r="G359" i="1"/>
  <c r="F359" i="1"/>
  <c r="E359" i="1"/>
  <c r="D359" i="1"/>
  <c r="B359" i="1"/>
  <c r="P358" i="1"/>
  <c r="O358" i="1"/>
  <c r="N358" i="1"/>
  <c r="M358" i="1"/>
  <c r="L358" i="1"/>
  <c r="K358" i="1"/>
  <c r="I358" i="1"/>
  <c r="H358" i="1"/>
  <c r="G358" i="1"/>
  <c r="F358" i="1"/>
  <c r="E358" i="1"/>
  <c r="D358" i="1"/>
  <c r="B358" i="1"/>
  <c r="P357" i="1"/>
  <c r="O357" i="1"/>
  <c r="N357" i="1"/>
  <c r="M357" i="1"/>
  <c r="L357" i="1"/>
  <c r="K357" i="1"/>
  <c r="I357" i="1"/>
  <c r="H357" i="1"/>
  <c r="G357" i="1"/>
  <c r="F357" i="1"/>
  <c r="E357" i="1"/>
  <c r="D357" i="1"/>
  <c r="B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B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B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B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B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B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B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B350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B349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B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B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B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B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B344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B343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B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B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B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B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B338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B337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B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B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B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B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B332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B331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B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B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B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B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B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B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B324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B323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B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B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B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B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B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B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B316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B315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B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B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B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B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B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B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B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B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B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B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B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B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B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B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B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B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B298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B297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B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B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B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B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B292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B291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B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B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B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B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B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B285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B284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B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B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B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B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B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B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B277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B276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B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B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B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B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B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B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B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B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B267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B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B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B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B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B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B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B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B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B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B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B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B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B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B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B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B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B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B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B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B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B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B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B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B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B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B241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B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B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B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B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B236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B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B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B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B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B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B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B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B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B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B226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B225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B224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B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B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B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B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B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B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B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B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B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B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B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B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B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B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B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B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B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B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B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B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B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B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B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B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B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B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B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B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B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B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B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B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B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B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B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B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B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B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B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B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B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B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B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B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B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B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B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B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B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B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B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B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B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B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B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B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B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B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B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B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B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B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B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B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B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B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B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156" i="1"/>
  <c r="P155" i="1"/>
  <c r="O155" i="1"/>
  <c r="N155" i="1"/>
  <c r="M155" i="1"/>
  <c r="L155" i="1"/>
  <c r="K155" i="1"/>
  <c r="I155" i="1"/>
  <c r="H155" i="1"/>
  <c r="G155" i="1"/>
  <c r="F155" i="1"/>
  <c r="E155" i="1"/>
  <c r="D155" i="1"/>
  <c r="B155" i="1"/>
  <c r="P154" i="1"/>
  <c r="O154" i="1"/>
  <c r="N154" i="1"/>
  <c r="M154" i="1"/>
  <c r="L154" i="1"/>
  <c r="K154" i="1"/>
  <c r="I154" i="1"/>
  <c r="H154" i="1"/>
  <c r="G154" i="1"/>
  <c r="F154" i="1"/>
  <c r="E154" i="1"/>
  <c r="D154" i="1"/>
  <c r="B154" i="1"/>
  <c r="P153" i="1"/>
  <c r="O153" i="1"/>
  <c r="N153" i="1"/>
  <c r="M153" i="1"/>
  <c r="L153" i="1"/>
  <c r="K153" i="1"/>
  <c r="I153" i="1"/>
  <c r="H153" i="1"/>
  <c r="G153" i="1"/>
  <c r="F153" i="1"/>
  <c r="E153" i="1"/>
  <c r="D153" i="1"/>
  <c r="B153" i="1"/>
  <c r="P152" i="1"/>
  <c r="O152" i="1"/>
  <c r="N152" i="1"/>
  <c r="M152" i="1"/>
  <c r="L152" i="1"/>
  <c r="K152" i="1"/>
  <c r="I152" i="1"/>
  <c r="H152" i="1"/>
  <c r="G152" i="1"/>
  <c r="F152" i="1"/>
  <c r="E152" i="1"/>
  <c r="D152" i="1"/>
  <c r="B152" i="1"/>
  <c r="P151" i="1"/>
  <c r="O151" i="1"/>
  <c r="N151" i="1"/>
  <c r="M151" i="1"/>
  <c r="L151" i="1"/>
  <c r="K151" i="1"/>
  <c r="I151" i="1"/>
  <c r="H151" i="1"/>
  <c r="G151" i="1"/>
  <c r="F151" i="1"/>
  <c r="E151" i="1"/>
  <c r="D151" i="1"/>
  <c r="B151" i="1"/>
  <c r="P150" i="1"/>
  <c r="O150" i="1"/>
  <c r="N150" i="1"/>
  <c r="M150" i="1"/>
  <c r="L150" i="1"/>
  <c r="K150" i="1"/>
  <c r="I150" i="1"/>
  <c r="H150" i="1"/>
  <c r="G150" i="1"/>
  <c r="F150" i="1"/>
  <c r="E150" i="1"/>
  <c r="D150" i="1"/>
  <c r="B150" i="1"/>
  <c r="P149" i="1"/>
  <c r="O149" i="1"/>
  <c r="N149" i="1"/>
  <c r="M149" i="1"/>
  <c r="L149" i="1"/>
  <c r="K149" i="1"/>
  <c r="I149" i="1"/>
  <c r="H149" i="1"/>
  <c r="G149" i="1"/>
  <c r="F149" i="1"/>
  <c r="E149" i="1"/>
  <c r="D149" i="1"/>
  <c r="B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B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B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B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B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B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B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B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B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B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B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B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B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B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B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B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B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127" i="1"/>
  <c r="P126" i="1"/>
  <c r="O126" i="1"/>
  <c r="N126" i="1"/>
  <c r="M126" i="1"/>
  <c r="L126" i="1"/>
  <c r="K126" i="1"/>
  <c r="I126" i="1"/>
  <c r="H126" i="1"/>
  <c r="G126" i="1"/>
  <c r="F126" i="1"/>
  <c r="E126" i="1"/>
  <c r="D126" i="1"/>
  <c r="B126" i="1"/>
  <c r="P125" i="1"/>
  <c r="O125" i="1"/>
  <c r="N125" i="1"/>
  <c r="M125" i="1"/>
  <c r="L125" i="1"/>
  <c r="K125" i="1"/>
  <c r="I125" i="1"/>
  <c r="H125" i="1"/>
  <c r="G125" i="1"/>
  <c r="F125" i="1"/>
  <c r="E125" i="1"/>
  <c r="D125" i="1"/>
  <c r="B125" i="1"/>
  <c r="P124" i="1"/>
  <c r="O124" i="1"/>
  <c r="N124" i="1"/>
  <c r="M124" i="1"/>
  <c r="L124" i="1"/>
  <c r="K124" i="1"/>
  <c r="I124" i="1"/>
  <c r="H124" i="1"/>
  <c r="G124" i="1"/>
  <c r="F124" i="1"/>
  <c r="E124" i="1"/>
  <c r="D124" i="1"/>
  <c r="B124" i="1"/>
  <c r="P123" i="1"/>
  <c r="O123" i="1"/>
  <c r="N123" i="1"/>
  <c r="M123" i="1"/>
  <c r="L123" i="1"/>
  <c r="K123" i="1"/>
  <c r="I123" i="1"/>
  <c r="H123" i="1"/>
  <c r="G123" i="1"/>
  <c r="F123" i="1"/>
  <c r="E123" i="1"/>
  <c r="D123" i="1"/>
  <c r="B123" i="1"/>
  <c r="P122" i="1"/>
  <c r="O122" i="1"/>
  <c r="N122" i="1"/>
  <c r="M122" i="1"/>
  <c r="L122" i="1"/>
  <c r="K122" i="1"/>
  <c r="I122" i="1"/>
  <c r="H122" i="1"/>
  <c r="G122" i="1"/>
  <c r="F122" i="1"/>
  <c r="E122" i="1"/>
  <c r="D122" i="1"/>
  <c r="B122" i="1"/>
  <c r="P121" i="1"/>
  <c r="O121" i="1"/>
  <c r="N121" i="1"/>
  <c r="M121" i="1"/>
  <c r="L121" i="1"/>
  <c r="K121" i="1"/>
  <c r="I121" i="1"/>
  <c r="H121" i="1"/>
  <c r="G121" i="1"/>
  <c r="F121" i="1"/>
  <c r="E121" i="1"/>
  <c r="D121" i="1"/>
  <c r="B121" i="1"/>
  <c r="P120" i="1"/>
  <c r="O120" i="1"/>
  <c r="N120" i="1"/>
  <c r="M120" i="1"/>
  <c r="L120" i="1"/>
  <c r="K120" i="1"/>
  <c r="I120" i="1"/>
  <c r="H120" i="1"/>
  <c r="G120" i="1"/>
  <c r="F120" i="1"/>
  <c r="E120" i="1"/>
  <c r="D120" i="1"/>
  <c r="B120" i="1"/>
  <c r="P119" i="1"/>
  <c r="O119" i="1"/>
  <c r="N119" i="1"/>
  <c r="M119" i="1"/>
  <c r="L119" i="1"/>
  <c r="K119" i="1"/>
  <c r="I119" i="1"/>
  <c r="H119" i="1"/>
  <c r="G119" i="1"/>
  <c r="F119" i="1"/>
  <c r="E119" i="1"/>
  <c r="D119" i="1"/>
  <c r="B119" i="1"/>
  <c r="P118" i="1"/>
  <c r="O118" i="1"/>
  <c r="N118" i="1"/>
  <c r="M118" i="1"/>
  <c r="L118" i="1"/>
  <c r="K118" i="1"/>
  <c r="I118" i="1"/>
  <c r="H118" i="1"/>
  <c r="G118" i="1"/>
  <c r="F118" i="1"/>
  <c r="E118" i="1"/>
  <c r="D118" i="1"/>
  <c r="B118" i="1"/>
  <c r="P117" i="1"/>
  <c r="O117" i="1"/>
  <c r="N117" i="1"/>
  <c r="M117" i="1"/>
  <c r="L117" i="1"/>
  <c r="K117" i="1"/>
  <c r="I117" i="1"/>
  <c r="H117" i="1"/>
  <c r="G117" i="1"/>
  <c r="F117" i="1"/>
  <c r="E117" i="1"/>
  <c r="D117" i="1"/>
  <c r="B117" i="1"/>
  <c r="P116" i="1"/>
  <c r="O116" i="1"/>
  <c r="N116" i="1"/>
  <c r="M116" i="1"/>
  <c r="L116" i="1"/>
  <c r="K116" i="1"/>
  <c r="I116" i="1"/>
  <c r="H116" i="1"/>
  <c r="G116" i="1"/>
  <c r="F116" i="1"/>
  <c r="E116" i="1"/>
  <c r="D116" i="1"/>
  <c r="B116" i="1"/>
  <c r="P115" i="1"/>
  <c r="O115" i="1"/>
  <c r="N115" i="1"/>
  <c r="M115" i="1"/>
  <c r="L115" i="1"/>
  <c r="K115" i="1"/>
  <c r="I115" i="1"/>
  <c r="H115" i="1"/>
  <c r="G115" i="1"/>
  <c r="F115" i="1"/>
  <c r="E115" i="1"/>
  <c r="D115" i="1"/>
  <c r="B115" i="1"/>
  <c r="P114" i="1"/>
  <c r="O114" i="1"/>
  <c r="N114" i="1"/>
  <c r="M114" i="1"/>
  <c r="L114" i="1"/>
  <c r="K114" i="1"/>
  <c r="I114" i="1"/>
  <c r="H114" i="1"/>
  <c r="G114" i="1"/>
  <c r="F114" i="1"/>
  <c r="E114" i="1"/>
  <c r="D114" i="1"/>
  <c r="B114" i="1"/>
  <c r="P113" i="1"/>
  <c r="O113" i="1"/>
  <c r="N113" i="1"/>
  <c r="M113" i="1"/>
  <c r="L113" i="1"/>
  <c r="K113" i="1"/>
  <c r="I113" i="1"/>
  <c r="H113" i="1"/>
  <c r="G113" i="1"/>
  <c r="F113" i="1"/>
  <c r="E113" i="1"/>
  <c r="D113" i="1"/>
  <c r="B113" i="1"/>
  <c r="P112" i="1"/>
  <c r="O112" i="1"/>
  <c r="N112" i="1"/>
  <c r="M112" i="1"/>
  <c r="L112" i="1"/>
  <c r="K112" i="1"/>
  <c r="I112" i="1"/>
  <c r="H112" i="1"/>
  <c r="G112" i="1"/>
  <c r="F112" i="1"/>
  <c r="E112" i="1"/>
  <c r="D112" i="1"/>
  <c r="B112" i="1"/>
  <c r="P111" i="1"/>
  <c r="O111" i="1"/>
  <c r="N111" i="1"/>
  <c r="M111" i="1"/>
  <c r="L111" i="1"/>
  <c r="K111" i="1"/>
  <c r="I111" i="1"/>
  <c r="H111" i="1"/>
  <c r="G111" i="1"/>
  <c r="F111" i="1"/>
  <c r="E111" i="1"/>
  <c r="D111" i="1"/>
  <c r="B111" i="1"/>
  <c r="P110" i="1"/>
  <c r="O110" i="1"/>
  <c r="N110" i="1"/>
  <c r="M110" i="1"/>
  <c r="L110" i="1"/>
  <c r="K110" i="1"/>
  <c r="I110" i="1"/>
  <c r="H110" i="1"/>
  <c r="G110" i="1"/>
  <c r="F110" i="1"/>
  <c r="E110" i="1"/>
  <c r="D110" i="1"/>
  <c r="B110" i="1"/>
  <c r="P109" i="1"/>
  <c r="O109" i="1"/>
  <c r="N109" i="1"/>
  <c r="M109" i="1"/>
  <c r="L109" i="1"/>
  <c r="K109" i="1"/>
  <c r="I109" i="1"/>
  <c r="H109" i="1"/>
  <c r="G109" i="1"/>
  <c r="F109" i="1"/>
  <c r="E109" i="1"/>
  <c r="D109" i="1"/>
  <c r="B109" i="1"/>
  <c r="P108" i="1"/>
  <c r="O108" i="1"/>
  <c r="N108" i="1"/>
  <c r="M108" i="1"/>
  <c r="L108" i="1"/>
  <c r="K108" i="1"/>
  <c r="I108" i="1"/>
  <c r="H108" i="1"/>
  <c r="G108" i="1"/>
  <c r="F108" i="1"/>
  <c r="E108" i="1"/>
  <c r="D108" i="1"/>
  <c r="B108" i="1"/>
  <c r="P107" i="1"/>
  <c r="O107" i="1"/>
  <c r="N107" i="1"/>
  <c r="M107" i="1"/>
  <c r="L107" i="1"/>
  <c r="K107" i="1"/>
  <c r="I107" i="1"/>
  <c r="H107" i="1"/>
  <c r="G107" i="1"/>
  <c r="F107" i="1"/>
  <c r="E107" i="1"/>
  <c r="D107" i="1"/>
  <c r="B107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B106" i="1"/>
  <c r="P105" i="1"/>
  <c r="O105" i="1"/>
  <c r="N105" i="1"/>
  <c r="M105" i="1"/>
  <c r="L105" i="1"/>
  <c r="K105" i="1"/>
  <c r="I105" i="1"/>
  <c r="H105" i="1"/>
  <c r="G105" i="1"/>
  <c r="F105" i="1"/>
  <c r="E105" i="1"/>
  <c r="D105" i="1"/>
  <c r="B105" i="1"/>
  <c r="P104" i="1"/>
  <c r="O104" i="1"/>
  <c r="N104" i="1"/>
  <c r="M104" i="1"/>
  <c r="L104" i="1"/>
  <c r="K104" i="1"/>
  <c r="I104" i="1"/>
  <c r="H104" i="1"/>
  <c r="G104" i="1"/>
  <c r="F104" i="1"/>
  <c r="E104" i="1"/>
  <c r="D104" i="1"/>
  <c r="B104" i="1"/>
  <c r="P103" i="1"/>
  <c r="O103" i="1"/>
  <c r="N103" i="1"/>
  <c r="M103" i="1"/>
  <c r="L103" i="1"/>
  <c r="K103" i="1"/>
  <c r="I103" i="1"/>
  <c r="H103" i="1"/>
  <c r="G103" i="1"/>
  <c r="F103" i="1"/>
  <c r="E103" i="1"/>
  <c r="D103" i="1"/>
  <c r="B103" i="1"/>
  <c r="P102" i="1"/>
  <c r="O102" i="1"/>
  <c r="N102" i="1"/>
  <c r="M102" i="1"/>
  <c r="L102" i="1"/>
  <c r="K102" i="1"/>
  <c r="I102" i="1"/>
  <c r="H102" i="1"/>
  <c r="G102" i="1"/>
  <c r="F102" i="1"/>
  <c r="E102" i="1"/>
  <c r="D102" i="1"/>
  <c r="B102" i="1"/>
  <c r="P101" i="1"/>
  <c r="O101" i="1"/>
  <c r="N101" i="1"/>
  <c r="M101" i="1"/>
  <c r="L101" i="1"/>
  <c r="K101" i="1"/>
  <c r="I101" i="1"/>
  <c r="H101" i="1"/>
  <c r="G101" i="1"/>
  <c r="F101" i="1"/>
  <c r="E101" i="1"/>
  <c r="D101" i="1"/>
  <c r="B101" i="1"/>
  <c r="P100" i="1"/>
  <c r="O100" i="1"/>
  <c r="N100" i="1"/>
  <c r="M100" i="1"/>
  <c r="L100" i="1"/>
  <c r="K100" i="1"/>
  <c r="I100" i="1"/>
  <c r="H100" i="1"/>
  <c r="G100" i="1"/>
  <c r="F100" i="1"/>
  <c r="E100" i="1"/>
  <c r="D100" i="1"/>
  <c r="B100" i="1"/>
  <c r="P99" i="1"/>
  <c r="O99" i="1"/>
  <c r="N99" i="1"/>
  <c r="M99" i="1"/>
  <c r="L99" i="1"/>
  <c r="K99" i="1"/>
  <c r="I99" i="1"/>
  <c r="H99" i="1"/>
  <c r="G99" i="1"/>
  <c r="F99" i="1"/>
  <c r="E99" i="1"/>
  <c r="D99" i="1"/>
  <c r="B99" i="1"/>
  <c r="P98" i="1"/>
  <c r="O98" i="1"/>
  <c r="N98" i="1"/>
  <c r="M98" i="1"/>
  <c r="L98" i="1"/>
  <c r="K98" i="1"/>
  <c r="I98" i="1"/>
  <c r="H98" i="1"/>
  <c r="G98" i="1"/>
  <c r="F98" i="1"/>
  <c r="E98" i="1"/>
  <c r="D98" i="1"/>
  <c r="B98" i="1"/>
  <c r="P97" i="1"/>
  <c r="O97" i="1"/>
  <c r="N97" i="1"/>
  <c r="M97" i="1"/>
  <c r="L97" i="1"/>
  <c r="K97" i="1"/>
  <c r="I97" i="1"/>
  <c r="H97" i="1"/>
  <c r="G97" i="1"/>
  <c r="F97" i="1"/>
  <c r="E97" i="1"/>
  <c r="D97" i="1"/>
  <c r="B97" i="1"/>
  <c r="P96" i="1"/>
  <c r="O96" i="1"/>
  <c r="N96" i="1"/>
  <c r="M96" i="1"/>
  <c r="L96" i="1"/>
  <c r="K96" i="1"/>
  <c r="I96" i="1"/>
  <c r="H96" i="1"/>
  <c r="G96" i="1"/>
  <c r="F96" i="1"/>
  <c r="E96" i="1"/>
  <c r="D96" i="1"/>
  <c r="B96" i="1"/>
  <c r="P95" i="1"/>
  <c r="O95" i="1"/>
  <c r="N95" i="1"/>
  <c r="M95" i="1"/>
  <c r="L95" i="1"/>
  <c r="K95" i="1"/>
  <c r="I95" i="1"/>
  <c r="H95" i="1"/>
  <c r="G95" i="1"/>
  <c r="F95" i="1"/>
  <c r="E95" i="1"/>
  <c r="D95" i="1"/>
  <c r="B95" i="1"/>
  <c r="P94" i="1"/>
  <c r="O94" i="1"/>
  <c r="N94" i="1"/>
  <c r="M94" i="1"/>
  <c r="L94" i="1"/>
  <c r="K94" i="1"/>
  <c r="I94" i="1"/>
  <c r="H94" i="1"/>
  <c r="G94" i="1"/>
  <c r="F94" i="1"/>
  <c r="E94" i="1"/>
  <c r="D94" i="1"/>
  <c r="B94" i="1"/>
  <c r="P93" i="1"/>
  <c r="O93" i="1"/>
  <c r="N93" i="1"/>
  <c r="M93" i="1"/>
  <c r="L93" i="1"/>
  <c r="K93" i="1"/>
  <c r="I93" i="1"/>
  <c r="H93" i="1"/>
  <c r="G93" i="1"/>
  <c r="F93" i="1"/>
  <c r="E93" i="1"/>
  <c r="D93" i="1"/>
  <c r="B93" i="1"/>
  <c r="P92" i="1"/>
  <c r="O92" i="1"/>
  <c r="N92" i="1"/>
  <c r="M92" i="1"/>
  <c r="L92" i="1"/>
  <c r="K92" i="1"/>
  <c r="I92" i="1"/>
  <c r="H92" i="1"/>
  <c r="G92" i="1"/>
  <c r="F92" i="1"/>
  <c r="E92" i="1"/>
  <c r="D92" i="1"/>
  <c r="B92" i="1"/>
  <c r="P91" i="1"/>
  <c r="O91" i="1"/>
  <c r="N91" i="1"/>
  <c r="M91" i="1"/>
  <c r="L91" i="1"/>
  <c r="K91" i="1"/>
  <c r="I91" i="1"/>
  <c r="H91" i="1"/>
  <c r="G91" i="1"/>
  <c r="F91" i="1"/>
  <c r="E91" i="1"/>
  <c r="D91" i="1"/>
  <c r="B91" i="1"/>
  <c r="P90" i="1"/>
  <c r="O90" i="1"/>
  <c r="N90" i="1"/>
  <c r="M90" i="1"/>
  <c r="L90" i="1"/>
  <c r="K90" i="1"/>
  <c r="I90" i="1"/>
  <c r="H90" i="1"/>
  <c r="G90" i="1"/>
  <c r="F90" i="1"/>
  <c r="E90" i="1"/>
  <c r="D90" i="1"/>
  <c r="B90" i="1"/>
  <c r="P89" i="1"/>
  <c r="O89" i="1"/>
  <c r="N89" i="1"/>
  <c r="M89" i="1"/>
  <c r="L89" i="1"/>
  <c r="K89" i="1"/>
  <c r="I89" i="1"/>
  <c r="H89" i="1"/>
  <c r="G89" i="1"/>
  <c r="F89" i="1"/>
  <c r="E89" i="1"/>
  <c r="D89" i="1"/>
  <c r="B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2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<sst xmlns="http://schemas.openxmlformats.org/spreadsheetml/2006/main" count="96" uniqueCount="94">
  <si>
    <t>No</t>
  </si>
  <si>
    <t>prov</t>
  </si>
  <si>
    <t>kab_kota</t>
  </si>
  <si>
    <t>TPT_2023</t>
  </si>
  <si>
    <t>TPT_2024</t>
  </si>
  <si>
    <t>TPAK_2023</t>
  </si>
  <si>
    <t>TPAK_2024</t>
  </si>
  <si>
    <t>JAWA BARAT</t>
  </si>
  <si>
    <t>Kota Cimahi</t>
  </si>
  <si>
    <t>BALI</t>
  </si>
  <si>
    <t>SULAWESI BARAT</t>
  </si>
  <si>
    <t>Kabupaten Mamasa</t>
  </si>
  <si>
    <t>RIAU</t>
  </si>
  <si>
    <t>Pekanbaru</t>
  </si>
  <si>
    <t>DKI JAKARTA</t>
  </si>
  <si>
    <t>Kepulauan Seribu</t>
  </si>
  <si>
    <t>JAWA TIMUR</t>
  </si>
  <si>
    <t>Kabupaten Sumenep</t>
  </si>
  <si>
    <t>NUSA TENGGARA TIMUR</t>
  </si>
  <si>
    <t>Timor Tengah Utara</t>
  </si>
  <si>
    <t>BANTEN</t>
  </si>
  <si>
    <t>KALIMANTAN BARAT</t>
  </si>
  <si>
    <t>Kota Pontianak</t>
  </si>
  <si>
    <t>Kota Dumai</t>
  </si>
  <si>
    <t>Kota Binjai</t>
  </si>
  <si>
    <t>Kota Medan</t>
  </si>
  <si>
    <t>Kota Pematangsiantar</t>
  </si>
  <si>
    <t>Kota Tebing Tinggi</t>
  </si>
  <si>
    <t>Kota Gunungsitoli</t>
  </si>
  <si>
    <t>Pasangkayu</t>
  </si>
  <si>
    <t>Mamuju</t>
  </si>
  <si>
    <t>Mamuju Tengah</t>
  </si>
  <si>
    <t>Mamasa</t>
  </si>
  <si>
    <t>Polewali Mandar</t>
  </si>
  <si>
    <t>Majene</t>
  </si>
  <si>
    <t>Tojo Una Una</t>
  </si>
  <si>
    <t>Toli Toli</t>
  </si>
  <si>
    <t>Kota Tidore Kepulauan</t>
  </si>
  <si>
    <t>Fak Fak</t>
  </si>
  <si>
    <t>Kota Makassar</t>
  </si>
  <si>
    <t>Kota Balikpapan</t>
  </si>
  <si>
    <t>Kota Tarakan</t>
  </si>
  <si>
    <t>Kota Adm. Jakarta Selatan</t>
  </si>
  <si>
    <t>Kota Adm. Jakarta Timur</t>
  </si>
  <si>
    <t>Kota Adm. Jakarta Pusat</t>
  </si>
  <si>
    <t>Kota Adm. Jakarta Barat</t>
  </si>
  <si>
    <t>Kota Adm. Jakarta Utara</t>
  </si>
  <si>
    <t>Tangerang</t>
  </si>
  <si>
    <t>Pandeglang</t>
  </si>
  <si>
    <t>Lebak</t>
  </si>
  <si>
    <t>Serang</t>
  </si>
  <si>
    <t>Adm. Kep. Seribu</t>
  </si>
  <si>
    <t>Kota Palangkaraya</t>
  </si>
  <si>
    <t>Kota Samarinda</t>
  </si>
  <si>
    <t>Banyuasin</t>
  </si>
  <si>
    <t>Batanghari</t>
  </si>
  <si>
    <t>Kota Lubuk Linggau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</si>
  <si>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</si>
  <si>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</si>
  <si>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</si>
  <si>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</si>
  <si>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</si>
  <si>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</si>
  <si>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</si>
  <si>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</si>
  <si>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Kep. Mentawai</t>
  </si>
  <si>
    <t>Solok Selatan</t>
  </si>
  <si>
    <t>Dharmasraya</t>
  </si>
  <si>
    <t>Pasaman Barat</t>
  </si>
  <si>
    <t>Kota Pekanbaru</t>
  </si>
  <si>
    <t>Kota Batam</t>
  </si>
  <si>
    <t>Kota Tanjungpinang</t>
  </si>
  <si>
    <t>Labuhanbatu</t>
  </si>
  <si>
    <t>Muko Muko</t>
  </si>
  <si>
    <t>Kota Banjarbaru</t>
  </si>
  <si>
    <t>Labuhanbatu Utara</t>
  </si>
  <si>
    <t>Kota Palopo</t>
  </si>
  <si>
    <t>Kota Parepare</t>
  </si>
  <si>
    <t>Sidenreng Rappang</t>
  </si>
  <si>
    <t>ID</t>
  </si>
  <si>
    <t>Badung</t>
  </si>
  <si>
    <t>Bangli</t>
  </si>
  <si>
    <t>Kota Metro</t>
  </si>
  <si>
    <t>Kota Bandar Lampung</t>
  </si>
  <si>
    <t>Kota Pangkal Pinang</t>
  </si>
  <si>
    <t>Kota Gorontalo</t>
  </si>
  <si>
    <t>Kota Ambon</t>
  </si>
  <si>
    <t>Kota Ternate</t>
  </si>
  <si>
    <t>Kota Padang Sidempuan</t>
  </si>
  <si>
    <t>Kota Tanjung Balai</t>
  </si>
  <si>
    <t>Kota Bontang</t>
  </si>
  <si>
    <t>Kota Tual</t>
  </si>
  <si>
    <t>Pangkajene Kepulauan</t>
  </si>
  <si>
    <t>Kepulauan Siau Tagulandang Biaro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</si>
</sst>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/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topLeftCell="B133" zoomScale="151" workbookViewId="0">
      <selection activeCell="C141" sqref="C141"/>
    </sheetView>
  </sheetViews>
  <sheetFormatPr defaultColWidth="12.6640625" defaultRowHeight="15" customHeight="1" x14ac:dyDescent="0.25"/>
  <cols>
    <col min="1" max="1" width="5" bestFit="1" customWidth="1"/>
    <col min="2" max="2" width="21.33203125" customWidth="1"/>
    <col min="3" max="3" width="22.77734375" customWidth="1"/>
    <col min="4" max="17" width="10.88671875" customWidth="1"/>
  </cols>
  <sheetData>
    <row r="1" spans="1:17" ht="15.75" customHeight="1" x14ac:dyDescent="0.25">
      <c r="A1" s="1" t="s">
        <v>79</v>
      </c>
      <c r="B1" s="1" t="str">
        <f ca="1">IFERROR(__xludf.DUMMYFUNCTION("""COMPUTED_VALUE"""),"prov")</f>
        <v>prov</v>
      </c>
      <c r="C1" s="1" t="str">
        <f ca="1">IFERROR(__xludf.DUMMYFUNCTION("""COMPUTED_VALUE"""),"kab_kota")</f>
        <v>kab_kota</v>
      </c>
      <c r="D1" s="1" t="str">
        <f ca="1">IFERROR(__xludf.DUMMYFUNCTION("""COMPUTED_VALUE"""),"TPT_2018")</f>
        <v>TPT_2018</v>
      </c>
      <c r="E1" s="1" t="str">
        <f ca="1">IFERROR(__xludf.DUMMYFUNCTION("""COMPUTED_VALUE"""),"TPT_2019")</f>
        <v>TPT_2019</v>
      </c>
      <c r="F1" s="1" t="str">
        <f ca="1">IFERROR(__xludf.DUMMYFUNCTION("""COMPUTED_VALUE"""),"TPT_2020")</f>
        <v>TPT_2020</v>
      </c>
      <c r="G1" s="1" t="str">
        <f ca="1">IFERROR(__xludf.DUMMYFUNCTION("""COMPUTED_VALUE"""),"TPT_2021")</f>
        <v>TPT_2021</v>
      </c>
      <c r="H1" s="1" t="str">
        <f ca="1">IFERROR(__xludf.DUMMYFUNCTION("""COMPUTED_VALUE"""),"TPT_2022")</f>
        <v>TPT_2022</v>
      </c>
      <c r="I1" s="1" t="str">
        <f ca="1">IFERROR(__xludf.DUMMYFUNCTION("""COMPUTED_VALUE"""),"TPT_2023")</f>
        <v>TPT_2023</v>
      </c>
      <c r="J1" s="1" t="str">
        <f ca="1">IFERROR(__xludf.DUMMYFUNCTION("""COMPUTED_VALUE"""),"TPT_2024")</f>
        <v>TPT_2024</v>
      </c>
      <c r="K1" s="1" t="str">
        <f ca="1">IFERROR(__xludf.DUMMYFUNCTION("""COMPUTED_VALUE"""),"TPAK_2018")</f>
        <v>TPAK_2018</v>
      </c>
      <c r="L1" s="1" t="str">
        <f ca="1">IFERROR(__xludf.DUMMYFUNCTION("""COMPUTED_VALUE"""),"TPAK_2019")</f>
        <v>TPAK_2019</v>
      </c>
      <c r="M1" s="1" t="str">
        <f ca="1">IFERROR(__xludf.DUMMYFUNCTION("""COMPUTED_VALUE"""),"TPAK_2020")</f>
        <v>TPAK_2020</v>
      </c>
      <c r="N1" s="1" t="str">
        <f ca="1">IFERROR(__xludf.DUMMYFUNCTION("""COMPUTED_VALUE"""),"TPAK_2021")</f>
        <v>TPAK_2021</v>
      </c>
      <c r="O1" s="1" t="str">
        <f ca="1">IFERROR(__xludf.DUMMYFUNCTION("""COMPUTED_VALUE"""),"TPAK_2022")</f>
        <v>TPAK_2022</v>
      </c>
      <c r="P1" s="1" t="str">
        <f ca="1">IFERROR(__xludf.DUMMYFUNCTION("""COMPUTED_VALUE"""),"TPAK_2023")</f>
        <v>TPAK_2023</v>
      </c>
      <c r="Q1" s="1" t="str">
        <f ca="1">IFERROR(__xludf.DUMMYFUNCTION("""COMPUTED_VALUE"""),"TPAK_2024")</f>
        <v>TPAK_2024</v>
      </c>
    </row>
    <row r="2" spans="1:17" ht="15.75" customHeight="1" x14ac:dyDescent="0.25">
      <c r="A2" s="2">
        <v>1101</v>
      </c>
      <c r="B2" s="2" t="str">
        <f ca="1">IFERROR(__xludf.DUMMYFUNCTION("""COMPUTED_VALUE"""),"ACEH")</f>
        <v>ACEH</v>
      </c>
      <c r="C2" s="2" t="str">
        <f ca="1">IFERROR(__xludf.DUMMYFUNCTION("""COMPUTED_VALUE"""),"Simeulue")</f>
        <v>Simeulue</v>
      </c>
      <c r="D2" s="2">
        <f ca="1">IFERROR(__xludf.DUMMYFUNCTION("""COMPUTED_VALUE"""),4.95)</f>
        <v>4.95</v>
      </c>
      <c r="E2" s="2">
        <f ca="1">IFERROR(__xludf.DUMMYFUNCTION("""COMPUTED_VALUE"""),5.82)</f>
        <v>5.82</v>
      </c>
      <c r="F2" s="2">
        <f ca="1">IFERROR(__xludf.DUMMYFUNCTION("""COMPUTED_VALUE"""),5.47)</f>
        <v>5.47</v>
      </c>
      <c r="G2" s="2">
        <f ca="1">IFERROR(__xludf.DUMMYFUNCTION("""COMPUTED_VALUE"""),5.71)</f>
        <v>5.71</v>
      </c>
      <c r="H2" s="2">
        <f ca="1">IFERROR(__xludf.DUMMYFUNCTION("""COMPUTED_VALUE"""),6)</f>
        <v>6</v>
      </c>
      <c r="I2" s="2">
        <f ca="1">IFERROR(__xludf.DUMMYFUNCTION("""COMPUTED_VALUE"""),5.85)</f>
        <v>5.85</v>
      </c>
      <c r="J2" s="2">
        <f ca="1">IFERROR(__xludf.DUMMYFUNCTION("""COMPUTED_VALUE"""),5.5)</f>
        <v>5.5</v>
      </c>
      <c r="K2" s="2">
        <f ca="1">IFERROR(__xludf.DUMMYFUNCTION("""COMPUTED_VALUE"""),64.37)</f>
        <v>64.37</v>
      </c>
      <c r="L2" s="2">
        <f ca="1">IFERROR(__xludf.DUMMYFUNCTION("""COMPUTED_VALUE"""),62.5)</f>
        <v>62.5</v>
      </c>
      <c r="M2" s="2">
        <f ca="1">IFERROR(__xludf.DUMMYFUNCTION("""COMPUTED_VALUE"""),70.37)</f>
        <v>70.37</v>
      </c>
      <c r="N2" s="2">
        <f ca="1">IFERROR(__xludf.DUMMYFUNCTION("""COMPUTED_VALUE"""),71.15)</f>
        <v>71.150000000000006</v>
      </c>
      <c r="O2" s="2">
        <f ca="1">IFERROR(__xludf.DUMMYFUNCTION("""COMPUTED_VALUE"""),64.44)</f>
        <v>64.44</v>
      </c>
      <c r="P2" s="2">
        <f ca="1">IFERROR(__xludf.DUMMYFUNCTION("""COMPUTED_VALUE"""),70.57)</f>
        <v>70.569999999999993</v>
      </c>
      <c r="Q2" s="2">
        <f ca="1">IFERROR(__xludf.DUMMYFUNCTION("""COMPUTED_VALUE"""),71.08)</f>
        <v>71.08</v>
      </c>
    </row>
    <row r="3" spans="1:17" ht="15.75" customHeight="1" x14ac:dyDescent="0.25">
      <c r="A3" s="2">
        <v>1102</v>
      </c>
      <c r="B3" s="2" t="str">
        <f ca="1">IFERROR(__xludf.DUMMYFUNCTION("""COMPUTED_VALUE"""),"ACEH")</f>
        <v>ACEH</v>
      </c>
      <c r="C3" s="2" t="str">
        <f ca="1">IFERROR(__xludf.DUMMYFUNCTION("""COMPUTED_VALUE"""),"Aceh Singkil")</f>
        <v>Aceh Singkil</v>
      </c>
      <c r="D3" s="2">
        <f ca="1">IFERROR(__xludf.DUMMYFUNCTION("""COMPUTED_VALUE"""),7.96)</f>
        <v>7.96</v>
      </c>
      <c r="E3" s="2">
        <f ca="1">IFERROR(__xludf.DUMMYFUNCTION("""COMPUTED_VALUE"""),8.58)</f>
        <v>8.58</v>
      </c>
      <c r="F3" s="2">
        <f ca="1">IFERROR(__xludf.DUMMYFUNCTION("""COMPUTED_VALUE"""),8.24)</f>
        <v>8.24</v>
      </c>
      <c r="G3" s="2">
        <f ca="1">IFERROR(__xludf.DUMMYFUNCTION("""COMPUTED_VALUE"""),8.36)</f>
        <v>8.36</v>
      </c>
      <c r="H3" s="2">
        <f ca="1">IFERROR(__xludf.DUMMYFUNCTION("""COMPUTED_VALUE"""),6.88)</f>
        <v>6.88</v>
      </c>
      <c r="I3" s="2">
        <f ca="1">IFERROR(__xludf.DUMMYFUNCTION("""COMPUTED_VALUE"""),6.84)</f>
        <v>6.84</v>
      </c>
      <c r="J3" s="2">
        <f ca="1">IFERROR(__xludf.DUMMYFUNCTION("""COMPUTED_VALUE"""),6.44)</f>
        <v>6.44</v>
      </c>
      <c r="K3" s="2">
        <f ca="1">IFERROR(__xludf.DUMMYFUNCTION("""COMPUTED_VALUE"""),63.11)</f>
        <v>63.11</v>
      </c>
      <c r="L3" s="2">
        <f ca="1">IFERROR(__xludf.DUMMYFUNCTION("""COMPUTED_VALUE"""),59.09)</f>
        <v>59.09</v>
      </c>
      <c r="M3" s="2">
        <f ca="1">IFERROR(__xludf.DUMMYFUNCTION("""COMPUTED_VALUE"""),61.97)</f>
        <v>61.97</v>
      </c>
      <c r="N3" s="2">
        <f ca="1">IFERROR(__xludf.DUMMYFUNCTION("""COMPUTED_VALUE"""),62.85)</f>
        <v>62.85</v>
      </c>
      <c r="O3" s="2">
        <f ca="1">IFERROR(__xludf.DUMMYFUNCTION("""COMPUTED_VALUE"""),57.33)</f>
        <v>57.33</v>
      </c>
      <c r="P3" s="2">
        <f ca="1">IFERROR(__xludf.DUMMYFUNCTION("""COMPUTED_VALUE"""),57.81)</f>
        <v>57.81</v>
      </c>
      <c r="Q3" s="2">
        <f ca="1">IFERROR(__xludf.DUMMYFUNCTION("""COMPUTED_VALUE"""),57.82)</f>
        <v>57.82</v>
      </c>
    </row>
    <row r="4" spans="1:17" ht="15.75" customHeight="1" x14ac:dyDescent="0.25">
      <c r="A4" s="2">
        <v>1103</v>
      </c>
      <c r="B4" s="2" t="str">
        <f ca="1">IFERROR(__xludf.DUMMYFUNCTION("""COMPUTED_VALUE"""),"ACEH")</f>
        <v>ACEH</v>
      </c>
      <c r="C4" s="2" t="str">
        <f ca="1">IFERROR(__xludf.DUMMYFUNCTION("""COMPUTED_VALUE"""),"Aceh Selatan")</f>
        <v>Aceh Selatan</v>
      </c>
      <c r="D4" s="2">
        <f ca="1">IFERROR(__xludf.DUMMYFUNCTION("""COMPUTED_VALUE"""),6.03)</f>
        <v>6.03</v>
      </c>
      <c r="E4" s="2">
        <f ca="1">IFERROR(__xludf.DUMMYFUNCTION("""COMPUTED_VALUE"""),6.54)</f>
        <v>6.54</v>
      </c>
      <c r="F4" s="2">
        <f ca="1">IFERROR(__xludf.DUMMYFUNCTION("""COMPUTED_VALUE"""),6.54)</f>
        <v>6.54</v>
      </c>
      <c r="G4" s="2">
        <f ca="1">IFERROR(__xludf.DUMMYFUNCTION("""COMPUTED_VALUE"""),6.46)</f>
        <v>6.46</v>
      </c>
      <c r="H4" s="2">
        <f ca="1">IFERROR(__xludf.DUMMYFUNCTION("""COMPUTED_VALUE"""),4.82)</f>
        <v>4.82</v>
      </c>
      <c r="I4" s="2">
        <f ca="1">IFERROR(__xludf.DUMMYFUNCTION("""COMPUTED_VALUE"""),4.73)</f>
        <v>4.7300000000000004</v>
      </c>
      <c r="J4" s="2">
        <f ca="1">IFERROR(__xludf.DUMMYFUNCTION("""COMPUTED_VALUE"""),4.56)</f>
        <v>4.5599999999999996</v>
      </c>
      <c r="K4" s="2">
        <f ca="1">IFERROR(__xludf.DUMMYFUNCTION("""COMPUTED_VALUE"""),65.42)</f>
        <v>65.42</v>
      </c>
      <c r="L4" s="2">
        <f ca="1">IFERROR(__xludf.DUMMYFUNCTION("""COMPUTED_VALUE"""),59)</f>
        <v>59</v>
      </c>
      <c r="M4" s="2">
        <f ca="1">IFERROR(__xludf.DUMMYFUNCTION("""COMPUTED_VALUE"""),61.41)</f>
        <v>61.41</v>
      </c>
      <c r="N4" s="2">
        <f ca="1">IFERROR(__xludf.DUMMYFUNCTION("""COMPUTED_VALUE"""),60.85)</f>
        <v>60.85</v>
      </c>
      <c r="O4" s="2">
        <f ca="1">IFERROR(__xludf.DUMMYFUNCTION("""COMPUTED_VALUE"""),60.69)</f>
        <v>60.69</v>
      </c>
      <c r="P4" s="2">
        <f ca="1">IFERROR(__xludf.DUMMYFUNCTION("""COMPUTED_VALUE"""),58.87)</f>
        <v>58.87</v>
      </c>
      <c r="Q4" s="2">
        <f ca="1">IFERROR(__xludf.DUMMYFUNCTION("""COMPUTED_VALUE"""),59.24)</f>
        <v>59.24</v>
      </c>
    </row>
    <row r="5" spans="1:17" ht="15.75" customHeight="1" x14ac:dyDescent="0.25">
      <c r="A5" s="2">
        <v>1104</v>
      </c>
      <c r="B5" s="2" t="str">
        <f ca="1">IFERROR(__xludf.DUMMYFUNCTION("""COMPUTED_VALUE"""),"ACEH")</f>
        <v>ACEH</v>
      </c>
      <c r="C5" s="2" t="str">
        <f ca="1">IFERROR(__xludf.DUMMYFUNCTION("""COMPUTED_VALUE"""),"Aceh Tenggara")</f>
        <v>Aceh Tenggara</v>
      </c>
      <c r="D5" s="2">
        <f ca="1">IFERROR(__xludf.DUMMYFUNCTION("""COMPUTED_VALUE"""),3.75)</f>
        <v>3.75</v>
      </c>
      <c r="E5" s="2">
        <f ca="1">IFERROR(__xludf.DUMMYFUNCTION("""COMPUTED_VALUE"""),3.45)</f>
        <v>3.45</v>
      </c>
      <c r="F5" s="2">
        <f ca="1">IFERROR(__xludf.DUMMYFUNCTION("""COMPUTED_VALUE"""),5.72)</f>
        <v>5.72</v>
      </c>
      <c r="G5" s="2">
        <f ca="1">IFERROR(__xludf.DUMMYFUNCTION("""COMPUTED_VALUE"""),6.43)</f>
        <v>6.43</v>
      </c>
      <c r="H5" s="2">
        <f ca="1">IFERROR(__xludf.DUMMYFUNCTION("""COMPUTED_VALUE"""),5.09)</f>
        <v>5.09</v>
      </c>
      <c r="I5" s="2">
        <f ca="1">IFERROR(__xludf.DUMMYFUNCTION("""COMPUTED_VALUE"""),5)</f>
        <v>5</v>
      </c>
      <c r="J5" s="2">
        <f ca="1">IFERROR(__xludf.DUMMYFUNCTION("""COMPUTED_VALUE"""),4.79)</f>
        <v>4.79</v>
      </c>
      <c r="K5" s="2">
        <f ca="1">IFERROR(__xludf.DUMMYFUNCTION("""COMPUTED_VALUE"""),72.81)</f>
        <v>72.81</v>
      </c>
      <c r="L5" s="2">
        <f ca="1">IFERROR(__xludf.DUMMYFUNCTION("""COMPUTED_VALUE"""),67.41)</f>
        <v>67.41</v>
      </c>
      <c r="M5" s="2">
        <f ca="1">IFERROR(__xludf.DUMMYFUNCTION("""COMPUTED_VALUE"""),71.33)</f>
        <v>71.33</v>
      </c>
      <c r="N5" s="2">
        <f ca="1">IFERROR(__xludf.DUMMYFUNCTION("""COMPUTED_VALUE"""),69.62)</f>
        <v>69.62</v>
      </c>
      <c r="O5" s="2">
        <f ca="1">IFERROR(__xludf.DUMMYFUNCTION("""COMPUTED_VALUE"""),67.82)</f>
        <v>67.819999999999993</v>
      </c>
      <c r="P5" s="2">
        <f ca="1">IFERROR(__xludf.DUMMYFUNCTION("""COMPUTED_VALUE"""),70.43)</f>
        <v>70.430000000000007</v>
      </c>
      <c r="Q5" s="2">
        <f ca="1">IFERROR(__xludf.DUMMYFUNCTION("""COMPUTED_VALUE"""),70.51)</f>
        <v>70.510000000000005</v>
      </c>
    </row>
    <row r="6" spans="1:17" ht="15.75" customHeight="1" x14ac:dyDescent="0.25">
      <c r="A6" s="2">
        <v>1105</v>
      </c>
      <c r="B6" s="2" t="str">
        <f ca="1">IFERROR(__xludf.DUMMYFUNCTION("""COMPUTED_VALUE"""),"ACEH")</f>
        <v>ACEH</v>
      </c>
      <c r="C6" s="2" t="str">
        <f ca="1">IFERROR(__xludf.DUMMYFUNCTION("""COMPUTED_VALUE"""),"Aceh Timur")</f>
        <v>Aceh Timur</v>
      </c>
      <c r="D6" s="2">
        <f ca="1">IFERROR(__xludf.DUMMYFUNCTION("""COMPUTED_VALUE"""),6.92)</f>
        <v>6.92</v>
      </c>
      <c r="E6" s="2">
        <f ca="1">IFERROR(__xludf.DUMMYFUNCTION("""COMPUTED_VALUE"""),7.61)</f>
        <v>7.61</v>
      </c>
      <c r="F6" s="2">
        <f ca="1">IFERROR(__xludf.DUMMYFUNCTION("""COMPUTED_VALUE"""),7.26)</f>
        <v>7.26</v>
      </c>
      <c r="G6" s="2">
        <f ca="1">IFERROR(__xludf.DUMMYFUNCTION("""COMPUTED_VALUE"""),7.13)</f>
        <v>7.13</v>
      </c>
      <c r="H6" s="2">
        <f ca="1">IFERROR(__xludf.DUMMYFUNCTION("""COMPUTED_VALUE"""),8.07)</f>
        <v>8.07</v>
      </c>
      <c r="I6" s="2">
        <f ca="1">IFERROR(__xludf.DUMMYFUNCTION("""COMPUTED_VALUE"""),8.03)</f>
        <v>8.0299999999999994</v>
      </c>
      <c r="J6" s="2">
        <f ca="1">IFERROR(__xludf.DUMMYFUNCTION("""COMPUTED_VALUE"""),7.75)</f>
        <v>7.75</v>
      </c>
      <c r="K6" s="2">
        <f ca="1">IFERROR(__xludf.DUMMYFUNCTION("""COMPUTED_VALUE"""),65.75)</f>
        <v>65.75</v>
      </c>
      <c r="L6" s="2">
        <f ca="1">IFERROR(__xludf.DUMMYFUNCTION("""COMPUTED_VALUE"""),59.37)</f>
        <v>59.37</v>
      </c>
      <c r="M6" s="2">
        <f ca="1">IFERROR(__xludf.DUMMYFUNCTION("""COMPUTED_VALUE"""),61.92)</f>
        <v>61.92</v>
      </c>
      <c r="N6" s="2">
        <f ca="1">IFERROR(__xludf.DUMMYFUNCTION("""COMPUTED_VALUE"""),59.48)</f>
        <v>59.48</v>
      </c>
      <c r="O6" s="2">
        <f ca="1">IFERROR(__xludf.DUMMYFUNCTION("""COMPUTED_VALUE"""),58.45)</f>
        <v>58.45</v>
      </c>
      <c r="P6" s="2">
        <f ca="1">IFERROR(__xludf.DUMMYFUNCTION("""COMPUTED_VALUE"""),60.48)</f>
        <v>60.48</v>
      </c>
      <c r="Q6" s="2">
        <f ca="1">IFERROR(__xludf.DUMMYFUNCTION("""COMPUTED_VALUE"""),60.84)</f>
        <v>60.84</v>
      </c>
    </row>
    <row r="7" spans="1:17" ht="15.75" customHeight="1" x14ac:dyDescent="0.25">
      <c r="A7" s="2">
        <v>1106</v>
      </c>
      <c r="B7" s="2" t="str">
        <f ca="1">IFERROR(__xludf.DUMMYFUNCTION("""COMPUTED_VALUE"""),"ACEH")</f>
        <v>ACEH</v>
      </c>
      <c r="C7" s="2" t="str">
        <f ca="1">IFERROR(__xludf.DUMMYFUNCTION("""COMPUTED_VALUE"""),"Aceh Tengah")</f>
        <v>Aceh Tengah</v>
      </c>
      <c r="D7" s="2">
        <f ca="1">IFERROR(__xludf.DUMMYFUNCTION("""COMPUTED_VALUE"""),2.11)</f>
        <v>2.11</v>
      </c>
      <c r="E7" s="2">
        <f ca="1">IFERROR(__xludf.DUMMYFUNCTION("""COMPUTED_VALUE"""),2.65)</f>
        <v>2.65</v>
      </c>
      <c r="F7" s="2">
        <f ca="1">IFERROR(__xludf.DUMMYFUNCTION("""COMPUTED_VALUE"""),3.05)</f>
        <v>3.05</v>
      </c>
      <c r="G7" s="2">
        <f ca="1">IFERROR(__xludf.DUMMYFUNCTION("""COMPUTED_VALUE"""),2.61)</f>
        <v>2.61</v>
      </c>
      <c r="H7" s="2">
        <f ca="1">IFERROR(__xludf.DUMMYFUNCTION("""COMPUTED_VALUE"""),4.44)</f>
        <v>4.4400000000000004</v>
      </c>
      <c r="I7" s="2">
        <f ca="1">IFERROR(__xludf.DUMMYFUNCTION("""COMPUTED_VALUE"""),4.42)</f>
        <v>4.42</v>
      </c>
      <c r="J7" s="2">
        <f ca="1">IFERROR(__xludf.DUMMYFUNCTION("""COMPUTED_VALUE"""),4.21)</f>
        <v>4.21</v>
      </c>
      <c r="K7" s="2">
        <f ca="1">IFERROR(__xludf.DUMMYFUNCTION("""COMPUTED_VALUE"""),72.48)</f>
        <v>72.48</v>
      </c>
      <c r="L7" s="2">
        <f ca="1">IFERROR(__xludf.DUMMYFUNCTION("""COMPUTED_VALUE"""),72.5)</f>
        <v>72.5</v>
      </c>
      <c r="M7" s="2">
        <f ca="1">IFERROR(__xludf.DUMMYFUNCTION("""COMPUTED_VALUE"""),79.96)</f>
        <v>79.959999999999994</v>
      </c>
      <c r="N7" s="2">
        <f ca="1">IFERROR(__xludf.DUMMYFUNCTION("""COMPUTED_VALUE"""),76.3)</f>
        <v>76.3</v>
      </c>
      <c r="O7" s="2">
        <f ca="1">IFERROR(__xludf.DUMMYFUNCTION("""COMPUTED_VALUE"""),76.37)</f>
        <v>76.37</v>
      </c>
      <c r="P7" s="2">
        <f ca="1">IFERROR(__xludf.DUMMYFUNCTION("""COMPUTED_VALUE"""),76.85)</f>
        <v>76.849999999999994</v>
      </c>
      <c r="Q7" s="2">
        <f ca="1">IFERROR(__xludf.DUMMYFUNCTION("""COMPUTED_VALUE"""),77.41)</f>
        <v>77.41</v>
      </c>
    </row>
    <row r="8" spans="1:17" ht="15.75" customHeight="1" x14ac:dyDescent="0.25">
      <c r="A8" s="2">
        <v>1107</v>
      </c>
      <c r="B8" s="2" t="str">
        <f ca="1">IFERROR(__xludf.DUMMYFUNCTION("""COMPUTED_VALUE"""),"ACEH")</f>
        <v>ACEH</v>
      </c>
      <c r="C8" s="2" t="str">
        <f ca="1">IFERROR(__xludf.DUMMYFUNCTION("""COMPUTED_VALUE"""),"Aceh Barat")</f>
        <v>Aceh Barat</v>
      </c>
      <c r="D8" s="2">
        <f ca="1">IFERROR(__xludf.DUMMYFUNCTION("""COMPUTED_VALUE"""),8.58)</f>
        <v>8.58</v>
      </c>
      <c r="E8" s="2">
        <f ca="1">IFERROR(__xludf.DUMMYFUNCTION("""COMPUTED_VALUE"""),7.41)</f>
        <v>7.41</v>
      </c>
      <c r="F8" s="2">
        <f ca="1">IFERROR(__xludf.DUMMYFUNCTION("""COMPUTED_VALUE"""),7.3)</f>
        <v>7.3</v>
      </c>
      <c r="G8" s="2">
        <f ca="1">IFERROR(__xludf.DUMMYFUNCTION("""COMPUTED_VALUE"""),7.09)</f>
        <v>7.09</v>
      </c>
      <c r="H8" s="2">
        <f ca="1">IFERROR(__xludf.DUMMYFUNCTION("""COMPUTED_VALUE"""),6.09)</f>
        <v>6.09</v>
      </c>
      <c r="I8" s="2">
        <f ca="1">IFERROR(__xludf.DUMMYFUNCTION("""COMPUTED_VALUE"""),6.07)</f>
        <v>6.07</v>
      </c>
      <c r="J8" s="2">
        <f ca="1">IFERROR(__xludf.DUMMYFUNCTION("""COMPUTED_VALUE"""),5.58)</f>
        <v>5.58</v>
      </c>
      <c r="K8" s="2">
        <f ca="1">IFERROR(__xludf.DUMMYFUNCTION("""COMPUTED_VALUE"""),54.27)</f>
        <v>54.27</v>
      </c>
      <c r="L8" s="2">
        <f ca="1">IFERROR(__xludf.DUMMYFUNCTION("""COMPUTED_VALUE"""),60.9)</f>
        <v>60.9</v>
      </c>
      <c r="M8" s="2">
        <f ca="1">IFERROR(__xludf.DUMMYFUNCTION("""COMPUTED_VALUE"""),59.41)</f>
        <v>59.41</v>
      </c>
      <c r="N8" s="2">
        <f ca="1">IFERROR(__xludf.DUMMYFUNCTION("""COMPUTED_VALUE"""),60.05)</f>
        <v>60.05</v>
      </c>
      <c r="O8" s="2">
        <f ca="1">IFERROR(__xludf.DUMMYFUNCTION("""COMPUTED_VALUE"""),57.8)</f>
        <v>57.8</v>
      </c>
      <c r="P8" s="2">
        <f ca="1">IFERROR(__xludf.DUMMYFUNCTION("""COMPUTED_VALUE"""),59.62)</f>
        <v>59.62</v>
      </c>
      <c r="Q8" s="2">
        <f ca="1">IFERROR(__xludf.DUMMYFUNCTION("""COMPUTED_VALUE"""),60.23)</f>
        <v>60.23</v>
      </c>
    </row>
    <row r="9" spans="1:17" ht="15.75" customHeight="1" x14ac:dyDescent="0.25">
      <c r="A9" s="2">
        <v>1108</v>
      </c>
      <c r="B9" s="2" t="str">
        <f ca="1">IFERROR(__xludf.DUMMYFUNCTION("""COMPUTED_VALUE"""),"ACEH")</f>
        <v>ACEH</v>
      </c>
      <c r="C9" s="2" t="str">
        <f ca="1">IFERROR(__xludf.DUMMYFUNCTION("""COMPUTED_VALUE"""),"Aceh Besar")</f>
        <v>Aceh Besar</v>
      </c>
      <c r="D9" s="2">
        <f ca="1">IFERROR(__xludf.DUMMYFUNCTION("""COMPUTED_VALUE"""),7.29)</f>
        <v>7.29</v>
      </c>
      <c r="E9" s="2">
        <f ca="1">IFERROR(__xludf.DUMMYFUNCTION("""COMPUTED_VALUE"""),7.67)</f>
        <v>7.67</v>
      </c>
      <c r="F9" s="2">
        <f ca="1">IFERROR(__xludf.DUMMYFUNCTION("""COMPUTED_VALUE"""),7.62)</f>
        <v>7.62</v>
      </c>
      <c r="G9" s="2">
        <f ca="1">IFERROR(__xludf.DUMMYFUNCTION("""COMPUTED_VALUE"""),7.7)</f>
        <v>7.7</v>
      </c>
      <c r="H9" s="2">
        <f ca="1">IFERROR(__xludf.DUMMYFUNCTION("""COMPUTED_VALUE"""),8.28)</f>
        <v>8.2799999999999994</v>
      </c>
      <c r="I9" s="2">
        <f ca="1">IFERROR(__xludf.DUMMYFUNCTION("""COMPUTED_VALUE"""),8.17)</f>
        <v>8.17</v>
      </c>
      <c r="J9" s="2">
        <f ca="1">IFERROR(__xludf.DUMMYFUNCTION("""COMPUTED_VALUE"""),7.93)</f>
        <v>7.93</v>
      </c>
      <c r="K9" s="2">
        <f ca="1">IFERROR(__xludf.DUMMYFUNCTION("""COMPUTED_VALUE"""),58.51)</f>
        <v>58.51</v>
      </c>
      <c r="L9" s="2">
        <f ca="1">IFERROR(__xludf.DUMMYFUNCTION("""COMPUTED_VALUE"""),56.18)</f>
        <v>56.18</v>
      </c>
      <c r="M9" s="2">
        <f ca="1">IFERROR(__xludf.DUMMYFUNCTION("""COMPUTED_VALUE"""),60.02)</f>
        <v>60.02</v>
      </c>
      <c r="N9" s="2">
        <f ca="1">IFERROR(__xludf.DUMMYFUNCTION("""COMPUTED_VALUE"""),61.67)</f>
        <v>61.67</v>
      </c>
      <c r="O9" s="2">
        <f ca="1">IFERROR(__xludf.DUMMYFUNCTION("""COMPUTED_VALUE"""),65.31)</f>
        <v>65.31</v>
      </c>
      <c r="P9" s="2">
        <f ca="1">IFERROR(__xludf.DUMMYFUNCTION("""COMPUTED_VALUE"""),66.86)</f>
        <v>66.86</v>
      </c>
      <c r="Q9" s="2">
        <f ca="1">IFERROR(__xludf.DUMMYFUNCTION("""COMPUTED_VALUE"""),67.05)</f>
        <v>67.05</v>
      </c>
    </row>
    <row r="10" spans="1:17" ht="15.75" customHeight="1" x14ac:dyDescent="0.25">
      <c r="A10" s="2">
        <v>1109</v>
      </c>
      <c r="B10" s="2" t="str">
        <f ca="1">IFERROR(__xludf.DUMMYFUNCTION("""COMPUTED_VALUE"""),"ACEH")</f>
        <v>ACEH</v>
      </c>
      <c r="C10" s="2" t="str">
        <f ca="1">IFERROR(__xludf.DUMMYFUNCTION("""COMPUTED_VALUE"""),"Pidie")</f>
        <v>Pidie</v>
      </c>
      <c r="D10" s="2">
        <f ca="1">IFERROR(__xludf.DUMMYFUNCTION("""COMPUTED_VALUE"""),7.24)</f>
        <v>7.24</v>
      </c>
      <c r="E10" s="2">
        <f ca="1">IFERROR(__xludf.DUMMYFUNCTION("""COMPUTED_VALUE"""),6.83)</f>
        <v>6.83</v>
      </c>
      <c r="F10" s="2">
        <f ca="1">IFERROR(__xludf.DUMMYFUNCTION("""COMPUTED_VALUE"""),6.45)</f>
        <v>6.45</v>
      </c>
      <c r="G10" s="2">
        <f ca="1">IFERROR(__xludf.DUMMYFUNCTION("""COMPUTED_VALUE"""),7.28)</f>
        <v>7.28</v>
      </c>
      <c r="H10" s="2">
        <f ca="1">IFERROR(__xludf.DUMMYFUNCTION("""COMPUTED_VALUE"""),5.94)</f>
        <v>5.94</v>
      </c>
      <c r="I10" s="2">
        <f ca="1">IFERROR(__xludf.DUMMYFUNCTION("""COMPUTED_VALUE"""),5.92)</f>
        <v>5.92</v>
      </c>
      <c r="J10" s="2">
        <f ca="1">IFERROR(__xludf.DUMMYFUNCTION("""COMPUTED_VALUE"""),5.74)</f>
        <v>5.74</v>
      </c>
      <c r="K10" s="2">
        <f ca="1">IFERROR(__xludf.DUMMYFUNCTION("""COMPUTED_VALUE"""),61.73)</f>
        <v>61.73</v>
      </c>
      <c r="L10" s="2">
        <f ca="1">IFERROR(__xludf.DUMMYFUNCTION("""COMPUTED_VALUE"""),63.05)</f>
        <v>63.05</v>
      </c>
      <c r="M10" s="2">
        <f ca="1">IFERROR(__xludf.DUMMYFUNCTION("""COMPUTED_VALUE"""),65.55)</f>
        <v>65.55</v>
      </c>
      <c r="N10" s="2">
        <f ca="1">IFERROR(__xludf.DUMMYFUNCTION("""COMPUTED_VALUE"""),60.29)</f>
        <v>60.29</v>
      </c>
      <c r="O10" s="2">
        <f ca="1">IFERROR(__xludf.DUMMYFUNCTION("""COMPUTED_VALUE"""),65.47)</f>
        <v>65.47</v>
      </c>
      <c r="P10" s="2">
        <f ca="1">IFERROR(__xludf.DUMMYFUNCTION("""COMPUTED_VALUE"""),61.57)</f>
        <v>61.57</v>
      </c>
      <c r="Q10" s="2">
        <f ca="1">IFERROR(__xludf.DUMMYFUNCTION("""COMPUTED_VALUE"""),62.17)</f>
        <v>62.17</v>
      </c>
    </row>
    <row r="11" spans="1:17" ht="15.75" customHeight="1" x14ac:dyDescent="0.25">
      <c r="A11" s="2">
        <v>1110</v>
      </c>
      <c r="B11" s="2" t="str">
        <f ca="1">IFERROR(__xludf.DUMMYFUNCTION("""COMPUTED_VALUE"""),"ACEH")</f>
        <v>ACEH</v>
      </c>
      <c r="C11" s="2" t="str">
        <f ca="1">IFERROR(__xludf.DUMMYFUNCTION("""COMPUTED_VALUE"""),"Bireuen")</f>
        <v>Bireuen</v>
      </c>
      <c r="D11" s="2">
        <f ca="1">IFERROR(__xludf.DUMMYFUNCTION("""COMPUTED_VALUE"""),3.52)</f>
        <v>3.52</v>
      </c>
      <c r="E11" s="2">
        <f ca="1">IFERROR(__xludf.DUMMYFUNCTION("""COMPUTED_VALUE"""),3.83)</f>
        <v>3.83</v>
      </c>
      <c r="F11" s="2">
        <f ca="1">IFERROR(__xludf.DUMMYFUNCTION("""COMPUTED_VALUE"""),4.12)</f>
        <v>4.12</v>
      </c>
      <c r="G11" s="2">
        <f ca="1">IFERROR(__xludf.DUMMYFUNCTION("""COMPUTED_VALUE"""),4.32)</f>
        <v>4.32</v>
      </c>
      <c r="H11" s="2">
        <f ca="1">IFERROR(__xludf.DUMMYFUNCTION("""COMPUTED_VALUE"""),4.2)</f>
        <v>4.2</v>
      </c>
      <c r="I11" s="2">
        <f ca="1">IFERROR(__xludf.DUMMYFUNCTION("""COMPUTED_VALUE"""),4.14)</f>
        <v>4.1399999999999997</v>
      </c>
      <c r="J11" s="2">
        <f ca="1">IFERROR(__xludf.DUMMYFUNCTION("""COMPUTED_VALUE"""),3.93)</f>
        <v>3.93</v>
      </c>
      <c r="K11" s="2">
        <f ca="1">IFERROR(__xludf.DUMMYFUNCTION("""COMPUTED_VALUE"""),64.79)</f>
        <v>64.790000000000006</v>
      </c>
      <c r="L11" s="2">
        <f ca="1">IFERROR(__xludf.DUMMYFUNCTION("""COMPUTED_VALUE"""),66.88)</f>
        <v>66.88</v>
      </c>
      <c r="M11" s="2">
        <f ca="1">IFERROR(__xludf.DUMMYFUNCTION("""COMPUTED_VALUE"""),67.06)</f>
        <v>67.06</v>
      </c>
      <c r="N11" s="2">
        <f ca="1">IFERROR(__xludf.DUMMYFUNCTION("""COMPUTED_VALUE"""),65.91)</f>
        <v>65.91</v>
      </c>
      <c r="O11" s="2">
        <f ca="1">IFERROR(__xludf.DUMMYFUNCTION("""COMPUTED_VALUE"""),64.39)</f>
        <v>64.39</v>
      </c>
      <c r="P11" s="2">
        <f ca="1">IFERROR(__xludf.DUMMYFUNCTION("""COMPUTED_VALUE"""),66.96)</f>
        <v>66.959999999999994</v>
      </c>
      <c r="Q11" s="2">
        <f ca="1">IFERROR(__xludf.DUMMYFUNCTION("""COMPUTED_VALUE"""),67.24)</f>
        <v>67.239999999999995</v>
      </c>
    </row>
    <row r="12" spans="1:17" ht="15.75" customHeight="1" x14ac:dyDescent="0.25">
      <c r="A12" s="2">
        <v>1111</v>
      </c>
      <c r="B12" s="2" t="str">
        <f ca="1">IFERROR(__xludf.DUMMYFUNCTION("""COMPUTED_VALUE"""),"ACEH")</f>
        <v>ACEH</v>
      </c>
      <c r="C12" s="2" t="str">
        <f ca="1">IFERROR(__xludf.DUMMYFUNCTION("""COMPUTED_VALUE"""),"Aceh Utara")</f>
        <v>Aceh Utara</v>
      </c>
      <c r="D12" s="2">
        <f ca="1">IFERROR(__xludf.DUMMYFUNCTION("""COMPUTED_VALUE"""),10.14)</f>
        <v>10.14</v>
      </c>
      <c r="E12" s="2">
        <f ca="1">IFERROR(__xludf.DUMMYFUNCTION("""COMPUTED_VALUE"""),8.65)</f>
        <v>8.65</v>
      </c>
      <c r="F12" s="2">
        <f ca="1">IFERROR(__xludf.DUMMYFUNCTION("""COMPUTED_VALUE"""),8.56)</f>
        <v>8.56</v>
      </c>
      <c r="G12" s="2">
        <f ca="1">IFERROR(__xludf.DUMMYFUNCTION("""COMPUTED_VALUE"""),8.31)</f>
        <v>8.31</v>
      </c>
      <c r="H12" s="2">
        <f ca="1">IFERROR(__xludf.DUMMYFUNCTION("""COMPUTED_VALUE"""),7.08)</f>
        <v>7.08</v>
      </c>
      <c r="I12" s="2">
        <f ca="1">IFERROR(__xludf.DUMMYFUNCTION("""COMPUTED_VALUE"""),7.07)</f>
        <v>7.07</v>
      </c>
      <c r="J12" s="2">
        <f ca="1">IFERROR(__xludf.DUMMYFUNCTION("""COMPUTED_VALUE"""),6.88)</f>
        <v>6.88</v>
      </c>
      <c r="K12" s="2">
        <f ca="1">IFERROR(__xludf.DUMMYFUNCTION("""COMPUTED_VALUE"""),63.39)</f>
        <v>63.39</v>
      </c>
      <c r="L12" s="2">
        <f ca="1">IFERROR(__xludf.DUMMYFUNCTION("""COMPUTED_VALUE"""),61.17)</f>
        <v>61.17</v>
      </c>
      <c r="M12" s="2">
        <f ca="1">IFERROR(__xludf.DUMMYFUNCTION("""COMPUTED_VALUE"""),60.31)</f>
        <v>60.31</v>
      </c>
      <c r="N12" s="2">
        <f ca="1">IFERROR(__xludf.DUMMYFUNCTION("""COMPUTED_VALUE"""),58.47)</f>
        <v>58.47</v>
      </c>
      <c r="O12" s="2">
        <f ca="1">IFERROR(__xludf.DUMMYFUNCTION("""COMPUTED_VALUE"""),56.37)</f>
        <v>56.37</v>
      </c>
      <c r="P12" s="2">
        <f ca="1">IFERROR(__xludf.DUMMYFUNCTION("""COMPUTED_VALUE"""),58.84)</f>
        <v>58.84</v>
      </c>
      <c r="Q12" s="2">
        <f ca="1">IFERROR(__xludf.DUMMYFUNCTION("""COMPUTED_VALUE"""),59.07)</f>
        <v>59.07</v>
      </c>
    </row>
    <row r="13" spans="1:17" ht="15.75" customHeight="1" x14ac:dyDescent="0.25">
      <c r="A13" s="2">
        <v>1112</v>
      </c>
      <c r="B13" s="2" t="str">
        <f ca="1">IFERROR(__xludf.DUMMYFUNCTION("""COMPUTED_VALUE"""),"ACEH")</f>
        <v>ACEH</v>
      </c>
      <c r="C13" s="2" t="str">
        <f ca="1">IFERROR(__xludf.DUMMYFUNCTION("""COMPUTED_VALUE"""),"Aceh Barat Daya")</f>
        <v>Aceh Barat Daya</v>
      </c>
      <c r="D13" s="2">
        <f ca="1">IFERROR(__xludf.DUMMYFUNCTION("""COMPUTED_VALUE"""),3.93)</f>
        <v>3.93</v>
      </c>
      <c r="E13" s="2">
        <f ca="1">IFERROR(__xludf.DUMMYFUNCTION("""COMPUTED_VALUE"""),4.29)</f>
        <v>4.29</v>
      </c>
      <c r="F13" s="2">
        <f ca="1">IFERROR(__xludf.DUMMYFUNCTION("""COMPUTED_VALUE"""),3.93)</f>
        <v>3.93</v>
      </c>
      <c r="G13" s="2">
        <f ca="1">IFERROR(__xludf.DUMMYFUNCTION("""COMPUTED_VALUE"""),4.04)</f>
        <v>4.04</v>
      </c>
      <c r="H13" s="2">
        <f ca="1">IFERROR(__xludf.DUMMYFUNCTION("""COMPUTED_VALUE"""),4.12)</f>
        <v>4.12</v>
      </c>
      <c r="I13" s="2">
        <f ca="1">IFERROR(__xludf.DUMMYFUNCTION("""COMPUTED_VALUE"""),4.08)</f>
        <v>4.08</v>
      </c>
      <c r="J13" s="2">
        <f ca="1">IFERROR(__xludf.DUMMYFUNCTION("""COMPUTED_VALUE"""),3.83)</f>
        <v>3.83</v>
      </c>
      <c r="K13" s="2">
        <f ca="1">IFERROR(__xludf.DUMMYFUNCTION("""COMPUTED_VALUE"""),63.38)</f>
        <v>63.38</v>
      </c>
      <c r="L13" s="2">
        <f ca="1">IFERROR(__xludf.DUMMYFUNCTION("""COMPUTED_VALUE"""),58.02)</f>
        <v>58.02</v>
      </c>
      <c r="M13" s="2">
        <f ca="1">IFERROR(__xludf.DUMMYFUNCTION("""COMPUTED_VALUE"""),57.58)</f>
        <v>57.58</v>
      </c>
      <c r="N13" s="2">
        <f ca="1">IFERROR(__xludf.DUMMYFUNCTION("""COMPUTED_VALUE"""),57.91)</f>
        <v>57.91</v>
      </c>
      <c r="O13" s="2">
        <f ca="1">IFERROR(__xludf.DUMMYFUNCTION("""COMPUTED_VALUE"""),59.18)</f>
        <v>59.18</v>
      </c>
      <c r="P13" s="2">
        <f ca="1">IFERROR(__xludf.DUMMYFUNCTION("""COMPUTED_VALUE"""),60.18)</f>
        <v>60.18</v>
      </c>
      <c r="Q13" s="2">
        <f ca="1">IFERROR(__xludf.DUMMYFUNCTION("""COMPUTED_VALUE"""),60.5)</f>
        <v>60.5</v>
      </c>
    </row>
    <row r="14" spans="1:17" ht="15.75" customHeight="1" x14ac:dyDescent="0.25">
      <c r="A14" s="2">
        <v>1113</v>
      </c>
      <c r="B14" s="2" t="str">
        <f ca="1">IFERROR(__xludf.DUMMYFUNCTION("""COMPUTED_VALUE"""),"ACEH")</f>
        <v>ACEH</v>
      </c>
      <c r="C14" s="2" t="str">
        <f ca="1">IFERROR(__xludf.DUMMYFUNCTION("""COMPUTED_VALUE"""),"Gayo Lues")</f>
        <v>Gayo Lues</v>
      </c>
      <c r="D14" s="2">
        <f ca="1">IFERROR(__xludf.DUMMYFUNCTION("""COMPUTED_VALUE"""),2.49)</f>
        <v>2.4900000000000002</v>
      </c>
      <c r="E14" s="2">
        <f ca="1">IFERROR(__xludf.DUMMYFUNCTION("""COMPUTED_VALUE"""),1.74)</f>
        <v>1.74</v>
      </c>
      <c r="F14" s="2">
        <f ca="1">IFERROR(__xludf.DUMMYFUNCTION("""COMPUTED_VALUE"""),2.01)</f>
        <v>2.0099999999999998</v>
      </c>
      <c r="G14" s="2">
        <f ca="1">IFERROR(__xludf.DUMMYFUNCTION("""COMPUTED_VALUE"""),1.84)</f>
        <v>1.84</v>
      </c>
      <c r="H14" s="2">
        <f ca="1">IFERROR(__xludf.DUMMYFUNCTION("""COMPUTED_VALUE"""),2.7)</f>
        <v>2.7</v>
      </c>
      <c r="I14" s="2">
        <f ca="1">IFERROR(__xludf.DUMMYFUNCTION("""COMPUTED_VALUE"""),2.65)</f>
        <v>2.65</v>
      </c>
      <c r="J14" s="2">
        <f ca="1">IFERROR(__xludf.DUMMYFUNCTION("""COMPUTED_VALUE"""),2.4)</f>
        <v>2.4</v>
      </c>
      <c r="K14" s="2">
        <f ca="1">IFERROR(__xludf.DUMMYFUNCTION("""COMPUTED_VALUE"""),78.05)</f>
        <v>78.05</v>
      </c>
      <c r="L14" s="2">
        <f ca="1">IFERROR(__xludf.DUMMYFUNCTION("""COMPUTED_VALUE"""),75.12)</f>
        <v>75.12</v>
      </c>
      <c r="M14" s="2">
        <f ca="1">IFERROR(__xludf.DUMMYFUNCTION("""COMPUTED_VALUE"""),86.36)</f>
        <v>86.36</v>
      </c>
      <c r="N14" s="2">
        <f ca="1">IFERROR(__xludf.DUMMYFUNCTION("""COMPUTED_VALUE"""),78.99)</f>
        <v>78.989999999999995</v>
      </c>
      <c r="O14" s="2">
        <f ca="1">IFERROR(__xludf.DUMMYFUNCTION("""COMPUTED_VALUE"""),79.87)</f>
        <v>79.87</v>
      </c>
      <c r="P14" s="2">
        <f ca="1">IFERROR(__xludf.DUMMYFUNCTION("""COMPUTED_VALUE"""),78.48)</f>
        <v>78.48</v>
      </c>
      <c r="Q14" s="2">
        <f ca="1">IFERROR(__xludf.DUMMYFUNCTION("""COMPUTED_VALUE"""),79.25)</f>
        <v>79.25</v>
      </c>
    </row>
    <row r="15" spans="1:17" ht="15.75" customHeight="1" x14ac:dyDescent="0.25">
      <c r="A15" s="2">
        <v>1114</v>
      </c>
      <c r="B15" s="2" t="str">
        <f ca="1">IFERROR(__xludf.DUMMYFUNCTION("""COMPUTED_VALUE"""),"ACEH")</f>
        <v>ACEH</v>
      </c>
      <c r="C15" s="2" t="str">
        <f ca="1">IFERROR(__xludf.DUMMYFUNCTION("""COMPUTED_VALUE"""),"Aceh Tamiang")</f>
        <v>Aceh Tamiang</v>
      </c>
      <c r="D15" s="2">
        <f ca="1">IFERROR(__xludf.DUMMYFUNCTION("""COMPUTED_VALUE"""),6.21)</f>
        <v>6.21</v>
      </c>
      <c r="E15" s="2">
        <f ca="1">IFERROR(__xludf.DUMMYFUNCTION("""COMPUTED_VALUE"""),6.04)</f>
        <v>6.04</v>
      </c>
      <c r="F15" s="2">
        <f ca="1">IFERROR(__xludf.DUMMYFUNCTION("""COMPUTED_VALUE"""),7.97)</f>
        <v>7.97</v>
      </c>
      <c r="G15" s="2">
        <f ca="1">IFERROR(__xludf.DUMMYFUNCTION("""COMPUTED_VALUE"""),5.87)</f>
        <v>5.87</v>
      </c>
      <c r="H15" s="2">
        <f ca="1">IFERROR(__xludf.DUMMYFUNCTION("""COMPUTED_VALUE"""),7.38)</f>
        <v>7.38</v>
      </c>
      <c r="I15" s="2">
        <f ca="1">IFERROR(__xludf.DUMMYFUNCTION("""COMPUTED_VALUE"""),7.21)</f>
        <v>7.21</v>
      </c>
      <c r="J15" s="2">
        <f ca="1">IFERROR(__xludf.DUMMYFUNCTION("""COMPUTED_VALUE"""),6.95)</f>
        <v>6.95</v>
      </c>
      <c r="K15" s="2">
        <f ca="1">IFERROR(__xludf.DUMMYFUNCTION("""COMPUTED_VALUE"""),68.7)</f>
        <v>68.7</v>
      </c>
      <c r="L15" s="2">
        <f ca="1">IFERROR(__xludf.DUMMYFUNCTION("""COMPUTED_VALUE"""),65.07)</f>
        <v>65.069999999999993</v>
      </c>
      <c r="M15" s="2">
        <f ca="1">IFERROR(__xludf.DUMMYFUNCTION("""COMPUTED_VALUE"""),64.84)</f>
        <v>64.84</v>
      </c>
      <c r="N15" s="2">
        <f ca="1">IFERROR(__xludf.DUMMYFUNCTION("""COMPUTED_VALUE"""),66.43)</f>
        <v>66.430000000000007</v>
      </c>
      <c r="O15" s="2">
        <f ca="1">IFERROR(__xludf.DUMMYFUNCTION("""COMPUTED_VALUE"""),66.01)</f>
        <v>66.010000000000005</v>
      </c>
      <c r="P15" s="2">
        <f ca="1">IFERROR(__xludf.DUMMYFUNCTION("""COMPUTED_VALUE"""),69.3)</f>
        <v>69.3</v>
      </c>
      <c r="Q15" s="2">
        <f ca="1">IFERROR(__xludf.DUMMYFUNCTION("""COMPUTED_VALUE"""),69.76)</f>
        <v>69.760000000000005</v>
      </c>
    </row>
    <row r="16" spans="1:17" ht="15.75" customHeight="1" x14ac:dyDescent="0.25">
      <c r="A16" s="2">
        <v>1115</v>
      </c>
      <c r="B16" s="2" t="str">
        <f ca="1">IFERROR(__xludf.DUMMYFUNCTION("""COMPUTED_VALUE"""),"ACEH")</f>
        <v>ACEH</v>
      </c>
      <c r="C16" s="2" t="str">
        <f ca="1">IFERROR(__xludf.DUMMYFUNCTION("""COMPUTED_VALUE"""),"Nagan Raya")</f>
        <v>Nagan Raya</v>
      </c>
      <c r="D16" s="2">
        <f ca="1">IFERROR(__xludf.DUMMYFUNCTION("""COMPUTED_VALUE"""),5.91)</f>
        <v>5.91</v>
      </c>
      <c r="E16" s="2">
        <f ca="1">IFERROR(__xludf.DUMMYFUNCTION("""COMPUTED_VALUE"""),5.35)</f>
        <v>5.35</v>
      </c>
      <c r="F16" s="2">
        <f ca="1">IFERROR(__xludf.DUMMYFUNCTION("""COMPUTED_VALUE"""),5.11)</f>
        <v>5.1100000000000003</v>
      </c>
      <c r="G16" s="2">
        <f ca="1">IFERROR(__xludf.DUMMYFUNCTION("""COMPUTED_VALUE"""),4.99)</f>
        <v>4.99</v>
      </c>
      <c r="H16" s="2">
        <f ca="1">IFERROR(__xludf.DUMMYFUNCTION("""COMPUTED_VALUE"""),5.84)</f>
        <v>5.84</v>
      </c>
      <c r="I16" s="2">
        <f ca="1">IFERROR(__xludf.DUMMYFUNCTION("""COMPUTED_VALUE"""),5.74)</f>
        <v>5.74</v>
      </c>
      <c r="J16" s="2">
        <f ca="1">IFERROR(__xludf.DUMMYFUNCTION("""COMPUTED_VALUE"""),5.22)</f>
        <v>5.22</v>
      </c>
      <c r="K16" s="2">
        <f ca="1">IFERROR(__xludf.DUMMYFUNCTION("""COMPUTED_VALUE"""),60.63)</f>
        <v>60.63</v>
      </c>
      <c r="L16" s="2">
        <f ca="1">IFERROR(__xludf.DUMMYFUNCTION("""COMPUTED_VALUE"""),61.54)</f>
        <v>61.54</v>
      </c>
      <c r="M16" s="2">
        <f ca="1">IFERROR(__xludf.DUMMYFUNCTION("""COMPUTED_VALUE"""),66.61)</f>
        <v>66.61</v>
      </c>
      <c r="N16" s="2">
        <f ca="1">IFERROR(__xludf.DUMMYFUNCTION("""COMPUTED_VALUE"""),64.99)</f>
        <v>64.989999999999995</v>
      </c>
      <c r="O16" s="2">
        <f ca="1">IFERROR(__xludf.DUMMYFUNCTION("""COMPUTED_VALUE"""),66.64)</f>
        <v>66.64</v>
      </c>
      <c r="P16" s="2">
        <f ca="1">IFERROR(__xludf.DUMMYFUNCTION("""COMPUTED_VALUE"""),63.65)</f>
        <v>63.65</v>
      </c>
      <c r="Q16" s="2">
        <f ca="1">IFERROR(__xludf.DUMMYFUNCTION("""COMPUTED_VALUE"""),63.91)</f>
        <v>63.91</v>
      </c>
    </row>
    <row r="17" spans="1:17" ht="15.75" customHeight="1" x14ac:dyDescent="0.25">
      <c r="A17" s="2">
        <v>1116</v>
      </c>
      <c r="B17" s="2" t="str">
        <f ca="1">IFERROR(__xludf.DUMMYFUNCTION("""COMPUTED_VALUE"""),"ACEH")</f>
        <v>ACEH</v>
      </c>
      <c r="C17" s="2" t="str">
        <f ca="1">IFERROR(__xludf.DUMMYFUNCTION("""COMPUTED_VALUE"""),"Aceh Jaya")</f>
        <v>Aceh Jaya</v>
      </c>
      <c r="D17" s="2">
        <f ca="1">IFERROR(__xludf.DUMMYFUNCTION("""COMPUTED_VALUE"""),4.91)</f>
        <v>4.91</v>
      </c>
      <c r="E17" s="2">
        <f ca="1">IFERROR(__xludf.DUMMYFUNCTION("""COMPUTED_VALUE"""),4.18)</f>
        <v>4.18</v>
      </c>
      <c r="F17" s="2">
        <f ca="1">IFERROR(__xludf.DUMMYFUNCTION("""COMPUTED_VALUE"""),4.08)</f>
        <v>4.08</v>
      </c>
      <c r="G17" s="2">
        <f ca="1">IFERROR(__xludf.DUMMYFUNCTION("""COMPUTED_VALUE"""),3.47)</f>
        <v>3.47</v>
      </c>
      <c r="H17" s="2">
        <f ca="1">IFERROR(__xludf.DUMMYFUNCTION("""COMPUTED_VALUE"""),3.12)</f>
        <v>3.12</v>
      </c>
      <c r="I17" s="2">
        <f ca="1">IFERROR(__xludf.DUMMYFUNCTION("""COMPUTED_VALUE"""),2.88)</f>
        <v>2.88</v>
      </c>
      <c r="J17" s="2">
        <f ca="1">IFERROR(__xludf.DUMMYFUNCTION("""COMPUTED_VALUE"""),2.75)</f>
        <v>2.75</v>
      </c>
      <c r="K17" s="2">
        <f ca="1">IFERROR(__xludf.DUMMYFUNCTION("""COMPUTED_VALUE"""),70.7)</f>
        <v>70.7</v>
      </c>
      <c r="L17" s="2">
        <f ca="1">IFERROR(__xludf.DUMMYFUNCTION("""COMPUTED_VALUE"""),71.19)</f>
        <v>71.19</v>
      </c>
      <c r="M17" s="2">
        <f ca="1">IFERROR(__xludf.DUMMYFUNCTION("""COMPUTED_VALUE"""),75.32)</f>
        <v>75.319999999999993</v>
      </c>
      <c r="N17" s="2">
        <f ca="1">IFERROR(__xludf.DUMMYFUNCTION("""COMPUTED_VALUE"""),72.59)</f>
        <v>72.59</v>
      </c>
      <c r="O17" s="2">
        <f ca="1">IFERROR(__xludf.DUMMYFUNCTION("""COMPUTED_VALUE"""),69.12)</f>
        <v>69.12</v>
      </c>
      <c r="P17" s="2">
        <f ca="1">IFERROR(__xludf.DUMMYFUNCTION("""COMPUTED_VALUE"""),70.46)</f>
        <v>70.459999999999994</v>
      </c>
      <c r="Q17" s="2">
        <f ca="1">IFERROR(__xludf.DUMMYFUNCTION("""COMPUTED_VALUE"""),70.91)</f>
        <v>70.91</v>
      </c>
    </row>
    <row r="18" spans="1:17" ht="15.75" customHeight="1" x14ac:dyDescent="0.25">
      <c r="A18" s="2">
        <v>1117</v>
      </c>
      <c r="B18" s="2" t="str">
        <f ca="1">IFERROR(__xludf.DUMMYFUNCTION("""COMPUTED_VALUE"""),"ACEH")</f>
        <v>ACEH</v>
      </c>
      <c r="C18" s="2" t="str">
        <f ca="1">IFERROR(__xludf.DUMMYFUNCTION("""COMPUTED_VALUE"""),"Bener Meriah")</f>
        <v>Bener Meriah</v>
      </c>
      <c r="D18" s="2">
        <f ca="1">IFERROR(__xludf.DUMMYFUNCTION("""COMPUTED_VALUE"""),1.06)</f>
        <v>1.06</v>
      </c>
      <c r="E18" s="2">
        <f ca="1">IFERROR(__xludf.DUMMYFUNCTION("""COMPUTED_VALUE"""),1.03)</f>
        <v>1.03</v>
      </c>
      <c r="F18" s="2">
        <f ca="1">IFERROR(__xludf.DUMMYFUNCTION("""COMPUTED_VALUE"""),1.35)</f>
        <v>1.35</v>
      </c>
      <c r="G18" s="2">
        <f ca="1">IFERROR(__xludf.DUMMYFUNCTION("""COMPUTED_VALUE"""),1.24)</f>
        <v>1.24</v>
      </c>
      <c r="H18" s="2">
        <f ca="1">IFERROR(__xludf.DUMMYFUNCTION("""COMPUTED_VALUE"""),2.61)</f>
        <v>2.61</v>
      </c>
      <c r="I18" s="2">
        <f ca="1">IFERROR(__xludf.DUMMYFUNCTION("""COMPUTED_VALUE"""),2.45)</f>
        <v>2.4500000000000002</v>
      </c>
      <c r="J18" s="2">
        <f ca="1">IFERROR(__xludf.DUMMYFUNCTION("""COMPUTED_VALUE"""),2.2)</f>
        <v>2.2000000000000002</v>
      </c>
      <c r="K18" s="2">
        <f ca="1">IFERROR(__xludf.DUMMYFUNCTION("""COMPUTED_VALUE"""),78.43)</f>
        <v>78.430000000000007</v>
      </c>
      <c r="L18" s="2">
        <f ca="1">IFERROR(__xludf.DUMMYFUNCTION("""COMPUTED_VALUE"""),77.05)</f>
        <v>77.05</v>
      </c>
      <c r="M18" s="2">
        <f ca="1">IFERROR(__xludf.DUMMYFUNCTION("""COMPUTED_VALUE"""),82.52)</f>
        <v>82.52</v>
      </c>
      <c r="N18" s="2">
        <f ca="1">IFERROR(__xludf.DUMMYFUNCTION("""COMPUTED_VALUE"""),77.53)</f>
        <v>77.53</v>
      </c>
      <c r="O18" s="2">
        <f ca="1">IFERROR(__xludf.DUMMYFUNCTION("""COMPUTED_VALUE"""),79.71)</f>
        <v>79.709999999999994</v>
      </c>
      <c r="P18" s="2">
        <f ca="1">IFERROR(__xludf.DUMMYFUNCTION("""COMPUTED_VALUE"""),83.25)</f>
        <v>83.25</v>
      </c>
      <c r="Q18" s="2">
        <f ca="1">IFERROR(__xludf.DUMMYFUNCTION("""COMPUTED_VALUE"""),83.82)</f>
        <v>83.82</v>
      </c>
    </row>
    <row r="19" spans="1:17" ht="15.75" customHeight="1" x14ac:dyDescent="0.25">
      <c r="A19" s="2">
        <v>1118</v>
      </c>
      <c r="B19" s="2" t="str">
        <f ca="1">IFERROR(__xludf.DUMMYFUNCTION("""COMPUTED_VALUE"""),"ACEH")</f>
        <v>ACEH</v>
      </c>
      <c r="C19" s="2" t="str">
        <f ca="1">IFERROR(__xludf.DUMMYFUNCTION("""COMPUTED_VALUE"""),"Pidie Jaya")</f>
        <v>Pidie Jaya</v>
      </c>
      <c r="D19" s="2">
        <f ca="1">IFERROR(__xludf.DUMMYFUNCTION("""COMPUTED_VALUE"""),5.02)</f>
        <v>5.0199999999999996</v>
      </c>
      <c r="E19" s="2">
        <f ca="1">IFERROR(__xludf.DUMMYFUNCTION("""COMPUTED_VALUE"""),4.34)</f>
        <v>4.34</v>
      </c>
      <c r="F19" s="2">
        <f ca="1">IFERROR(__xludf.DUMMYFUNCTION("""COMPUTED_VALUE"""),6.58)</f>
        <v>6.58</v>
      </c>
      <c r="G19" s="2">
        <f ca="1">IFERROR(__xludf.DUMMYFUNCTION("""COMPUTED_VALUE"""),3.57)</f>
        <v>3.57</v>
      </c>
      <c r="H19" s="2">
        <f ca="1">IFERROR(__xludf.DUMMYFUNCTION("""COMPUTED_VALUE"""),4.4)</f>
        <v>4.4000000000000004</v>
      </c>
      <c r="I19" s="2">
        <f ca="1">IFERROR(__xludf.DUMMYFUNCTION("""COMPUTED_VALUE"""),4.34)</f>
        <v>4.34</v>
      </c>
      <c r="J19" s="2">
        <f ca="1">IFERROR(__xludf.DUMMYFUNCTION("""COMPUTED_VALUE"""),3.82)</f>
        <v>3.82</v>
      </c>
      <c r="K19" s="2">
        <f ca="1">IFERROR(__xludf.DUMMYFUNCTION("""COMPUTED_VALUE"""),61.17)</f>
        <v>61.17</v>
      </c>
      <c r="L19" s="2">
        <f ca="1">IFERROR(__xludf.DUMMYFUNCTION("""COMPUTED_VALUE"""),60.21)</f>
        <v>60.21</v>
      </c>
      <c r="M19" s="2">
        <f ca="1">IFERROR(__xludf.DUMMYFUNCTION("""COMPUTED_VALUE"""),62.13)</f>
        <v>62.13</v>
      </c>
      <c r="N19" s="2">
        <f ca="1">IFERROR(__xludf.DUMMYFUNCTION("""COMPUTED_VALUE"""),57.77)</f>
        <v>57.77</v>
      </c>
      <c r="O19" s="2">
        <f ca="1">IFERROR(__xludf.DUMMYFUNCTION("""COMPUTED_VALUE"""),57.89)</f>
        <v>57.89</v>
      </c>
      <c r="P19" s="2">
        <f ca="1">IFERROR(__xludf.DUMMYFUNCTION("""COMPUTED_VALUE"""),59.79)</f>
        <v>59.79</v>
      </c>
      <c r="Q19" s="2">
        <f ca="1">IFERROR(__xludf.DUMMYFUNCTION("""COMPUTED_VALUE"""),59.91)</f>
        <v>59.91</v>
      </c>
    </row>
    <row r="20" spans="1:17" ht="15.75" customHeight="1" x14ac:dyDescent="0.25">
      <c r="A20" s="2">
        <v>1171</v>
      </c>
      <c r="B20" s="2" t="str">
        <f ca="1">IFERROR(__xludf.DUMMYFUNCTION("""COMPUTED_VALUE"""),"ACEH")</f>
        <v>ACEH</v>
      </c>
      <c r="C20" s="2" t="str">
        <f ca="1">IFERROR(__xludf.DUMMYFUNCTION("""COMPUTED_VALUE"""),"Kota Banda Aceh")</f>
        <v>Kota Banda Aceh</v>
      </c>
      <c r="D20" s="2">
        <f ca="1">IFERROR(__xludf.DUMMYFUNCTION("""COMPUTED_VALUE"""),7.24)</f>
        <v>7.24</v>
      </c>
      <c r="E20" s="2">
        <f ca="1">IFERROR(__xludf.DUMMYFUNCTION("""COMPUTED_VALUE"""),6.89)</f>
        <v>6.89</v>
      </c>
      <c r="F20" s="2">
        <f ca="1">IFERROR(__xludf.DUMMYFUNCTION("""COMPUTED_VALUE"""),9.54)</f>
        <v>9.5399999999999991</v>
      </c>
      <c r="G20" s="2">
        <f ca="1">IFERROR(__xludf.DUMMYFUNCTION("""COMPUTED_VALUE"""),8.94)</f>
        <v>8.94</v>
      </c>
      <c r="H20" s="2">
        <f ca="1">IFERROR(__xludf.DUMMYFUNCTION("""COMPUTED_VALUE"""),8.62)</f>
        <v>8.6199999999999992</v>
      </c>
      <c r="I20" s="2">
        <f ca="1">IFERROR(__xludf.DUMMYFUNCTION("""COMPUTED_VALUE"""),8.03)</f>
        <v>8.0299999999999994</v>
      </c>
      <c r="J20" s="2">
        <f ca="1">IFERROR(__xludf.DUMMYFUNCTION("""COMPUTED_VALUE"""),7.55)</f>
        <v>7.55</v>
      </c>
      <c r="K20" s="2">
        <f ca="1">IFERROR(__xludf.DUMMYFUNCTION("""COMPUTED_VALUE"""),59.94)</f>
        <v>59.94</v>
      </c>
      <c r="L20" s="2">
        <f ca="1">IFERROR(__xludf.DUMMYFUNCTION("""COMPUTED_VALUE"""),61.13)</f>
        <v>61.13</v>
      </c>
      <c r="M20" s="2">
        <f ca="1">IFERROR(__xludf.DUMMYFUNCTION("""COMPUTED_VALUE"""),61.54)</f>
        <v>61.54</v>
      </c>
      <c r="N20" s="2">
        <f ca="1">IFERROR(__xludf.DUMMYFUNCTION("""COMPUTED_VALUE"""),63)</f>
        <v>63</v>
      </c>
      <c r="O20" s="2">
        <f ca="1">IFERROR(__xludf.DUMMYFUNCTION("""COMPUTED_VALUE"""),58.93)</f>
        <v>58.93</v>
      </c>
      <c r="P20" s="2">
        <f ca="1">IFERROR(__xludf.DUMMYFUNCTION("""COMPUTED_VALUE"""),65.02)</f>
        <v>65.02</v>
      </c>
      <c r="Q20" s="2">
        <f ca="1">IFERROR(__xludf.DUMMYFUNCTION("""COMPUTED_VALUE"""),65.07)</f>
        <v>65.069999999999993</v>
      </c>
    </row>
    <row r="21" spans="1:17" ht="15.75" customHeight="1" x14ac:dyDescent="0.25">
      <c r="A21" s="2">
        <v>1172</v>
      </c>
      <c r="B21" s="2" t="str">
        <f ca="1">IFERROR(__xludf.DUMMYFUNCTION("""COMPUTED_VALUE"""),"ACEH")</f>
        <v>ACEH</v>
      </c>
      <c r="C21" s="2" t="str">
        <f ca="1">IFERROR(__xludf.DUMMYFUNCTION("""COMPUTED_VALUE"""),"Kota Sabang")</f>
        <v>Kota Sabang</v>
      </c>
      <c r="D21" s="2">
        <f ca="1">IFERROR(__xludf.DUMMYFUNCTION("""COMPUTED_VALUE"""),4.19)</f>
        <v>4.1900000000000004</v>
      </c>
      <c r="E21" s="2">
        <f ca="1">IFERROR(__xludf.DUMMYFUNCTION("""COMPUTED_VALUE"""),4.6)</f>
        <v>4.5999999999999996</v>
      </c>
      <c r="F21" s="2">
        <f ca="1">IFERROR(__xludf.DUMMYFUNCTION("""COMPUTED_VALUE"""),4.81)</f>
        <v>4.8099999999999996</v>
      </c>
      <c r="G21" s="2">
        <f ca="1">IFERROR(__xludf.DUMMYFUNCTION("""COMPUTED_VALUE"""),3.56)</f>
        <v>3.56</v>
      </c>
      <c r="H21" s="2">
        <f ca="1">IFERROR(__xludf.DUMMYFUNCTION("""COMPUTED_VALUE"""),4.01)</f>
        <v>4.01</v>
      </c>
      <c r="I21" s="2">
        <f ca="1">IFERROR(__xludf.DUMMYFUNCTION("""COMPUTED_VALUE"""),3.92)</f>
        <v>3.92</v>
      </c>
      <c r="J21" s="2">
        <f ca="1">IFERROR(__xludf.DUMMYFUNCTION("""COMPUTED_VALUE"""),2.95)</f>
        <v>2.95</v>
      </c>
      <c r="K21" s="2">
        <f ca="1">IFERROR(__xludf.DUMMYFUNCTION("""COMPUTED_VALUE"""),65.48)</f>
        <v>65.48</v>
      </c>
      <c r="L21" s="2">
        <f ca="1">IFERROR(__xludf.DUMMYFUNCTION("""COMPUTED_VALUE"""),72.4)</f>
        <v>72.400000000000006</v>
      </c>
      <c r="M21" s="2">
        <f ca="1">IFERROR(__xludf.DUMMYFUNCTION("""COMPUTED_VALUE"""),71.55)</f>
        <v>71.55</v>
      </c>
      <c r="N21" s="2">
        <f ca="1">IFERROR(__xludf.DUMMYFUNCTION("""COMPUTED_VALUE"""),63.71)</f>
        <v>63.71</v>
      </c>
      <c r="O21" s="2">
        <f ca="1">IFERROR(__xludf.DUMMYFUNCTION("""COMPUTED_VALUE"""),67.81)</f>
        <v>67.81</v>
      </c>
      <c r="P21" s="2">
        <f ca="1">IFERROR(__xludf.DUMMYFUNCTION("""COMPUTED_VALUE"""),67.11)</f>
        <v>67.11</v>
      </c>
      <c r="Q21" s="2">
        <f ca="1">IFERROR(__xludf.DUMMYFUNCTION("""COMPUTED_VALUE"""),68.03)</f>
        <v>68.03</v>
      </c>
    </row>
    <row r="22" spans="1:17" ht="15.75" customHeight="1" x14ac:dyDescent="0.25">
      <c r="A22" s="2">
        <v>1173</v>
      </c>
      <c r="B22" s="2" t="str">
        <f ca="1">IFERROR(__xludf.DUMMYFUNCTION("""COMPUTED_VALUE"""),"ACEH")</f>
        <v>ACEH</v>
      </c>
      <c r="C22" s="2" t="str">
        <f ca="1">IFERROR(__xludf.DUMMYFUNCTION("""COMPUTED_VALUE"""),"Kota Langsa")</f>
        <v>Kota Langsa</v>
      </c>
      <c r="D22" s="2">
        <f ca="1">IFERROR(__xludf.DUMMYFUNCTION("""COMPUTED_VALUE"""),7.12)</f>
        <v>7.12</v>
      </c>
      <c r="E22" s="2">
        <f ca="1">IFERROR(__xludf.DUMMYFUNCTION("""COMPUTED_VALUE"""),7.69)</f>
        <v>7.69</v>
      </c>
      <c r="F22" s="2">
        <f ca="1">IFERROR(__xludf.DUMMYFUNCTION("""COMPUTED_VALUE"""),9.75)</f>
        <v>9.75</v>
      </c>
      <c r="G22" s="2">
        <f ca="1">IFERROR(__xludf.DUMMYFUNCTION("""COMPUTED_VALUE"""),7.21)</f>
        <v>7.21</v>
      </c>
      <c r="H22" s="2">
        <f ca="1">IFERROR(__xludf.DUMMYFUNCTION("""COMPUTED_VALUE"""),7.85)</f>
        <v>7.85</v>
      </c>
      <c r="I22" s="2">
        <f ca="1">IFERROR(__xludf.DUMMYFUNCTION("""COMPUTED_VALUE"""),7.73)</f>
        <v>7.73</v>
      </c>
      <c r="J22" s="2">
        <f ca="1">IFERROR(__xludf.DUMMYFUNCTION("""COMPUTED_VALUE"""),7.34)</f>
        <v>7.34</v>
      </c>
      <c r="K22" s="2">
        <f ca="1">IFERROR(__xludf.DUMMYFUNCTION("""COMPUTED_VALUE"""),62.59)</f>
        <v>62.59</v>
      </c>
      <c r="L22" s="2">
        <f ca="1">IFERROR(__xludf.DUMMYFUNCTION("""COMPUTED_VALUE"""),67.24)</f>
        <v>67.239999999999995</v>
      </c>
      <c r="M22" s="2">
        <f ca="1">IFERROR(__xludf.DUMMYFUNCTION("""COMPUTED_VALUE"""),66.58)</f>
        <v>66.58</v>
      </c>
      <c r="N22" s="2">
        <f ca="1">IFERROR(__xludf.DUMMYFUNCTION("""COMPUTED_VALUE"""),67.04)</f>
        <v>67.040000000000006</v>
      </c>
      <c r="O22" s="2">
        <f ca="1">IFERROR(__xludf.DUMMYFUNCTION("""COMPUTED_VALUE"""),63.9)</f>
        <v>63.9</v>
      </c>
      <c r="P22" s="2">
        <f ca="1">IFERROR(__xludf.DUMMYFUNCTION("""COMPUTED_VALUE"""),59.98)</f>
        <v>59.98</v>
      </c>
      <c r="Q22" s="2">
        <f ca="1">IFERROR(__xludf.DUMMYFUNCTION("""COMPUTED_VALUE"""),60.02)</f>
        <v>60.02</v>
      </c>
    </row>
    <row r="23" spans="1:17" ht="15.75" customHeight="1" x14ac:dyDescent="0.25">
      <c r="A23" s="2">
        <v>1174</v>
      </c>
      <c r="B23" s="2" t="str">
        <f ca="1">IFERROR(__xludf.DUMMYFUNCTION("""COMPUTED_VALUE"""),"ACEH")</f>
        <v>ACEH</v>
      </c>
      <c r="C23" s="2" t="str">
        <f ca="1">IFERROR(__xludf.DUMMYFUNCTION("""COMPUTED_VALUE"""),"Kota Lhokseumawe")</f>
        <v>Kota Lhokseumawe</v>
      </c>
      <c r="D23" s="2">
        <f ca="1">IFERROR(__xludf.DUMMYFUNCTION("""COMPUTED_VALUE"""),12.51)</f>
        <v>12.51</v>
      </c>
      <c r="E23" s="2">
        <f ca="1">IFERROR(__xludf.DUMMYFUNCTION("""COMPUTED_VALUE"""),11.01)</f>
        <v>11.01</v>
      </c>
      <c r="F23" s="2">
        <f ca="1">IFERROR(__xludf.DUMMYFUNCTION("""COMPUTED_VALUE"""),11.99)</f>
        <v>11.99</v>
      </c>
      <c r="G23" s="2">
        <f ca="1">IFERROR(__xludf.DUMMYFUNCTION("""COMPUTED_VALUE"""),11.16)</f>
        <v>11.16</v>
      </c>
      <c r="H23" s="2">
        <f ca="1">IFERROR(__xludf.DUMMYFUNCTION("""COMPUTED_VALUE"""),9.15)</f>
        <v>9.15</v>
      </c>
      <c r="I23" s="2">
        <f ca="1">IFERROR(__xludf.DUMMYFUNCTION("""COMPUTED_VALUE"""),8.78)</f>
        <v>8.7799999999999994</v>
      </c>
      <c r="J23" s="2">
        <f ca="1">IFERROR(__xludf.DUMMYFUNCTION("""COMPUTED_VALUE"""),8.47)</f>
        <v>8.4700000000000006</v>
      </c>
      <c r="K23" s="2">
        <f ca="1">IFERROR(__xludf.DUMMYFUNCTION("""COMPUTED_VALUE"""),57.48)</f>
        <v>57.48</v>
      </c>
      <c r="L23" s="2">
        <f ca="1">IFERROR(__xludf.DUMMYFUNCTION("""COMPUTED_VALUE"""),61.94)</f>
        <v>61.94</v>
      </c>
      <c r="M23" s="2">
        <f ca="1">IFERROR(__xludf.DUMMYFUNCTION("""COMPUTED_VALUE"""),63.17)</f>
        <v>63.17</v>
      </c>
      <c r="N23" s="2">
        <f ca="1">IFERROR(__xludf.DUMMYFUNCTION("""COMPUTED_VALUE"""),63.91)</f>
        <v>63.91</v>
      </c>
      <c r="O23" s="2">
        <f ca="1">IFERROR(__xludf.DUMMYFUNCTION("""COMPUTED_VALUE"""),64.11)</f>
        <v>64.11</v>
      </c>
      <c r="P23" s="2">
        <f ca="1">IFERROR(__xludf.DUMMYFUNCTION("""COMPUTED_VALUE"""),64.36)</f>
        <v>64.36</v>
      </c>
      <c r="Q23" s="2">
        <f ca="1">IFERROR(__xludf.DUMMYFUNCTION("""COMPUTED_VALUE"""),64.61)</f>
        <v>64.61</v>
      </c>
    </row>
    <row r="24" spans="1:17" ht="15.75" customHeight="1" x14ac:dyDescent="0.25">
      <c r="A24" s="2">
        <v>1175</v>
      </c>
      <c r="B24" s="2" t="str">
        <f ca="1">IFERROR(__xludf.DUMMYFUNCTION("""COMPUTED_VALUE"""),"ACEH")</f>
        <v>ACEH</v>
      </c>
      <c r="C24" s="2" t="str">
        <f ca="1">IFERROR(__xludf.DUMMYFUNCTION("""COMPUTED_VALUE"""),"Kota Subulussalam")</f>
        <v>Kota Subulussalam</v>
      </c>
      <c r="D24" s="2">
        <f ca="1">IFERROR(__xludf.DUMMYFUNCTION("""COMPUTED_VALUE"""),6.44)</f>
        <v>6.44</v>
      </c>
      <c r="E24" s="2">
        <f ca="1">IFERROR(__xludf.DUMMYFUNCTION("""COMPUTED_VALUE"""),7.25)</f>
        <v>7.25</v>
      </c>
      <c r="F24" s="2">
        <f ca="1">IFERROR(__xludf.DUMMYFUNCTION("""COMPUTED_VALUE"""),6.93)</f>
        <v>6.93</v>
      </c>
      <c r="G24" s="2">
        <f ca="1">IFERROR(__xludf.DUMMYFUNCTION("""COMPUTED_VALUE"""),6.26)</f>
        <v>6.26</v>
      </c>
      <c r="H24" s="2">
        <f ca="1">IFERROR(__xludf.DUMMYFUNCTION("""COMPUTED_VALUE"""),5.75)</f>
        <v>5.75</v>
      </c>
      <c r="I24" s="2">
        <f ca="1">IFERROR(__xludf.DUMMYFUNCTION("""COMPUTED_VALUE"""),5.69)</f>
        <v>5.69</v>
      </c>
      <c r="J24" s="2">
        <f ca="1">IFERROR(__xludf.DUMMYFUNCTION("""COMPUTED_VALUE"""),5.12)</f>
        <v>5.12</v>
      </c>
      <c r="K24" s="2">
        <f ca="1">IFERROR(__xludf.DUMMYFUNCTION("""COMPUTED_VALUE"""),58.93)</f>
        <v>58.93</v>
      </c>
      <c r="L24" s="2">
        <f ca="1">IFERROR(__xludf.DUMMYFUNCTION("""COMPUTED_VALUE"""),64.43)</f>
        <v>64.430000000000007</v>
      </c>
      <c r="M24" s="2">
        <f ca="1">IFERROR(__xludf.DUMMYFUNCTION("""COMPUTED_VALUE"""),64.18)</f>
        <v>64.180000000000007</v>
      </c>
      <c r="N24" s="2">
        <f ca="1">IFERROR(__xludf.DUMMYFUNCTION("""COMPUTED_VALUE"""),63.78)</f>
        <v>63.78</v>
      </c>
      <c r="O24" s="2">
        <f ca="1">IFERROR(__xludf.DUMMYFUNCTION("""COMPUTED_VALUE"""),67.04)</f>
        <v>67.040000000000006</v>
      </c>
      <c r="P24" s="2">
        <f ca="1">IFERROR(__xludf.DUMMYFUNCTION("""COMPUTED_VALUE"""),67.75)</f>
        <v>67.75</v>
      </c>
      <c r="Q24" s="2">
        <f ca="1">IFERROR(__xludf.DUMMYFUNCTION("""COMPUTED_VALUE"""),68.6)</f>
        <v>68.599999999999994</v>
      </c>
    </row>
    <row r="25" spans="1:17" ht="15.75" customHeight="1" x14ac:dyDescent="0.25">
      <c r="A25" s="2">
        <v>1201</v>
      </c>
      <c r="B25" s="2" t="str">
        <f ca="1">IFERROR(__xludf.DUMMYFUNCTION("""COMPUTED_VALUE"""),"SUMATERA UTARA")</f>
        <v>SUMATERA UTARA</v>
      </c>
      <c r="C25" s="2" t="str">
        <f ca="1">IFERROR(__xludf.DUMMYFUNCTION("""COMPUTED_VALUE"""),"Nias")</f>
        <v>Nias</v>
      </c>
      <c r="D25" s="2">
        <f ca="1">IFERROR(__xludf.DUMMYFUNCTION("""COMPUTED_VALUE"""),1.62)</f>
        <v>1.62</v>
      </c>
      <c r="E25" s="2">
        <f ca="1">IFERROR(__xludf.DUMMYFUNCTION("""COMPUTED_VALUE"""),1.09)</f>
        <v>1.0900000000000001</v>
      </c>
      <c r="F25" s="2">
        <f ca="1">IFERROR(__xludf.DUMMYFUNCTION("""COMPUTED_VALUE"""),3.49)</f>
        <v>3.49</v>
      </c>
      <c r="G25" s="2">
        <f ca="1">IFERROR(__xludf.DUMMYFUNCTION("""COMPUTED_VALUE"""),3.12)</f>
        <v>3.12</v>
      </c>
      <c r="H25" s="2">
        <f ca="1">IFERROR(__xludf.DUMMYFUNCTION("""COMPUTED_VALUE"""),2.81)</f>
        <v>2.81</v>
      </c>
      <c r="I25" s="2">
        <f ca="1">IFERROR(__xludf.DUMMYFUNCTION("""COMPUTED_VALUE"""),2.31)</f>
        <v>2.31</v>
      </c>
      <c r="J25" s="2">
        <f ca="1">IFERROR(__xludf.DUMMYFUNCTION("""COMPUTED_VALUE"""),2.1)</f>
        <v>2.1</v>
      </c>
      <c r="K25" s="2">
        <f ca="1">IFERROR(__xludf.DUMMYFUNCTION("""COMPUTED_VALUE"""),81.41)</f>
        <v>81.41</v>
      </c>
      <c r="L25" s="2">
        <f ca="1">IFERROR(__xludf.DUMMYFUNCTION("""COMPUTED_VALUE"""),84.69)</f>
        <v>84.69</v>
      </c>
      <c r="M25" s="2">
        <f ca="1">IFERROR(__xludf.DUMMYFUNCTION("""COMPUTED_VALUE"""),81.16)</f>
        <v>81.16</v>
      </c>
      <c r="N25" s="2">
        <f ca="1">IFERROR(__xludf.DUMMYFUNCTION("""COMPUTED_VALUE"""),81.79)</f>
        <v>81.790000000000006</v>
      </c>
      <c r="O25" s="2">
        <f ca="1">IFERROR(__xludf.DUMMYFUNCTION("""COMPUTED_VALUE"""),84.5)</f>
        <v>84.5</v>
      </c>
      <c r="P25" s="2">
        <f ca="1">IFERROR(__xludf.DUMMYFUNCTION("""COMPUTED_VALUE"""),81.68)</f>
        <v>81.680000000000007</v>
      </c>
      <c r="Q25" s="2">
        <f ca="1">IFERROR(__xludf.DUMMYFUNCTION("""COMPUTED_VALUE"""),82.45)</f>
        <v>82.45</v>
      </c>
    </row>
    <row r="26" spans="1:17" ht="15.75" customHeight="1" x14ac:dyDescent="0.25">
      <c r="A26" s="2">
        <v>1202</v>
      </c>
      <c r="B26" s="2" t="str">
        <f ca="1">IFERROR(__xludf.DUMMYFUNCTION("""COMPUTED_VALUE"""),"SUMATERA UTARA")</f>
        <v>SUMATERA UTARA</v>
      </c>
      <c r="C26" s="2" t="str">
        <f ca="1">IFERROR(__xludf.DUMMYFUNCTION("""COMPUTED_VALUE"""),"Mandailing Natal")</f>
        <v>Mandailing Natal</v>
      </c>
      <c r="D26" s="2">
        <f ca="1">IFERROR(__xludf.DUMMYFUNCTION("""COMPUTED_VALUE"""),4.43)</f>
        <v>4.43</v>
      </c>
      <c r="E26" s="2">
        <f ca="1">IFERROR(__xludf.DUMMYFUNCTION("""COMPUTED_VALUE"""),1.09)</f>
        <v>1.0900000000000001</v>
      </c>
      <c r="F26" s="2">
        <f ca="1">IFERROR(__xludf.DUMMYFUNCTION("""COMPUTED_VALUE"""),6.5)</f>
        <v>6.5</v>
      </c>
      <c r="G26" s="2">
        <f ca="1">IFERROR(__xludf.DUMMYFUNCTION("""COMPUTED_VALUE"""),6.12)</f>
        <v>6.12</v>
      </c>
      <c r="H26" s="2">
        <f ca="1">IFERROR(__xludf.DUMMYFUNCTION("""COMPUTED_VALUE"""),7.64)</f>
        <v>7.64</v>
      </c>
      <c r="I26" s="2">
        <f ca="1">IFERROR(__xludf.DUMMYFUNCTION("""COMPUTED_VALUE"""),7.45)</f>
        <v>7.45</v>
      </c>
      <c r="J26" s="2">
        <f ca="1">IFERROR(__xludf.DUMMYFUNCTION("""COMPUTED_VALUE"""),7.22)</f>
        <v>7.22</v>
      </c>
      <c r="K26" s="2">
        <f ca="1">IFERROR(__xludf.DUMMYFUNCTION("""COMPUTED_VALUE"""),73.59)</f>
        <v>73.59</v>
      </c>
      <c r="L26" s="2">
        <f ca="1">IFERROR(__xludf.DUMMYFUNCTION("""COMPUTED_VALUE"""),71.16)</f>
        <v>71.16</v>
      </c>
      <c r="M26" s="2">
        <f ca="1">IFERROR(__xludf.DUMMYFUNCTION("""COMPUTED_VALUE"""),65.94)</f>
        <v>65.94</v>
      </c>
      <c r="N26" s="2">
        <f ca="1">IFERROR(__xludf.DUMMYFUNCTION("""COMPUTED_VALUE"""),69.79)</f>
        <v>69.790000000000006</v>
      </c>
      <c r="O26" s="2">
        <f ca="1">IFERROR(__xludf.DUMMYFUNCTION("""COMPUTED_VALUE"""),71.15)</f>
        <v>71.150000000000006</v>
      </c>
      <c r="P26" s="2">
        <f ca="1">IFERROR(__xludf.DUMMYFUNCTION("""COMPUTED_VALUE"""),63.07)</f>
        <v>63.07</v>
      </c>
      <c r="Q26" s="2">
        <f ca="1">IFERROR(__xludf.DUMMYFUNCTION("""COMPUTED_VALUE"""),64.42)</f>
        <v>64.42</v>
      </c>
    </row>
    <row r="27" spans="1:17" ht="15.75" customHeight="1" x14ac:dyDescent="0.25">
      <c r="A27" s="2">
        <v>1203</v>
      </c>
      <c r="B27" s="2" t="str">
        <f ca="1">IFERROR(__xludf.DUMMYFUNCTION("""COMPUTED_VALUE"""),"SUMATERA UTARA")</f>
        <v>SUMATERA UTARA</v>
      </c>
      <c r="C27" s="2" t="str">
        <f ca="1">IFERROR(__xludf.DUMMYFUNCTION("""COMPUTED_VALUE"""),"Tapanuli Selatan")</f>
        <v>Tapanuli Selatan</v>
      </c>
      <c r="D27" s="2">
        <f ca="1">IFERROR(__xludf.DUMMYFUNCTION("""COMPUTED_VALUE"""),5.28)</f>
        <v>5.28</v>
      </c>
      <c r="E27" s="2">
        <f ca="1">IFERROR(__xludf.DUMMYFUNCTION("""COMPUTED_VALUE"""),4.17)</f>
        <v>4.17</v>
      </c>
      <c r="F27" s="2">
        <f ca="1">IFERROR(__xludf.DUMMYFUNCTION("""COMPUTED_VALUE"""),4.42)</f>
        <v>4.42</v>
      </c>
      <c r="G27" s="2">
        <f ca="1">IFERROR(__xludf.DUMMYFUNCTION("""COMPUTED_VALUE"""),4)</f>
        <v>4</v>
      </c>
      <c r="H27" s="2">
        <f ca="1">IFERROR(__xludf.DUMMYFUNCTION("""COMPUTED_VALUE"""),3.65)</f>
        <v>3.65</v>
      </c>
      <c r="I27" s="2">
        <f ca="1">IFERROR(__xludf.DUMMYFUNCTION("""COMPUTED_VALUE"""),3.49)</f>
        <v>3.49</v>
      </c>
      <c r="J27" s="2">
        <f ca="1">IFERROR(__xludf.DUMMYFUNCTION("""COMPUTED_VALUE"""),3.41)</f>
        <v>3.41</v>
      </c>
      <c r="K27" s="2">
        <f ca="1">IFERROR(__xludf.DUMMYFUNCTION("""COMPUTED_VALUE"""),76.8)</f>
        <v>76.8</v>
      </c>
      <c r="L27" s="2">
        <f ca="1">IFERROR(__xludf.DUMMYFUNCTION("""COMPUTED_VALUE"""),75.22)</f>
        <v>75.22</v>
      </c>
      <c r="M27" s="2">
        <f ca="1">IFERROR(__xludf.DUMMYFUNCTION("""COMPUTED_VALUE"""),78.54)</f>
        <v>78.540000000000006</v>
      </c>
      <c r="N27" s="2">
        <f ca="1">IFERROR(__xludf.DUMMYFUNCTION("""COMPUTED_VALUE"""),74.38)</f>
        <v>74.38</v>
      </c>
      <c r="O27" s="2">
        <f ca="1">IFERROR(__xludf.DUMMYFUNCTION("""COMPUTED_VALUE"""),74.53)</f>
        <v>74.53</v>
      </c>
      <c r="P27" s="2">
        <f ca="1">IFERROR(__xludf.DUMMYFUNCTION("""COMPUTED_VALUE"""),75.64)</f>
        <v>75.64</v>
      </c>
      <c r="Q27" s="2">
        <f ca="1">IFERROR(__xludf.DUMMYFUNCTION("""COMPUTED_VALUE"""),75.68)</f>
        <v>75.680000000000007</v>
      </c>
    </row>
    <row r="28" spans="1:17" ht="15.75" customHeight="1" x14ac:dyDescent="0.25">
      <c r="A28" s="2">
        <v>1204</v>
      </c>
      <c r="B28" s="2" t="str">
        <f ca="1">IFERROR(__xludf.DUMMYFUNCTION("""COMPUTED_VALUE"""),"SUMATERA UTARA")</f>
        <v>SUMATERA UTARA</v>
      </c>
      <c r="C28" s="2" t="str">
        <f ca="1">IFERROR(__xludf.DUMMYFUNCTION("""COMPUTED_VALUE"""),"Tapanuli Tengah")</f>
        <v>Tapanuli Tengah</v>
      </c>
      <c r="D28" s="2">
        <f ca="1">IFERROR(__xludf.DUMMYFUNCTION("""COMPUTED_VALUE"""),6.38)</f>
        <v>6.38</v>
      </c>
      <c r="E28" s="2">
        <f ca="1">IFERROR(__xludf.DUMMYFUNCTION("""COMPUTED_VALUE"""),7.26)</f>
        <v>7.26</v>
      </c>
      <c r="F28" s="2">
        <f ca="1">IFERROR(__xludf.DUMMYFUNCTION("""COMPUTED_VALUE"""),7.54)</f>
        <v>7.54</v>
      </c>
      <c r="G28" s="2">
        <f ca="1">IFERROR(__xludf.DUMMYFUNCTION("""COMPUTED_VALUE"""),7.24)</f>
        <v>7.24</v>
      </c>
      <c r="H28" s="2">
        <f ca="1">IFERROR(__xludf.DUMMYFUNCTION("""COMPUTED_VALUE"""),7.97)</f>
        <v>7.97</v>
      </c>
      <c r="I28" s="2">
        <f ca="1">IFERROR(__xludf.DUMMYFUNCTION("""COMPUTED_VALUE"""),7.81)</f>
        <v>7.81</v>
      </c>
      <c r="J28" s="2">
        <f ca="1">IFERROR(__xludf.DUMMYFUNCTION("""COMPUTED_VALUE"""),7.45)</f>
        <v>7.45</v>
      </c>
      <c r="K28" s="2">
        <f ca="1">IFERROR(__xludf.DUMMYFUNCTION("""COMPUTED_VALUE"""),75.43)</f>
        <v>75.430000000000007</v>
      </c>
      <c r="L28" s="2">
        <f ca="1">IFERROR(__xludf.DUMMYFUNCTION("""COMPUTED_VALUE"""),71.49)</f>
        <v>71.489999999999995</v>
      </c>
      <c r="M28" s="2">
        <f ca="1">IFERROR(__xludf.DUMMYFUNCTION("""COMPUTED_VALUE"""),70.91)</f>
        <v>70.91</v>
      </c>
      <c r="N28" s="2">
        <f ca="1">IFERROR(__xludf.DUMMYFUNCTION("""COMPUTED_VALUE"""),75.05)</f>
        <v>75.05</v>
      </c>
      <c r="O28" s="2">
        <f ca="1">IFERROR(__xludf.DUMMYFUNCTION("""COMPUTED_VALUE"""),76.51)</f>
        <v>76.510000000000005</v>
      </c>
      <c r="P28" s="2">
        <f ca="1">IFERROR(__xludf.DUMMYFUNCTION("""COMPUTED_VALUE"""),74.52)</f>
        <v>74.52</v>
      </c>
      <c r="Q28" s="2">
        <f ca="1">IFERROR(__xludf.DUMMYFUNCTION("""COMPUTED_VALUE"""),75.72)</f>
        <v>75.72</v>
      </c>
    </row>
    <row r="29" spans="1:17" ht="15.75" customHeight="1" x14ac:dyDescent="0.25">
      <c r="A29" s="2">
        <v>1205</v>
      </c>
      <c r="B29" s="2" t="str">
        <f ca="1">IFERROR(__xludf.DUMMYFUNCTION("""COMPUTED_VALUE"""),"SUMATERA UTARA")</f>
        <v>SUMATERA UTARA</v>
      </c>
      <c r="C29" s="2" t="str">
        <f ca="1">IFERROR(__xludf.DUMMYFUNCTION("""COMPUTED_VALUE"""),"Tapanuli Utara")</f>
        <v>Tapanuli Utara</v>
      </c>
      <c r="D29" s="2">
        <f ca="1">IFERROR(__xludf.DUMMYFUNCTION("""COMPUTED_VALUE"""),1.42)</f>
        <v>1.42</v>
      </c>
      <c r="E29" s="2">
        <f ca="1">IFERROR(__xludf.DUMMYFUNCTION("""COMPUTED_VALUE"""),1.33)</f>
        <v>1.33</v>
      </c>
      <c r="F29" s="2">
        <f ca="1">IFERROR(__xludf.DUMMYFUNCTION("""COMPUTED_VALUE"""),2.94)</f>
        <v>2.94</v>
      </c>
      <c r="G29" s="2">
        <f ca="1">IFERROR(__xludf.DUMMYFUNCTION("""COMPUTED_VALUE"""),1.54)</f>
        <v>1.54</v>
      </c>
      <c r="H29" s="2">
        <f ca="1">IFERROR(__xludf.DUMMYFUNCTION("""COMPUTED_VALUE"""),1.07)</f>
        <v>1.07</v>
      </c>
      <c r="I29" s="2">
        <f ca="1">IFERROR(__xludf.DUMMYFUNCTION("""COMPUTED_VALUE"""),1.03)</f>
        <v>1.03</v>
      </c>
      <c r="J29" s="2">
        <f ca="1">IFERROR(__xludf.DUMMYFUNCTION("""COMPUTED_VALUE"""),1.21)</f>
        <v>1.21</v>
      </c>
      <c r="K29" s="2">
        <f ca="1">IFERROR(__xludf.DUMMYFUNCTION("""COMPUTED_VALUE"""),83.8)</f>
        <v>83.8</v>
      </c>
      <c r="L29" s="2">
        <f ca="1">IFERROR(__xludf.DUMMYFUNCTION("""COMPUTED_VALUE"""),81.78)</f>
        <v>81.78</v>
      </c>
      <c r="M29" s="2">
        <f ca="1">IFERROR(__xludf.DUMMYFUNCTION("""COMPUTED_VALUE"""),82.18)</f>
        <v>82.18</v>
      </c>
      <c r="N29" s="2">
        <f ca="1">IFERROR(__xludf.DUMMYFUNCTION("""COMPUTED_VALUE"""),82.63)</f>
        <v>82.63</v>
      </c>
      <c r="O29" s="2">
        <f ca="1">IFERROR(__xludf.DUMMYFUNCTION("""COMPUTED_VALUE"""),81.07)</f>
        <v>81.069999999999993</v>
      </c>
      <c r="P29" s="2">
        <f ca="1">IFERROR(__xludf.DUMMYFUNCTION("""COMPUTED_VALUE"""),81.2)</f>
        <v>81.2</v>
      </c>
      <c r="Q29" s="2">
        <f ca="1">IFERROR(__xludf.DUMMYFUNCTION("""COMPUTED_VALUE"""),83.69)</f>
        <v>83.69</v>
      </c>
    </row>
    <row r="30" spans="1:17" ht="15.75" customHeight="1" x14ac:dyDescent="0.25">
      <c r="A30" s="2">
        <v>1206</v>
      </c>
      <c r="B30" s="2" t="str">
        <f ca="1">IFERROR(__xludf.DUMMYFUNCTION("""COMPUTED_VALUE"""),"SUMATERA UTARA")</f>
        <v>SUMATERA UTARA</v>
      </c>
      <c r="C30" s="2" t="str">
        <f ca="1">IFERROR(__xludf.DUMMYFUNCTION("""COMPUTED_VALUE"""),"Toba")</f>
        <v>Toba</v>
      </c>
      <c r="D30" s="2">
        <f ca="1">IFERROR(__xludf.DUMMYFUNCTION("""COMPUTED_VALUE"""),2.15)</f>
        <v>2.15</v>
      </c>
      <c r="E30" s="2">
        <f ca="1">IFERROR(__xludf.DUMMYFUNCTION("""COMPUTED_VALUE"""),1.26)</f>
        <v>1.26</v>
      </c>
      <c r="F30" s="2">
        <f ca="1">IFERROR(__xludf.DUMMYFUNCTION("""COMPUTED_VALUE"""),2.5)</f>
        <v>2.5</v>
      </c>
      <c r="G30" s="2">
        <f ca="1">IFERROR(__xludf.DUMMYFUNCTION("""COMPUTED_VALUE"""),0.83)</f>
        <v>0.83</v>
      </c>
      <c r="H30" s="2">
        <f ca="1">IFERROR(__xludf.DUMMYFUNCTION("""COMPUTED_VALUE"""),1.39)</f>
        <v>1.39</v>
      </c>
      <c r="I30" s="2">
        <f ca="1">IFERROR(__xludf.DUMMYFUNCTION("""COMPUTED_VALUE"""),1.3)</f>
        <v>1.3</v>
      </c>
      <c r="J30" s="2">
        <f ca="1">IFERROR(__xludf.DUMMYFUNCTION("""COMPUTED_VALUE"""),1.09)</f>
        <v>1.0900000000000001</v>
      </c>
      <c r="K30" s="2">
        <f ca="1">IFERROR(__xludf.DUMMYFUNCTION("""COMPUTED_VALUE"""),79.89)</f>
        <v>79.89</v>
      </c>
      <c r="L30" s="2">
        <f ca="1">IFERROR(__xludf.DUMMYFUNCTION("""COMPUTED_VALUE"""),82.03)</f>
        <v>82.03</v>
      </c>
      <c r="M30" s="2">
        <f ca="1">IFERROR(__xludf.DUMMYFUNCTION("""COMPUTED_VALUE"""),81.21)</f>
        <v>81.209999999999994</v>
      </c>
      <c r="N30" s="2">
        <f ca="1">IFERROR(__xludf.DUMMYFUNCTION("""COMPUTED_VALUE"""),80.38)</f>
        <v>80.38</v>
      </c>
      <c r="O30" s="2">
        <f ca="1">IFERROR(__xludf.DUMMYFUNCTION("""COMPUTED_VALUE"""),79.04)</f>
        <v>79.040000000000006</v>
      </c>
      <c r="P30" s="2">
        <f ca="1">IFERROR(__xludf.DUMMYFUNCTION("""COMPUTED_VALUE"""),80.87)</f>
        <v>80.87</v>
      </c>
      <c r="Q30" s="2">
        <f ca="1">IFERROR(__xludf.DUMMYFUNCTION("""COMPUTED_VALUE"""),82.57)</f>
        <v>82.57</v>
      </c>
    </row>
    <row r="31" spans="1:17" ht="15.75" customHeight="1" x14ac:dyDescent="0.25">
      <c r="A31" s="2">
        <v>1207</v>
      </c>
      <c r="B31" s="2" t="str">
        <f ca="1">IFERROR(__xludf.DUMMYFUNCTION("""COMPUTED_VALUE"""),"SUMATERA UTARA")</f>
        <v>SUMATERA UTARA</v>
      </c>
      <c r="C31" s="2" t="s">
        <v>72</v>
      </c>
      <c r="D31" s="2">
        <f ca="1">IFERROR(__xludf.DUMMYFUNCTION("""COMPUTED_VALUE"""),6.98)</f>
        <v>6.98</v>
      </c>
      <c r="E31" s="2">
        <f ca="1">IFERROR(__xludf.DUMMYFUNCTION("""COMPUTED_VALUE"""),5.7)</f>
        <v>5.7</v>
      </c>
      <c r="F31" s="2">
        <f ca="1">IFERROR(__xludf.DUMMYFUNCTION("""COMPUTED_VALUE"""),6.05)</f>
        <v>6.05</v>
      </c>
      <c r="G31" s="2">
        <f ca="1">IFERROR(__xludf.DUMMYFUNCTION("""COMPUTED_VALUE"""),5.66)</f>
        <v>5.66</v>
      </c>
      <c r="H31" s="2">
        <f ca="1">IFERROR(__xludf.DUMMYFUNCTION("""COMPUTED_VALUE"""),6.9)</f>
        <v>6.9</v>
      </c>
      <c r="I31" s="2">
        <f ca="1">IFERROR(__xludf.DUMMYFUNCTION("""COMPUTED_VALUE"""),5.99)</f>
        <v>5.99</v>
      </c>
      <c r="J31" s="2">
        <f ca="1">IFERROR(__xludf.DUMMYFUNCTION("""COMPUTED_VALUE"""),5.9)</f>
        <v>5.9</v>
      </c>
      <c r="K31" s="2">
        <f ca="1">IFERROR(__xludf.DUMMYFUNCTION("""COMPUTED_VALUE"""),67.94)</f>
        <v>67.94</v>
      </c>
      <c r="L31" s="2">
        <f ca="1">IFERROR(__xludf.DUMMYFUNCTION("""COMPUTED_VALUE"""),62.39)</f>
        <v>62.39</v>
      </c>
      <c r="M31" s="2">
        <f ca="1">IFERROR(__xludf.DUMMYFUNCTION("""COMPUTED_VALUE"""),64.91)</f>
        <v>64.91</v>
      </c>
      <c r="N31" s="2">
        <f ca="1">IFERROR(__xludf.DUMMYFUNCTION("""COMPUTED_VALUE"""),61.84)</f>
        <v>61.84</v>
      </c>
      <c r="O31" s="2">
        <f ca="1">IFERROR(__xludf.DUMMYFUNCTION("""COMPUTED_VALUE"""),63.51)</f>
        <v>63.51</v>
      </c>
      <c r="P31" s="2">
        <f ca="1">IFERROR(__xludf.DUMMYFUNCTION("""COMPUTED_VALUE"""),64.84)</f>
        <v>64.84</v>
      </c>
      <c r="Q31" s="2">
        <f ca="1">IFERROR(__xludf.DUMMYFUNCTION("""COMPUTED_VALUE"""),65.46)</f>
        <v>65.459999999999994</v>
      </c>
    </row>
    <row r="32" spans="1:17" ht="15.75" customHeight="1" x14ac:dyDescent="0.25">
      <c r="A32" s="2">
        <v>1208</v>
      </c>
      <c r="B32" s="2" t="str">
        <f ca="1">IFERROR(__xludf.DUMMYFUNCTION("""COMPUTED_VALUE"""),"SUMATERA UTARA")</f>
        <v>SUMATERA UTARA</v>
      </c>
      <c r="C32" s="2" t="str">
        <f ca="1">IFERROR(__xludf.DUMMYFUNCTION("""COMPUTED_VALUE"""),"Asahan")</f>
        <v>Asahan</v>
      </c>
      <c r="D32" s="2">
        <f ca="1">IFERROR(__xludf.DUMMYFUNCTION("""COMPUTED_VALUE"""),5.26)</f>
        <v>5.26</v>
      </c>
      <c r="E32" s="2">
        <f ca="1">IFERROR(__xludf.DUMMYFUNCTION("""COMPUTED_VALUE"""),6.86)</f>
        <v>6.86</v>
      </c>
      <c r="F32" s="2">
        <f ca="1">IFERROR(__xludf.DUMMYFUNCTION("""COMPUTED_VALUE"""),7.24)</f>
        <v>7.24</v>
      </c>
      <c r="G32" s="2">
        <f ca="1">IFERROR(__xludf.DUMMYFUNCTION("""COMPUTED_VALUE"""),6.39)</f>
        <v>6.39</v>
      </c>
      <c r="H32" s="2">
        <f ca="1">IFERROR(__xludf.DUMMYFUNCTION("""COMPUTED_VALUE"""),6.26)</f>
        <v>6.26</v>
      </c>
      <c r="I32" s="2">
        <f ca="1">IFERROR(__xludf.DUMMYFUNCTION("""COMPUTED_VALUE"""),6.12)</f>
        <v>6.12</v>
      </c>
      <c r="J32" s="2">
        <f ca="1">IFERROR(__xludf.DUMMYFUNCTION("""COMPUTED_VALUE"""),5.94)</f>
        <v>5.94</v>
      </c>
      <c r="K32" s="2">
        <f ca="1">IFERROR(__xludf.DUMMYFUNCTION("""COMPUTED_VALUE"""),67.63)</f>
        <v>67.63</v>
      </c>
      <c r="L32" s="2">
        <f ca="1">IFERROR(__xludf.DUMMYFUNCTION("""COMPUTED_VALUE"""),64.94)</f>
        <v>64.94</v>
      </c>
      <c r="M32" s="2">
        <f ca="1">IFERROR(__xludf.DUMMYFUNCTION("""COMPUTED_VALUE"""),59.62)</f>
        <v>59.62</v>
      </c>
      <c r="N32" s="2">
        <f ca="1">IFERROR(__xludf.DUMMYFUNCTION("""COMPUTED_VALUE"""),63.02)</f>
        <v>63.02</v>
      </c>
      <c r="O32" s="2">
        <f ca="1">IFERROR(__xludf.DUMMYFUNCTION("""COMPUTED_VALUE"""),65.68)</f>
        <v>65.680000000000007</v>
      </c>
      <c r="P32" s="2">
        <f ca="1">IFERROR(__xludf.DUMMYFUNCTION("""COMPUTED_VALUE"""),69.53)</f>
        <v>69.53</v>
      </c>
      <c r="Q32" s="2">
        <f ca="1">IFERROR(__xludf.DUMMYFUNCTION("""COMPUTED_VALUE"""),67.64)</f>
        <v>67.64</v>
      </c>
    </row>
    <row r="33" spans="1:17" ht="15.75" customHeight="1" x14ac:dyDescent="0.25">
      <c r="A33" s="2">
        <v>1209</v>
      </c>
      <c r="B33" s="2" t="str">
        <f ca="1">IFERROR(__xludf.DUMMYFUNCTION("""COMPUTED_VALUE"""),"SUMATERA UTARA")</f>
        <v>SUMATERA UTARA</v>
      </c>
      <c r="C33" s="2" t="str">
        <f ca="1">IFERROR(__xludf.DUMMYFUNCTION("""COMPUTED_VALUE"""),"Simalungun")</f>
        <v>Simalungun</v>
      </c>
      <c r="D33" s="2">
        <f ca="1">IFERROR(__xludf.DUMMYFUNCTION("""COMPUTED_VALUE"""),5.1)</f>
        <v>5.0999999999999996</v>
      </c>
      <c r="E33" s="2">
        <f ca="1">IFERROR(__xludf.DUMMYFUNCTION("""COMPUTED_VALUE"""),4.39)</f>
        <v>4.3899999999999997</v>
      </c>
      <c r="F33" s="2">
        <f ca="1">IFERROR(__xludf.DUMMYFUNCTION("""COMPUTED_VALUE"""),4.58)</f>
        <v>4.58</v>
      </c>
      <c r="G33" s="2">
        <f ca="1">IFERROR(__xludf.DUMMYFUNCTION("""COMPUTED_VALUE"""),4.17)</f>
        <v>4.17</v>
      </c>
      <c r="H33" s="2">
        <f ca="1">IFERROR(__xludf.DUMMYFUNCTION("""COMPUTED_VALUE"""),5.51)</f>
        <v>5.51</v>
      </c>
      <c r="I33" s="2">
        <f ca="1">IFERROR(__xludf.DUMMYFUNCTION("""COMPUTED_VALUE"""),5.35)</f>
        <v>5.35</v>
      </c>
      <c r="J33" s="2">
        <f ca="1">IFERROR(__xludf.DUMMYFUNCTION("""COMPUTED_VALUE"""),5.17)</f>
        <v>5.17</v>
      </c>
      <c r="K33" s="2">
        <f ca="1">IFERROR(__xludf.DUMMYFUNCTION("""COMPUTED_VALUE"""),73.28)</f>
        <v>73.28</v>
      </c>
      <c r="L33" s="2">
        <f ca="1">IFERROR(__xludf.DUMMYFUNCTION("""COMPUTED_VALUE"""),71.4)</f>
        <v>71.400000000000006</v>
      </c>
      <c r="M33" s="2">
        <f ca="1">IFERROR(__xludf.DUMMYFUNCTION("""COMPUTED_VALUE"""),71.83)</f>
        <v>71.83</v>
      </c>
      <c r="N33" s="2">
        <f ca="1">IFERROR(__xludf.DUMMYFUNCTION("""COMPUTED_VALUE"""),72.55)</f>
        <v>72.55</v>
      </c>
      <c r="O33" s="2">
        <f ca="1">IFERROR(__xludf.DUMMYFUNCTION("""COMPUTED_VALUE"""),69.91)</f>
        <v>69.91</v>
      </c>
      <c r="P33" s="2">
        <f ca="1">IFERROR(__xludf.DUMMYFUNCTION("""COMPUTED_VALUE"""),72.15)</f>
        <v>72.150000000000006</v>
      </c>
      <c r="Q33" s="2">
        <f ca="1">IFERROR(__xludf.DUMMYFUNCTION("""COMPUTED_VALUE"""),71.31)</f>
        <v>71.31</v>
      </c>
    </row>
    <row r="34" spans="1:17" ht="15.75" customHeight="1" x14ac:dyDescent="0.25">
      <c r="A34" s="2">
        <v>1210</v>
      </c>
      <c r="B34" s="2" t="str">
        <f ca="1">IFERROR(__xludf.DUMMYFUNCTION("""COMPUTED_VALUE"""),"SUMATERA UTARA")</f>
        <v>SUMATERA UTARA</v>
      </c>
      <c r="C34" s="2" t="str">
        <f ca="1">IFERROR(__xludf.DUMMYFUNCTION("""COMPUTED_VALUE"""),"Dairi")</f>
        <v>Dairi</v>
      </c>
      <c r="D34" s="2">
        <f ca="1">IFERROR(__xludf.DUMMYFUNCTION("""COMPUTED_VALUE"""),1.69)</f>
        <v>1.69</v>
      </c>
      <c r="E34" s="2">
        <f ca="1">IFERROR(__xludf.DUMMYFUNCTION("""COMPUTED_VALUE"""),1.58)</f>
        <v>1.58</v>
      </c>
      <c r="F34" s="2">
        <f ca="1">IFERROR(__xludf.DUMMYFUNCTION("""COMPUTED_VALUE"""),1.75)</f>
        <v>1.75</v>
      </c>
      <c r="G34" s="2">
        <f ca="1">IFERROR(__xludf.DUMMYFUNCTION("""COMPUTED_VALUE"""),1.49)</f>
        <v>1.49</v>
      </c>
      <c r="H34" s="2">
        <f ca="1">IFERROR(__xludf.DUMMYFUNCTION("""COMPUTED_VALUE"""),0.88)</f>
        <v>0.88</v>
      </c>
      <c r="I34" s="2">
        <f ca="1">IFERROR(__xludf.DUMMYFUNCTION("""COMPUTED_VALUE"""),1.23)</f>
        <v>1.23</v>
      </c>
      <c r="J34" s="2">
        <f ca="1">IFERROR(__xludf.DUMMYFUNCTION("""COMPUTED_VALUE"""),1.43)</f>
        <v>1.43</v>
      </c>
      <c r="K34" s="2">
        <f ca="1">IFERROR(__xludf.DUMMYFUNCTION("""COMPUTED_VALUE"""),88.5)</f>
        <v>88.5</v>
      </c>
      <c r="L34" s="2">
        <f ca="1">IFERROR(__xludf.DUMMYFUNCTION("""COMPUTED_VALUE"""),86.97)</f>
        <v>86.97</v>
      </c>
      <c r="M34" s="2">
        <f ca="1">IFERROR(__xludf.DUMMYFUNCTION("""COMPUTED_VALUE"""),70.22)</f>
        <v>70.22</v>
      </c>
      <c r="N34" s="2">
        <f ca="1">IFERROR(__xludf.DUMMYFUNCTION("""COMPUTED_VALUE"""),85.73)</f>
        <v>85.73</v>
      </c>
      <c r="O34" s="2">
        <f ca="1">IFERROR(__xludf.DUMMYFUNCTION("""COMPUTED_VALUE"""),85.01)</f>
        <v>85.01</v>
      </c>
      <c r="P34" s="2">
        <f ca="1">IFERROR(__xludf.DUMMYFUNCTION("""COMPUTED_VALUE"""),84.81)</f>
        <v>84.81</v>
      </c>
      <c r="Q34" s="2">
        <f ca="1">IFERROR(__xludf.DUMMYFUNCTION("""COMPUTED_VALUE"""),83.8)</f>
        <v>83.8</v>
      </c>
    </row>
    <row r="35" spans="1:17" ht="15.75" customHeight="1" x14ac:dyDescent="0.25">
      <c r="A35" s="2">
        <v>1211</v>
      </c>
      <c r="B35" s="2" t="str">
        <f ca="1">IFERROR(__xludf.DUMMYFUNCTION("""COMPUTED_VALUE"""),"SUMATERA UTARA")</f>
        <v>SUMATERA UTARA</v>
      </c>
      <c r="C35" s="2" t="str">
        <f ca="1">IFERROR(__xludf.DUMMYFUNCTION("""COMPUTED_VALUE"""),"Karo")</f>
        <v>Karo</v>
      </c>
      <c r="D35" s="2">
        <f ca="1">IFERROR(__xludf.DUMMYFUNCTION("""COMPUTED_VALUE"""),1.5)</f>
        <v>1.5</v>
      </c>
      <c r="E35" s="2">
        <f ca="1">IFERROR(__xludf.DUMMYFUNCTION("""COMPUTED_VALUE"""),1.09)</f>
        <v>1.0900000000000001</v>
      </c>
      <c r="F35" s="2">
        <f ca="1">IFERROR(__xludf.DUMMYFUNCTION("""COMPUTED_VALUE"""),1.83)</f>
        <v>1.83</v>
      </c>
      <c r="G35" s="2">
        <f ca="1">IFERROR(__xludf.DUMMYFUNCTION("""COMPUTED_VALUE"""),1.95)</f>
        <v>1.95</v>
      </c>
      <c r="H35" s="2">
        <f ca="1">IFERROR(__xludf.DUMMYFUNCTION("""COMPUTED_VALUE"""),2.71)</f>
        <v>2.71</v>
      </c>
      <c r="I35" s="2">
        <f ca="1">IFERROR(__xludf.DUMMYFUNCTION("""COMPUTED_VALUE"""),2.63)</f>
        <v>2.63</v>
      </c>
      <c r="J35" s="2">
        <f ca="1">IFERROR(__xludf.DUMMYFUNCTION("""COMPUTED_VALUE"""),2.4)</f>
        <v>2.4</v>
      </c>
      <c r="K35" s="2">
        <f ca="1">IFERROR(__xludf.DUMMYFUNCTION("""COMPUTED_VALUE"""),84.1)</f>
        <v>84.1</v>
      </c>
      <c r="L35" s="2">
        <f ca="1">IFERROR(__xludf.DUMMYFUNCTION("""COMPUTED_VALUE"""),83.73)</f>
        <v>83.73</v>
      </c>
      <c r="M35" s="2">
        <f ca="1">IFERROR(__xludf.DUMMYFUNCTION("""COMPUTED_VALUE"""),83.93)</f>
        <v>83.93</v>
      </c>
      <c r="N35" s="2">
        <f ca="1">IFERROR(__xludf.DUMMYFUNCTION("""COMPUTED_VALUE"""),84.56)</f>
        <v>84.56</v>
      </c>
      <c r="O35" s="2">
        <f ca="1">IFERROR(__xludf.DUMMYFUNCTION("""COMPUTED_VALUE"""),85.11)</f>
        <v>85.11</v>
      </c>
      <c r="P35" s="2">
        <f ca="1">IFERROR(__xludf.DUMMYFUNCTION("""COMPUTED_VALUE"""),83.86)</f>
        <v>83.86</v>
      </c>
      <c r="Q35" s="2">
        <f ca="1">IFERROR(__xludf.DUMMYFUNCTION("""COMPUTED_VALUE"""),84.13)</f>
        <v>84.13</v>
      </c>
    </row>
    <row r="36" spans="1:17" ht="15.75" customHeight="1" x14ac:dyDescent="0.25">
      <c r="A36" s="2">
        <v>1212</v>
      </c>
      <c r="B36" s="2" t="str">
        <f ca="1">IFERROR(__xludf.DUMMYFUNCTION("""COMPUTED_VALUE"""),"SUMATERA UTARA")</f>
        <v>SUMATERA UTARA</v>
      </c>
      <c r="C36" s="2" t="str">
        <f ca="1">IFERROR(__xludf.DUMMYFUNCTION("""COMPUTED_VALUE"""),"Deli Serdang")</f>
        <v>Deli Serdang</v>
      </c>
      <c r="D36" s="2">
        <f ca="1">IFERROR(__xludf.DUMMYFUNCTION("""COMPUTED_VALUE"""),7.06)</f>
        <v>7.06</v>
      </c>
      <c r="E36" s="2">
        <f ca="1">IFERROR(__xludf.DUMMYFUNCTION("""COMPUTED_VALUE"""),5.74)</f>
        <v>5.74</v>
      </c>
      <c r="F36" s="2">
        <f ca="1">IFERROR(__xludf.DUMMYFUNCTION("""COMPUTED_VALUE"""),9.5)</f>
        <v>9.5</v>
      </c>
      <c r="G36" s="2">
        <f ca="1">IFERROR(__xludf.DUMMYFUNCTION("""COMPUTED_VALUE"""),9.13)</f>
        <v>9.1300000000000008</v>
      </c>
      <c r="H36" s="2">
        <f ca="1">IFERROR(__xludf.DUMMYFUNCTION("""COMPUTED_VALUE"""),8.79)</f>
        <v>8.7899999999999991</v>
      </c>
      <c r="I36" s="2">
        <f ca="1">IFERROR(__xludf.DUMMYFUNCTION("""COMPUTED_VALUE"""),8.62)</f>
        <v>8.6199999999999992</v>
      </c>
      <c r="J36" s="2">
        <f ca="1">IFERROR(__xludf.DUMMYFUNCTION("""COMPUTED_VALUE"""),8.02)</f>
        <v>8.02</v>
      </c>
      <c r="K36" s="2">
        <f ca="1">IFERROR(__xludf.DUMMYFUNCTION("""COMPUTED_VALUE"""),70.37)</f>
        <v>70.37</v>
      </c>
      <c r="L36" s="2">
        <f ca="1">IFERROR(__xludf.DUMMYFUNCTION("""COMPUTED_VALUE"""),68.65)</f>
        <v>68.650000000000006</v>
      </c>
      <c r="M36" s="2">
        <f ca="1">IFERROR(__xludf.DUMMYFUNCTION("""COMPUTED_VALUE"""),67.23)</f>
        <v>67.23</v>
      </c>
      <c r="N36" s="2">
        <f ca="1">IFERROR(__xludf.DUMMYFUNCTION("""COMPUTED_VALUE"""),66.78)</f>
        <v>66.78</v>
      </c>
      <c r="O36" s="2">
        <f ca="1">IFERROR(__xludf.DUMMYFUNCTION("""COMPUTED_VALUE"""),66.84)</f>
        <v>66.84</v>
      </c>
      <c r="P36" s="2">
        <f ca="1">IFERROR(__xludf.DUMMYFUNCTION("""COMPUTED_VALUE"""),67.62)</f>
        <v>67.62</v>
      </c>
      <c r="Q36" s="2">
        <f ca="1">IFERROR(__xludf.DUMMYFUNCTION("""COMPUTED_VALUE"""),67.57)</f>
        <v>67.569999999999993</v>
      </c>
    </row>
    <row r="37" spans="1:17" ht="15.75" customHeight="1" x14ac:dyDescent="0.25">
      <c r="A37" s="2">
        <v>1213</v>
      </c>
      <c r="B37" s="2" t="str">
        <f ca="1">IFERROR(__xludf.DUMMYFUNCTION("""COMPUTED_VALUE"""),"SUMATERA UTARA")</f>
        <v>SUMATERA UTARA</v>
      </c>
      <c r="C37" s="2" t="str">
        <f ca="1">IFERROR(__xludf.DUMMYFUNCTION("""COMPUTED_VALUE"""),"Langkat")</f>
        <v>Langkat</v>
      </c>
      <c r="D37" s="2">
        <f ca="1">IFERROR(__xludf.DUMMYFUNCTION("""COMPUTED_VALUE"""),4.67)</f>
        <v>4.67</v>
      </c>
      <c r="E37" s="2">
        <f ca="1">IFERROR(__xludf.DUMMYFUNCTION("""COMPUTED_VALUE"""),5.3)</f>
        <v>5.3</v>
      </c>
      <c r="F37" s="2">
        <f ca="1">IFERROR(__xludf.DUMMYFUNCTION("""COMPUTED_VALUE"""),7.02)</f>
        <v>7.02</v>
      </c>
      <c r="G37" s="2">
        <f ca="1">IFERROR(__xludf.DUMMYFUNCTION("""COMPUTED_VALUE"""),5.12)</f>
        <v>5.12</v>
      </c>
      <c r="H37" s="2">
        <f ca="1">IFERROR(__xludf.DUMMYFUNCTION("""COMPUTED_VALUE"""),6.88)</f>
        <v>6.88</v>
      </c>
      <c r="I37" s="2">
        <f ca="1">IFERROR(__xludf.DUMMYFUNCTION("""COMPUTED_VALUE"""),6.33)</f>
        <v>6.33</v>
      </c>
      <c r="J37" s="2">
        <f ca="1">IFERROR(__xludf.DUMMYFUNCTION("""COMPUTED_VALUE"""),6.08)</f>
        <v>6.08</v>
      </c>
      <c r="K37" s="2">
        <f ca="1">IFERROR(__xludf.DUMMYFUNCTION("""COMPUTED_VALUE"""),71.33)</f>
        <v>71.33</v>
      </c>
      <c r="L37" s="2">
        <f ca="1">IFERROR(__xludf.DUMMYFUNCTION("""COMPUTED_VALUE"""),68.82)</f>
        <v>68.819999999999993</v>
      </c>
      <c r="M37" s="2">
        <f ca="1">IFERROR(__xludf.DUMMYFUNCTION("""COMPUTED_VALUE"""),69.92)</f>
        <v>69.92</v>
      </c>
      <c r="N37" s="2">
        <f ca="1">IFERROR(__xludf.DUMMYFUNCTION("""COMPUTED_VALUE"""),69.12)</f>
        <v>69.12</v>
      </c>
      <c r="O37" s="2">
        <f ca="1">IFERROR(__xludf.DUMMYFUNCTION("""COMPUTED_VALUE"""),71.51)</f>
        <v>71.510000000000005</v>
      </c>
      <c r="P37" s="2">
        <f ca="1">IFERROR(__xludf.DUMMYFUNCTION("""COMPUTED_VALUE"""),75.87)</f>
        <v>75.87</v>
      </c>
      <c r="Q37" s="2">
        <f ca="1">IFERROR(__xludf.DUMMYFUNCTION("""COMPUTED_VALUE"""),76.3)</f>
        <v>76.3</v>
      </c>
    </row>
    <row r="38" spans="1:17" ht="15.75" customHeight="1" x14ac:dyDescent="0.25">
      <c r="A38" s="2">
        <v>1214</v>
      </c>
      <c r="B38" s="2" t="str">
        <f ca="1">IFERROR(__xludf.DUMMYFUNCTION("""COMPUTED_VALUE"""),"SUMATERA UTARA")</f>
        <v>SUMATERA UTARA</v>
      </c>
      <c r="C38" s="2" t="str">
        <f ca="1">IFERROR(__xludf.DUMMYFUNCTION("""COMPUTED_VALUE"""),"Nias Selatan")</f>
        <v>Nias Selatan</v>
      </c>
      <c r="D38" s="2">
        <f ca="1">IFERROR(__xludf.DUMMYFUNCTION("""COMPUTED_VALUE"""),3.77)</f>
        <v>3.77</v>
      </c>
      <c r="E38" s="2">
        <f ca="1">IFERROR(__xludf.DUMMYFUNCTION("""COMPUTED_VALUE"""),2.25)</f>
        <v>2.25</v>
      </c>
      <c r="F38" s="2">
        <f ca="1">IFERROR(__xludf.DUMMYFUNCTION("""COMPUTED_VALUE"""),4.15)</f>
        <v>4.1500000000000004</v>
      </c>
      <c r="G38" s="2">
        <f ca="1">IFERROR(__xludf.DUMMYFUNCTION("""COMPUTED_VALUE"""),3.91)</f>
        <v>3.91</v>
      </c>
      <c r="H38" s="2">
        <f ca="1">IFERROR(__xludf.DUMMYFUNCTION("""COMPUTED_VALUE"""),3.69)</f>
        <v>3.69</v>
      </c>
      <c r="I38" s="2">
        <f ca="1">IFERROR(__xludf.DUMMYFUNCTION("""COMPUTED_VALUE"""),3.48)</f>
        <v>3.48</v>
      </c>
      <c r="J38" s="2">
        <f ca="1">IFERROR(__xludf.DUMMYFUNCTION("""COMPUTED_VALUE"""),3.03)</f>
        <v>3.03</v>
      </c>
      <c r="K38" s="2">
        <f ca="1">IFERROR(__xludf.DUMMYFUNCTION("""COMPUTED_VALUE"""),79.03)</f>
        <v>79.03</v>
      </c>
      <c r="L38" s="2">
        <f ca="1">IFERROR(__xludf.DUMMYFUNCTION("""COMPUTED_VALUE"""),72.22)</f>
        <v>72.22</v>
      </c>
      <c r="M38" s="2">
        <f ca="1">IFERROR(__xludf.DUMMYFUNCTION("""COMPUTED_VALUE"""),77.14)</f>
        <v>77.14</v>
      </c>
      <c r="N38" s="2">
        <f ca="1">IFERROR(__xludf.DUMMYFUNCTION("""COMPUTED_VALUE"""),72.25)</f>
        <v>72.25</v>
      </c>
      <c r="O38" s="2">
        <f ca="1">IFERROR(__xludf.DUMMYFUNCTION("""COMPUTED_VALUE"""),78.54)</f>
        <v>78.540000000000006</v>
      </c>
      <c r="P38" s="2">
        <f ca="1">IFERROR(__xludf.DUMMYFUNCTION("""COMPUTED_VALUE"""),79.29)</f>
        <v>79.290000000000006</v>
      </c>
      <c r="Q38" s="2">
        <f ca="1">IFERROR(__xludf.DUMMYFUNCTION("""COMPUTED_VALUE"""),78.83)</f>
        <v>78.83</v>
      </c>
    </row>
    <row r="39" spans="1:17" ht="15.75" customHeight="1" x14ac:dyDescent="0.25">
      <c r="A39" s="2">
        <v>1215</v>
      </c>
      <c r="B39" s="2" t="str">
        <f ca="1">IFERROR(__xludf.DUMMYFUNCTION("""COMPUTED_VALUE"""),"SUMATERA UTARA")</f>
        <v>SUMATERA UTARA</v>
      </c>
      <c r="C39" s="2" t="str">
        <f ca="1">IFERROR(__xludf.DUMMYFUNCTION("""COMPUTED_VALUE"""),"Humbang Hasundutan")</f>
        <v>Humbang Hasundutan</v>
      </c>
      <c r="D39" s="2">
        <f ca="1">IFERROR(__xludf.DUMMYFUNCTION("""COMPUTED_VALUE"""),0.34)</f>
        <v>0.34</v>
      </c>
      <c r="E39" s="2">
        <f ca="1">IFERROR(__xludf.DUMMYFUNCTION("""COMPUTED_VALUE"""),0.33)</f>
        <v>0.33</v>
      </c>
      <c r="F39" s="2">
        <f ca="1">IFERROR(__xludf.DUMMYFUNCTION("""COMPUTED_VALUE"""),0.84)</f>
        <v>0.84</v>
      </c>
      <c r="G39" s="2">
        <f ca="1">IFERROR(__xludf.DUMMYFUNCTION("""COMPUTED_VALUE"""),1.94)</f>
        <v>1.94</v>
      </c>
      <c r="H39" s="2">
        <f ca="1">IFERROR(__xludf.DUMMYFUNCTION("""COMPUTED_VALUE"""),0.42)</f>
        <v>0.42</v>
      </c>
      <c r="I39" s="2">
        <f ca="1">IFERROR(__xludf.DUMMYFUNCTION("""COMPUTED_VALUE"""),0.84)</f>
        <v>0.84</v>
      </c>
      <c r="J39" s="2">
        <f ca="1">IFERROR(__xludf.DUMMYFUNCTION("""COMPUTED_VALUE"""),0.92)</f>
        <v>0.92</v>
      </c>
      <c r="K39" s="2">
        <f ca="1">IFERROR(__xludf.DUMMYFUNCTION("""COMPUTED_VALUE"""),91.17)</f>
        <v>91.17</v>
      </c>
      <c r="L39" s="2">
        <f ca="1">IFERROR(__xludf.DUMMYFUNCTION("""COMPUTED_VALUE"""),88.55)</f>
        <v>88.55</v>
      </c>
      <c r="M39" s="2">
        <f ca="1">IFERROR(__xludf.DUMMYFUNCTION("""COMPUTED_VALUE"""),87.13)</f>
        <v>87.13</v>
      </c>
      <c r="N39" s="2">
        <f ca="1">IFERROR(__xludf.DUMMYFUNCTION("""COMPUTED_VALUE"""),84.17)</f>
        <v>84.17</v>
      </c>
      <c r="O39" s="2">
        <f ca="1">IFERROR(__xludf.DUMMYFUNCTION("""COMPUTED_VALUE"""),85.83)</f>
        <v>85.83</v>
      </c>
      <c r="P39" s="2">
        <f ca="1">IFERROR(__xludf.DUMMYFUNCTION("""COMPUTED_VALUE"""),86.67)</f>
        <v>86.67</v>
      </c>
      <c r="Q39" s="2">
        <f ca="1">IFERROR(__xludf.DUMMYFUNCTION("""COMPUTED_VALUE"""),86.52)</f>
        <v>86.52</v>
      </c>
    </row>
    <row r="40" spans="1:17" ht="15.75" customHeight="1" x14ac:dyDescent="0.25">
      <c r="A40" s="2">
        <v>1216</v>
      </c>
      <c r="B40" s="2" t="str">
        <f ca="1">IFERROR(__xludf.DUMMYFUNCTION("""COMPUTED_VALUE"""),"SUMATERA UTARA")</f>
        <v>SUMATERA UTARA</v>
      </c>
      <c r="C40" s="2" t="str">
        <f ca="1">IFERROR(__xludf.DUMMYFUNCTION("""COMPUTED_VALUE"""),"Pakpak Bharat")</f>
        <v>Pakpak Bharat</v>
      </c>
      <c r="D40" s="2">
        <f ca="1">IFERROR(__xludf.DUMMYFUNCTION("""COMPUTED_VALUE"""),0.43)</f>
        <v>0.43</v>
      </c>
      <c r="E40" s="2">
        <f ca="1">IFERROR(__xludf.DUMMYFUNCTION("""COMPUTED_VALUE"""),0.19)</f>
        <v>0.19</v>
      </c>
      <c r="F40" s="2">
        <f ca="1">IFERROR(__xludf.DUMMYFUNCTION("""COMPUTED_VALUE"""),1.93)</f>
        <v>1.93</v>
      </c>
      <c r="G40" s="2">
        <f ca="1">IFERROR(__xludf.DUMMYFUNCTION("""COMPUTED_VALUE"""),1.36)</f>
        <v>1.36</v>
      </c>
      <c r="H40" s="2">
        <f ca="1">IFERROR(__xludf.DUMMYFUNCTION("""COMPUTED_VALUE"""),0.26)</f>
        <v>0.26</v>
      </c>
      <c r="I40" s="2">
        <f ca="1">IFERROR(__xludf.DUMMYFUNCTION("""COMPUTED_VALUE"""),0.45)</f>
        <v>0.45</v>
      </c>
      <c r="J40" s="2">
        <f ca="1">IFERROR(__xludf.DUMMYFUNCTION("""COMPUTED_VALUE"""),0.97)</f>
        <v>0.97</v>
      </c>
      <c r="K40" s="2">
        <f ca="1">IFERROR(__xludf.DUMMYFUNCTION("""COMPUTED_VALUE"""),92.8)</f>
        <v>92.8</v>
      </c>
      <c r="L40" s="2">
        <f ca="1">IFERROR(__xludf.DUMMYFUNCTION("""COMPUTED_VALUE"""),87.97)</f>
        <v>87.97</v>
      </c>
      <c r="M40" s="2">
        <f ca="1">IFERROR(__xludf.DUMMYFUNCTION("""COMPUTED_VALUE"""),88.95)</f>
        <v>88.95</v>
      </c>
      <c r="N40" s="2">
        <f ca="1">IFERROR(__xludf.DUMMYFUNCTION("""COMPUTED_VALUE"""),87.7)</f>
        <v>87.7</v>
      </c>
      <c r="O40" s="2">
        <f ca="1">IFERROR(__xludf.DUMMYFUNCTION("""COMPUTED_VALUE"""),86.2)</f>
        <v>86.2</v>
      </c>
      <c r="P40" s="2">
        <f ca="1">IFERROR(__xludf.DUMMYFUNCTION("""COMPUTED_VALUE"""),85.95)</f>
        <v>85.95</v>
      </c>
      <c r="Q40" s="2">
        <f ca="1">IFERROR(__xludf.DUMMYFUNCTION("""COMPUTED_VALUE"""),85.43)</f>
        <v>85.43</v>
      </c>
    </row>
    <row r="41" spans="1:17" ht="15.75" customHeight="1" x14ac:dyDescent="0.25">
      <c r="A41" s="2">
        <v>1217</v>
      </c>
      <c r="B41" s="2" t="str">
        <f ca="1">IFERROR(__xludf.DUMMYFUNCTION("""COMPUTED_VALUE"""),"SUMATERA UTARA")</f>
        <v>SUMATERA UTARA</v>
      </c>
      <c r="C41" s="2" t="str">
        <f ca="1">IFERROR(__xludf.DUMMYFUNCTION("""COMPUTED_VALUE"""),"Samosir")</f>
        <v>Samosir</v>
      </c>
      <c r="D41" s="2">
        <f ca="1">IFERROR(__xludf.DUMMYFUNCTION("""COMPUTED_VALUE"""),1.35)</f>
        <v>1.35</v>
      </c>
      <c r="E41" s="2">
        <f ca="1">IFERROR(__xludf.DUMMYFUNCTION("""COMPUTED_VALUE"""),1.25)</f>
        <v>1.25</v>
      </c>
      <c r="F41" s="2">
        <f ca="1">IFERROR(__xludf.DUMMYFUNCTION("""COMPUTED_VALUE"""),1.2)</f>
        <v>1.2</v>
      </c>
      <c r="G41" s="2">
        <f ca="1">IFERROR(__xludf.DUMMYFUNCTION("""COMPUTED_VALUE"""),0.7)</f>
        <v>0.7</v>
      </c>
      <c r="H41" s="2">
        <f ca="1">IFERROR(__xludf.DUMMYFUNCTION("""COMPUTED_VALUE"""),1.16)</f>
        <v>1.1599999999999999</v>
      </c>
      <c r="I41" s="2">
        <f ca="1">IFERROR(__xludf.DUMMYFUNCTION("""COMPUTED_VALUE"""),1.03)</f>
        <v>1.03</v>
      </c>
      <c r="J41" s="2">
        <f ca="1">IFERROR(__xludf.DUMMYFUNCTION("""COMPUTED_VALUE"""),0.89)</f>
        <v>0.89</v>
      </c>
      <c r="K41" s="2">
        <f ca="1">IFERROR(__xludf.DUMMYFUNCTION("""COMPUTED_VALUE"""),82.78)</f>
        <v>82.78</v>
      </c>
      <c r="L41" s="2">
        <f ca="1">IFERROR(__xludf.DUMMYFUNCTION("""COMPUTED_VALUE"""),81.58)</f>
        <v>81.58</v>
      </c>
      <c r="M41" s="2">
        <f ca="1">IFERROR(__xludf.DUMMYFUNCTION("""COMPUTED_VALUE"""),52.17)</f>
        <v>52.17</v>
      </c>
      <c r="N41" s="2">
        <f ca="1">IFERROR(__xludf.DUMMYFUNCTION("""COMPUTED_VALUE"""),84.38)</f>
        <v>84.38</v>
      </c>
      <c r="O41" s="2">
        <f ca="1">IFERROR(__xludf.DUMMYFUNCTION("""COMPUTED_VALUE"""),83.57)</f>
        <v>83.57</v>
      </c>
      <c r="P41" s="2">
        <f ca="1">IFERROR(__xludf.DUMMYFUNCTION("""COMPUTED_VALUE"""),86.89)</f>
        <v>86.89</v>
      </c>
      <c r="Q41" s="2">
        <f ca="1">IFERROR(__xludf.DUMMYFUNCTION("""COMPUTED_VALUE"""),85.59)</f>
        <v>85.59</v>
      </c>
    </row>
    <row r="42" spans="1:17" ht="15.75" customHeight="1" x14ac:dyDescent="0.25">
      <c r="A42" s="2">
        <v>1218</v>
      </c>
      <c r="B42" s="2" t="str">
        <f ca="1">IFERROR(__xludf.DUMMYFUNCTION("""COMPUTED_VALUE"""),"SUMATERA UTARA")</f>
        <v>SUMATERA UTARA</v>
      </c>
      <c r="C42" s="2" t="str">
        <f ca="1">IFERROR(__xludf.DUMMYFUNCTION("""COMPUTED_VALUE"""),"Serdang Bedagai")</f>
        <v>Serdang Bedagai</v>
      </c>
      <c r="D42" s="2">
        <f ca="1">IFERROR(__xludf.DUMMYFUNCTION("""COMPUTED_VALUE"""),5.1)</f>
        <v>5.0999999999999996</v>
      </c>
      <c r="E42" s="2">
        <f ca="1">IFERROR(__xludf.DUMMYFUNCTION("""COMPUTED_VALUE"""),4.37)</f>
        <v>4.37</v>
      </c>
      <c r="F42" s="2">
        <f ca="1">IFERROR(__xludf.DUMMYFUNCTION("""COMPUTED_VALUE"""),5.54)</f>
        <v>5.54</v>
      </c>
      <c r="G42" s="2">
        <f ca="1">IFERROR(__xludf.DUMMYFUNCTION("""COMPUTED_VALUE"""),3.93)</f>
        <v>3.93</v>
      </c>
      <c r="H42" s="2">
        <f ca="1">IFERROR(__xludf.DUMMYFUNCTION("""COMPUTED_VALUE"""),4.98)</f>
        <v>4.9800000000000004</v>
      </c>
      <c r="I42" s="2">
        <f ca="1">IFERROR(__xludf.DUMMYFUNCTION("""COMPUTED_VALUE"""),4.97)</f>
        <v>4.97</v>
      </c>
      <c r="J42" s="2">
        <f ca="1">IFERROR(__xludf.DUMMYFUNCTION("""COMPUTED_VALUE"""),4.88)</f>
        <v>4.88</v>
      </c>
      <c r="K42" s="2">
        <f ca="1">IFERROR(__xludf.DUMMYFUNCTION("""COMPUTED_VALUE"""),68.28)</f>
        <v>68.28</v>
      </c>
      <c r="L42" s="2">
        <f ca="1">IFERROR(__xludf.DUMMYFUNCTION("""COMPUTED_VALUE"""),70.7)</f>
        <v>70.7</v>
      </c>
      <c r="M42" s="2">
        <f ca="1">IFERROR(__xludf.DUMMYFUNCTION("""COMPUTED_VALUE"""),69.82)</f>
        <v>69.819999999999993</v>
      </c>
      <c r="N42" s="2">
        <f ca="1">IFERROR(__xludf.DUMMYFUNCTION("""COMPUTED_VALUE"""),66.75)</f>
        <v>66.75</v>
      </c>
      <c r="O42" s="2">
        <f ca="1">IFERROR(__xludf.DUMMYFUNCTION("""COMPUTED_VALUE"""),67.59)</f>
        <v>67.59</v>
      </c>
      <c r="P42" s="2">
        <f ca="1">IFERROR(__xludf.DUMMYFUNCTION("""COMPUTED_VALUE"""),67.65)</f>
        <v>67.650000000000006</v>
      </c>
      <c r="Q42" s="2">
        <f ca="1">IFERROR(__xludf.DUMMYFUNCTION("""COMPUTED_VALUE"""),67.75)</f>
        <v>67.75</v>
      </c>
    </row>
    <row r="43" spans="1:17" ht="15.75" customHeight="1" x14ac:dyDescent="0.25">
      <c r="A43" s="2">
        <v>1219</v>
      </c>
      <c r="B43" s="2" t="str">
        <f ca="1">IFERROR(__xludf.DUMMYFUNCTION("""COMPUTED_VALUE"""),"SUMATERA UTARA")</f>
        <v>SUMATERA UTARA</v>
      </c>
      <c r="C43" s="2" t="str">
        <f ca="1">IFERROR(__xludf.DUMMYFUNCTION("""COMPUTED_VALUE"""),"Batu Bara")</f>
        <v>Batu Bara</v>
      </c>
      <c r="D43" s="2">
        <f ca="1">IFERROR(__xludf.DUMMYFUNCTION("""COMPUTED_VALUE"""),5.39)</f>
        <v>5.39</v>
      </c>
      <c r="E43" s="2">
        <f ca="1">IFERROR(__xludf.DUMMYFUNCTION("""COMPUTED_VALUE"""),6.69)</f>
        <v>6.69</v>
      </c>
      <c r="F43" s="2">
        <f ca="1">IFERROR(__xludf.DUMMYFUNCTION("""COMPUTED_VALUE"""),6.48)</f>
        <v>6.48</v>
      </c>
      <c r="G43" s="2">
        <f ca="1">IFERROR(__xludf.DUMMYFUNCTION("""COMPUTED_VALUE"""),6.62)</f>
        <v>6.62</v>
      </c>
      <c r="H43" s="2">
        <f ca="1">IFERROR(__xludf.DUMMYFUNCTION("""COMPUTED_VALUE"""),6.21)</f>
        <v>6.21</v>
      </c>
      <c r="I43" s="2">
        <f ca="1">IFERROR(__xludf.DUMMYFUNCTION("""COMPUTED_VALUE"""),5.88)</f>
        <v>5.88</v>
      </c>
      <c r="J43" s="2">
        <f ca="1">IFERROR(__xludf.DUMMYFUNCTION("""COMPUTED_VALUE"""),5.75)</f>
        <v>5.75</v>
      </c>
      <c r="K43" s="2">
        <f ca="1">IFERROR(__xludf.DUMMYFUNCTION("""COMPUTED_VALUE"""),69.47)</f>
        <v>69.47</v>
      </c>
      <c r="L43" s="2">
        <f ca="1">IFERROR(__xludf.DUMMYFUNCTION("""COMPUTED_VALUE"""),64.89)</f>
        <v>64.89</v>
      </c>
      <c r="M43" s="2">
        <f ca="1">IFERROR(__xludf.DUMMYFUNCTION("""COMPUTED_VALUE"""),69.1)</f>
        <v>69.099999999999994</v>
      </c>
      <c r="N43" s="2">
        <f ca="1">IFERROR(__xludf.DUMMYFUNCTION("""COMPUTED_VALUE"""),70)</f>
        <v>70</v>
      </c>
      <c r="O43" s="2">
        <f ca="1">IFERROR(__xludf.DUMMYFUNCTION("""COMPUTED_VALUE"""),73.5)</f>
        <v>73.5</v>
      </c>
      <c r="P43" s="2">
        <f ca="1">IFERROR(__xludf.DUMMYFUNCTION("""COMPUTED_VALUE"""),72.94)</f>
        <v>72.94</v>
      </c>
      <c r="Q43" s="2">
        <f ca="1">IFERROR(__xludf.DUMMYFUNCTION("""COMPUTED_VALUE"""),72.01)</f>
        <v>72.010000000000005</v>
      </c>
    </row>
    <row r="44" spans="1:17" ht="15.75" customHeight="1" x14ac:dyDescent="0.25">
      <c r="A44" s="2">
        <v>1220</v>
      </c>
      <c r="B44" s="2" t="str">
        <f ca="1">IFERROR(__xludf.DUMMYFUNCTION("""COMPUTED_VALUE"""),"SUMATERA UTARA")</f>
        <v>SUMATERA UTARA</v>
      </c>
      <c r="C44" s="2" t="str">
        <f ca="1">IFERROR(__xludf.DUMMYFUNCTION("""COMPUTED_VALUE"""),"Padang Lawas Utara")</f>
        <v>Padang Lawas Utara</v>
      </c>
      <c r="D44" s="2">
        <f ca="1">IFERROR(__xludf.DUMMYFUNCTION("""COMPUTED_VALUE"""),3.15)</f>
        <v>3.15</v>
      </c>
      <c r="E44" s="2">
        <f ca="1">IFERROR(__xludf.DUMMYFUNCTION("""COMPUTED_VALUE"""),3.21)</f>
        <v>3.21</v>
      </c>
      <c r="F44" s="2">
        <f ca="1">IFERROR(__xludf.DUMMYFUNCTION("""COMPUTED_VALUE"""),3.11)</f>
        <v>3.11</v>
      </c>
      <c r="G44" s="2">
        <f ca="1">IFERROR(__xludf.DUMMYFUNCTION("""COMPUTED_VALUE"""),3.19)</f>
        <v>3.19</v>
      </c>
      <c r="H44" s="2">
        <f ca="1">IFERROR(__xludf.DUMMYFUNCTION("""COMPUTED_VALUE"""),4.31)</f>
        <v>4.3099999999999996</v>
      </c>
      <c r="I44" s="2">
        <f ca="1">IFERROR(__xludf.DUMMYFUNCTION("""COMPUTED_VALUE"""),4.42)</f>
        <v>4.42</v>
      </c>
      <c r="J44" s="2">
        <f ca="1">IFERROR(__xludf.DUMMYFUNCTION("""COMPUTED_VALUE"""),3.99)</f>
        <v>3.99</v>
      </c>
      <c r="K44" s="2">
        <f ca="1">IFERROR(__xludf.DUMMYFUNCTION("""COMPUTED_VALUE"""),78.91)</f>
        <v>78.91</v>
      </c>
      <c r="L44" s="2">
        <f ca="1">IFERROR(__xludf.DUMMYFUNCTION("""COMPUTED_VALUE"""),77.92)</f>
        <v>77.92</v>
      </c>
      <c r="M44" s="2">
        <f ca="1">IFERROR(__xludf.DUMMYFUNCTION("""COMPUTED_VALUE"""),66.04)</f>
        <v>66.040000000000006</v>
      </c>
      <c r="N44" s="2">
        <f ca="1">IFERROR(__xludf.DUMMYFUNCTION("""COMPUTED_VALUE"""),76.82)</f>
        <v>76.819999999999993</v>
      </c>
      <c r="O44" s="2">
        <f ca="1">IFERROR(__xludf.DUMMYFUNCTION("""COMPUTED_VALUE"""),70.33)</f>
        <v>70.33</v>
      </c>
      <c r="P44" s="2">
        <f ca="1">IFERROR(__xludf.DUMMYFUNCTION("""COMPUTED_VALUE"""),73.41)</f>
        <v>73.41</v>
      </c>
      <c r="Q44" s="2">
        <f ca="1">IFERROR(__xludf.DUMMYFUNCTION("""COMPUTED_VALUE"""),73.01)</f>
        <v>73.010000000000005</v>
      </c>
    </row>
    <row r="45" spans="1:17" ht="15.75" customHeight="1" x14ac:dyDescent="0.25">
      <c r="A45" s="2">
        <v>1221</v>
      </c>
      <c r="B45" s="2" t="str">
        <f ca="1">IFERROR(__xludf.DUMMYFUNCTION("""COMPUTED_VALUE"""),"SUMATERA UTARA")</f>
        <v>SUMATERA UTARA</v>
      </c>
      <c r="C45" s="2" t="str">
        <f ca="1">IFERROR(__xludf.DUMMYFUNCTION("""COMPUTED_VALUE"""),"Padang Lawas")</f>
        <v>Padang Lawas</v>
      </c>
      <c r="D45" s="2">
        <f ca="1">IFERROR(__xludf.DUMMYFUNCTION("""COMPUTED_VALUE"""),4.1)</f>
        <v>4.0999999999999996</v>
      </c>
      <c r="E45" s="2">
        <f ca="1">IFERROR(__xludf.DUMMYFUNCTION("""COMPUTED_VALUE"""),4.24)</f>
        <v>4.24</v>
      </c>
      <c r="F45" s="2">
        <f ca="1">IFERROR(__xludf.DUMMYFUNCTION("""COMPUTED_VALUE"""),4.11)</f>
        <v>4.1100000000000003</v>
      </c>
      <c r="G45" s="2">
        <f ca="1">IFERROR(__xludf.DUMMYFUNCTION("""COMPUTED_VALUE"""),4.07)</f>
        <v>4.07</v>
      </c>
      <c r="H45" s="2">
        <f ca="1">IFERROR(__xludf.DUMMYFUNCTION("""COMPUTED_VALUE"""),5.9)</f>
        <v>5.9</v>
      </c>
      <c r="I45" s="2">
        <f ca="1">IFERROR(__xludf.DUMMYFUNCTION("""COMPUTED_VALUE"""),5.75)</f>
        <v>5.75</v>
      </c>
      <c r="J45" s="2">
        <f ca="1">IFERROR(__xludf.DUMMYFUNCTION("""COMPUTED_VALUE"""),5.47)</f>
        <v>5.47</v>
      </c>
      <c r="K45" s="2">
        <f ca="1">IFERROR(__xludf.DUMMYFUNCTION("""COMPUTED_VALUE"""),71.78)</f>
        <v>71.78</v>
      </c>
      <c r="L45" s="2">
        <f ca="1">IFERROR(__xludf.DUMMYFUNCTION("""COMPUTED_VALUE"""),76.1)</f>
        <v>76.099999999999994</v>
      </c>
      <c r="M45" s="2">
        <f ca="1">IFERROR(__xludf.DUMMYFUNCTION("""COMPUTED_VALUE"""),76.93)</f>
        <v>76.930000000000007</v>
      </c>
      <c r="N45" s="2">
        <f ca="1">IFERROR(__xludf.DUMMYFUNCTION("""COMPUTED_VALUE"""),75.23)</f>
        <v>75.23</v>
      </c>
      <c r="O45" s="2">
        <f ca="1">IFERROR(__xludf.DUMMYFUNCTION("""COMPUTED_VALUE"""),75.1)</f>
        <v>75.099999999999994</v>
      </c>
      <c r="P45" s="2">
        <f ca="1">IFERROR(__xludf.DUMMYFUNCTION("""COMPUTED_VALUE"""),78.14)</f>
        <v>78.14</v>
      </c>
      <c r="Q45" s="2">
        <f ca="1">IFERROR(__xludf.DUMMYFUNCTION("""COMPUTED_VALUE"""),77.52)</f>
        <v>77.52</v>
      </c>
    </row>
    <row r="46" spans="1:17" ht="15.75" customHeight="1" x14ac:dyDescent="0.25">
      <c r="A46" s="2">
        <v>1222</v>
      </c>
      <c r="B46" s="2" t="str">
        <f ca="1">IFERROR(__xludf.DUMMYFUNCTION("""COMPUTED_VALUE"""),"SUMATERA UTARA")</f>
        <v>SUMATERA UTARA</v>
      </c>
      <c r="C46" s="2" t="str">
        <f ca="1">IFERROR(__xludf.DUMMYFUNCTION("""COMPUTED_VALUE"""),"Labuhanbatu Selatan")</f>
        <v>Labuhanbatu Selatan</v>
      </c>
      <c r="D46" s="2">
        <f ca="1">IFERROR(__xludf.DUMMYFUNCTION("""COMPUTED_VALUE"""),4.79)</f>
        <v>4.79</v>
      </c>
      <c r="E46" s="2">
        <f ca="1">IFERROR(__xludf.DUMMYFUNCTION("""COMPUTED_VALUE"""),4.8)</f>
        <v>4.8</v>
      </c>
      <c r="F46" s="2">
        <f ca="1">IFERROR(__xludf.DUMMYFUNCTION("""COMPUTED_VALUE"""),4.9)</f>
        <v>4.9000000000000004</v>
      </c>
      <c r="G46" s="2">
        <f ca="1">IFERROR(__xludf.DUMMYFUNCTION("""COMPUTED_VALUE"""),4.71)</f>
        <v>4.71</v>
      </c>
      <c r="H46" s="2">
        <f ca="1">IFERROR(__xludf.DUMMYFUNCTION("""COMPUTED_VALUE"""),3.15)</f>
        <v>3.15</v>
      </c>
      <c r="I46" s="2">
        <f ca="1">IFERROR(__xludf.DUMMYFUNCTION("""COMPUTED_VALUE"""),3.43)</f>
        <v>3.43</v>
      </c>
      <c r="J46" s="2">
        <f ca="1">IFERROR(__xludf.DUMMYFUNCTION("""COMPUTED_VALUE"""),3.24)</f>
        <v>3.24</v>
      </c>
      <c r="K46" s="2">
        <f ca="1">IFERROR(__xludf.DUMMYFUNCTION("""COMPUTED_VALUE"""),68.39)</f>
        <v>68.39</v>
      </c>
      <c r="L46" s="2">
        <f ca="1">IFERROR(__xludf.DUMMYFUNCTION("""COMPUTED_VALUE"""),65.49)</f>
        <v>65.489999999999995</v>
      </c>
      <c r="M46" s="2">
        <f ca="1">IFERROR(__xludf.DUMMYFUNCTION("""COMPUTED_VALUE"""),60.94)</f>
        <v>60.94</v>
      </c>
      <c r="N46" s="2">
        <f ca="1">IFERROR(__xludf.DUMMYFUNCTION("""COMPUTED_VALUE"""),66.38)</f>
        <v>66.38</v>
      </c>
      <c r="O46" s="2">
        <f ca="1">IFERROR(__xludf.DUMMYFUNCTION("""COMPUTED_VALUE"""),66.76)</f>
        <v>66.760000000000005</v>
      </c>
      <c r="P46" s="2">
        <f ca="1">IFERROR(__xludf.DUMMYFUNCTION("""COMPUTED_VALUE"""),73.2)</f>
        <v>73.2</v>
      </c>
      <c r="Q46" s="2">
        <f ca="1">IFERROR(__xludf.DUMMYFUNCTION("""COMPUTED_VALUE"""),71.92)</f>
        <v>71.92</v>
      </c>
    </row>
    <row r="47" spans="1:17" ht="15.75" customHeight="1" x14ac:dyDescent="0.25">
      <c r="A47" s="2">
        <v>1223</v>
      </c>
      <c r="B47" s="2" t="str">
        <f ca="1">IFERROR(__xludf.DUMMYFUNCTION("""COMPUTED_VALUE"""),"SUMATERA UTARA")</f>
        <v>SUMATERA UTARA</v>
      </c>
      <c r="C47" s="2" t="s">
        <v>75</v>
      </c>
      <c r="D47" s="2">
        <f ca="1">IFERROR(__xludf.DUMMYFUNCTION("""COMPUTED_VALUE"""),5.67)</f>
        <v>5.67</v>
      </c>
      <c r="E47" s="2">
        <f ca="1">IFERROR(__xludf.DUMMYFUNCTION("""COMPUTED_VALUE"""),5.84)</f>
        <v>5.84</v>
      </c>
      <c r="F47" s="2">
        <f ca="1">IFERROR(__xludf.DUMMYFUNCTION("""COMPUTED_VALUE"""),6.82)</f>
        <v>6.82</v>
      </c>
      <c r="G47" s="2">
        <f ca="1">IFERROR(__xludf.DUMMYFUNCTION("""COMPUTED_VALUE"""),5.71)</f>
        <v>5.71</v>
      </c>
      <c r="H47" s="2">
        <f ca="1">IFERROR(__xludf.DUMMYFUNCTION("""COMPUTED_VALUE"""),3.75)</f>
        <v>3.75</v>
      </c>
      <c r="I47" s="2">
        <f ca="1">IFERROR(__xludf.DUMMYFUNCTION("""COMPUTED_VALUE"""),4.84)</f>
        <v>4.84</v>
      </c>
      <c r="J47" s="2">
        <f ca="1">IFERROR(__xludf.DUMMYFUNCTION("""COMPUTED_VALUE"""),4.6)</f>
        <v>4.5999999999999996</v>
      </c>
      <c r="K47" s="2">
        <f ca="1">IFERROR(__xludf.DUMMYFUNCTION("""COMPUTED_VALUE"""),69.66)</f>
        <v>69.66</v>
      </c>
      <c r="L47" s="2">
        <f ca="1">IFERROR(__xludf.DUMMYFUNCTION("""COMPUTED_VALUE"""),66.69)</f>
        <v>66.69</v>
      </c>
      <c r="M47" s="2">
        <f ca="1">IFERROR(__xludf.DUMMYFUNCTION("""COMPUTED_VALUE"""),68.08)</f>
        <v>68.08</v>
      </c>
      <c r="N47" s="2">
        <f ca="1">IFERROR(__xludf.DUMMYFUNCTION("""COMPUTED_VALUE"""),65.73)</f>
        <v>65.73</v>
      </c>
      <c r="O47" s="2">
        <f ca="1">IFERROR(__xludf.DUMMYFUNCTION("""COMPUTED_VALUE"""),65.31)</f>
        <v>65.31</v>
      </c>
      <c r="P47" s="2">
        <f ca="1">IFERROR(__xludf.DUMMYFUNCTION("""COMPUTED_VALUE"""),64.68)</f>
        <v>64.680000000000007</v>
      </c>
      <c r="Q47" s="2">
        <f ca="1">IFERROR(__xludf.DUMMYFUNCTION("""COMPUTED_VALUE"""),64.87)</f>
        <v>64.87</v>
      </c>
    </row>
    <row r="48" spans="1:17" ht="15.75" customHeight="1" x14ac:dyDescent="0.25">
      <c r="A48" s="2">
        <v>1224</v>
      </c>
      <c r="B48" s="2" t="str">
        <f ca="1">IFERROR(__xludf.DUMMYFUNCTION("""COMPUTED_VALUE"""),"SUMATERA UTARA")</f>
        <v>SUMATERA UTARA</v>
      </c>
      <c r="C48" s="2" t="str">
        <f ca="1">IFERROR(__xludf.DUMMYFUNCTION("""COMPUTED_VALUE"""),"Nias Utara")</f>
        <v>Nias Utara</v>
      </c>
      <c r="D48" s="2">
        <f ca="1">IFERROR(__xludf.DUMMYFUNCTION("""COMPUTED_VALUE"""),2.4)</f>
        <v>2.4</v>
      </c>
      <c r="E48" s="2">
        <f ca="1">IFERROR(__xludf.DUMMYFUNCTION("""COMPUTED_VALUE"""),3.07)</f>
        <v>3.07</v>
      </c>
      <c r="F48" s="2">
        <f ca="1">IFERROR(__xludf.DUMMYFUNCTION("""COMPUTED_VALUE"""),4.54)</f>
        <v>4.54</v>
      </c>
      <c r="G48" s="2">
        <f ca="1">IFERROR(__xludf.DUMMYFUNCTION("""COMPUTED_VALUE"""),3)</f>
        <v>3</v>
      </c>
      <c r="H48" s="2">
        <f ca="1">IFERROR(__xludf.DUMMYFUNCTION("""COMPUTED_VALUE"""),2.59)</f>
        <v>2.59</v>
      </c>
      <c r="I48" s="2">
        <f ca="1">IFERROR(__xludf.DUMMYFUNCTION("""COMPUTED_VALUE"""),2.57)</f>
        <v>2.57</v>
      </c>
      <c r="J48" s="2">
        <f ca="1">IFERROR(__xludf.DUMMYFUNCTION("""COMPUTED_VALUE"""),2.82)</f>
        <v>2.82</v>
      </c>
      <c r="K48" s="2">
        <f ca="1">IFERROR(__xludf.DUMMYFUNCTION("""COMPUTED_VALUE"""),79.69)</f>
        <v>79.69</v>
      </c>
      <c r="L48" s="2">
        <f ca="1">IFERROR(__xludf.DUMMYFUNCTION("""COMPUTED_VALUE"""),75.44)</f>
        <v>75.44</v>
      </c>
      <c r="M48" s="2">
        <f ca="1">IFERROR(__xludf.DUMMYFUNCTION("""COMPUTED_VALUE"""),73.71)</f>
        <v>73.709999999999994</v>
      </c>
      <c r="N48" s="2">
        <f ca="1">IFERROR(__xludf.DUMMYFUNCTION("""COMPUTED_VALUE"""),74.27)</f>
        <v>74.27</v>
      </c>
      <c r="O48" s="2">
        <f ca="1">IFERROR(__xludf.DUMMYFUNCTION("""COMPUTED_VALUE"""),77.75)</f>
        <v>77.75</v>
      </c>
      <c r="P48" s="2">
        <f ca="1">IFERROR(__xludf.DUMMYFUNCTION("""COMPUTED_VALUE"""),81.27)</f>
        <v>81.27</v>
      </c>
      <c r="Q48" s="2">
        <f ca="1">IFERROR(__xludf.DUMMYFUNCTION("""COMPUTED_VALUE"""),79.7)</f>
        <v>79.7</v>
      </c>
    </row>
    <row r="49" spans="1:17" ht="15.75" customHeight="1" x14ac:dyDescent="0.25">
      <c r="A49" s="2">
        <v>1225</v>
      </c>
      <c r="B49" s="2" t="str">
        <f ca="1">IFERROR(__xludf.DUMMYFUNCTION("""COMPUTED_VALUE"""),"SUMATERA UTARA")</f>
        <v>SUMATERA UTARA</v>
      </c>
      <c r="C49" s="2" t="str">
        <f ca="1">IFERROR(__xludf.DUMMYFUNCTION("""COMPUTED_VALUE"""),"Nias Barat")</f>
        <v>Nias Barat</v>
      </c>
      <c r="D49" s="2">
        <f ca="1">IFERROR(__xludf.DUMMYFUNCTION("""COMPUTED_VALUE"""),1.23)</f>
        <v>1.23</v>
      </c>
      <c r="E49" s="2">
        <f ca="1">IFERROR(__xludf.DUMMYFUNCTION("""COMPUTED_VALUE"""),1.63)</f>
        <v>1.63</v>
      </c>
      <c r="F49" s="2">
        <f ca="1">IFERROR(__xludf.DUMMYFUNCTION("""COMPUTED_VALUE"""),1.71)</f>
        <v>1.71</v>
      </c>
      <c r="G49" s="2">
        <f ca="1">IFERROR(__xludf.DUMMYFUNCTION("""COMPUTED_VALUE"""),0.74)</f>
        <v>0.74</v>
      </c>
      <c r="H49" s="2">
        <f ca="1">IFERROR(__xludf.DUMMYFUNCTION("""COMPUTED_VALUE"""),0.53)</f>
        <v>0.53</v>
      </c>
      <c r="I49" s="2">
        <f ca="1">IFERROR(__xludf.DUMMYFUNCTION("""COMPUTED_VALUE"""),0.8)</f>
        <v>0.8</v>
      </c>
      <c r="J49" s="2">
        <f ca="1">IFERROR(__xludf.DUMMYFUNCTION("""COMPUTED_VALUE"""),1)</f>
        <v>1</v>
      </c>
      <c r="K49" s="2">
        <f ca="1">IFERROR(__xludf.DUMMYFUNCTION("""COMPUTED_VALUE"""),90.79)</f>
        <v>90.79</v>
      </c>
      <c r="L49" s="2">
        <f ca="1">IFERROR(__xludf.DUMMYFUNCTION("""COMPUTED_VALUE"""),81.93)</f>
        <v>81.93</v>
      </c>
      <c r="M49" s="2">
        <f ca="1">IFERROR(__xludf.DUMMYFUNCTION("""COMPUTED_VALUE"""),51.83)</f>
        <v>51.83</v>
      </c>
      <c r="N49" s="2">
        <f ca="1">IFERROR(__xludf.DUMMYFUNCTION("""COMPUTED_VALUE"""),82.08)</f>
        <v>82.08</v>
      </c>
      <c r="O49" s="2">
        <f ca="1">IFERROR(__xludf.DUMMYFUNCTION("""COMPUTED_VALUE"""),84.63)</f>
        <v>84.63</v>
      </c>
      <c r="P49" s="2">
        <f ca="1">IFERROR(__xludf.DUMMYFUNCTION("""COMPUTED_VALUE"""),81.08)</f>
        <v>81.08</v>
      </c>
      <c r="Q49" s="2">
        <f ca="1">IFERROR(__xludf.DUMMYFUNCTION("""COMPUTED_VALUE"""),81.18)</f>
        <v>81.180000000000007</v>
      </c>
    </row>
    <row r="50" spans="1:17" ht="15.75" customHeight="1" x14ac:dyDescent="0.25">
      <c r="A50" s="2">
        <v>1271</v>
      </c>
      <c r="B50" s="2" t="str">
        <f ca="1">IFERROR(__xludf.DUMMYFUNCTION("""COMPUTED_VALUE"""),"SUMATERA UTARA")</f>
        <v>SUMATERA UTARA</v>
      </c>
      <c r="C50" s="2" t="str">
        <f ca="1">IFERROR(__xludf.DUMMYFUNCTION("""COMPUTED_VALUE"""),"Sibolga")</f>
        <v>Sibolga</v>
      </c>
      <c r="D50" s="2">
        <f ca="1">IFERROR(__xludf.DUMMYFUNCTION("""COMPUTED_VALUE"""),8.61)</f>
        <v>8.61</v>
      </c>
      <c r="E50" s="2">
        <f ca="1">IFERROR(__xludf.DUMMYFUNCTION("""COMPUTED_VALUE"""),7.4)</f>
        <v>7.4</v>
      </c>
      <c r="F50" s="2">
        <f ca="1">IFERROR(__xludf.DUMMYFUNCTION("""COMPUTED_VALUE"""),8)</f>
        <v>8</v>
      </c>
      <c r="G50" s="2">
        <f ca="1">IFERROR(__xludf.DUMMYFUNCTION("""COMPUTED_VALUE"""),8.72)</f>
        <v>8.7200000000000006</v>
      </c>
      <c r="H50" s="2">
        <f ca="1">IFERROR(__xludf.DUMMYFUNCTION("""COMPUTED_VALUE"""),7.05)</f>
        <v>7.05</v>
      </c>
      <c r="I50" s="2">
        <f ca="1">IFERROR(__xludf.DUMMYFUNCTION("""COMPUTED_VALUE"""),6.79)</f>
        <v>6.79</v>
      </c>
      <c r="J50" s="2">
        <f ca="1">IFERROR(__xludf.DUMMYFUNCTION("""COMPUTED_VALUE"""),6.52)</f>
        <v>6.52</v>
      </c>
      <c r="K50" s="2">
        <f ca="1">IFERROR(__xludf.DUMMYFUNCTION("""COMPUTED_VALUE"""),74.36)</f>
        <v>74.36</v>
      </c>
      <c r="L50" s="2">
        <f ca="1">IFERROR(__xludf.DUMMYFUNCTION("""COMPUTED_VALUE"""),70.92)</f>
        <v>70.92</v>
      </c>
      <c r="M50" s="2">
        <f ca="1">IFERROR(__xludf.DUMMYFUNCTION("""COMPUTED_VALUE"""),70.38)</f>
        <v>70.38</v>
      </c>
      <c r="N50" s="2">
        <f ca="1">IFERROR(__xludf.DUMMYFUNCTION("""COMPUTED_VALUE"""),71.19)</f>
        <v>71.19</v>
      </c>
      <c r="O50" s="2">
        <f ca="1">IFERROR(__xludf.DUMMYFUNCTION("""COMPUTED_VALUE"""),65.85)</f>
        <v>65.849999999999994</v>
      </c>
      <c r="P50" s="2">
        <f ca="1">IFERROR(__xludf.DUMMYFUNCTION("""COMPUTED_VALUE"""),71.18)</f>
        <v>71.180000000000007</v>
      </c>
      <c r="Q50" s="2">
        <f ca="1">IFERROR(__xludf.DUMMYFUNCTION("""COMPUTED_VALUE"""),70.83)</f>
        <v>70.83</v>
      </c>
    </row>
    <row r="51" spans="1:17" ht="15.75" customHeight="1" x14ac:dyDescent="0.25">
      <c r="A51" s="2">
        <v>1272</v>
      </c>
      <c r="B51" s="2" t="str">
        <f ca="1">IFERROR(__xludf.DUMMYFUNCTION("""COMPUTED_VALUE"""),"SUMATERA UTARA")</f>
        <v>SUMATERA UTARA</v>
      </c>
      <c r="C51" s="10" t="s">
        <v>89</v>
      </c>
      <c r="D51" s="2">
        <f ca="1">IFERROR(__xludf.DUMMYFUNCTION("""COMPUTED_VALUE"""),5.58)</f>
        <v>5.58</v>
      </c>
      <c r="E51" s="2">
        <f ca="1">IFERROR(__xludf.DUMMYFUNCTION("""COMPUTED_VALUE"""),6.82)</f>
        <v>6.82</v>
      </c>
      <c r="F51" s="2">
        <f ca="1">IFERROR(__xludf.DUMMYFUNCTION("""COMPUTED_VALUE"""),6.97)</f>
        <v>6.97</v>
      </c>
      <c r="G51" s="2">
        <f ca="1">IFERROR(__xludf.DUMMYFUNCTION("""COMPUTED_VALUE"""),6.59)</f>
        <v>6.59</v>
      </c>
      <c r="H51" s="2">
        <f ca="1">IFERROR(__xludf.DUMMYFUNCTION("""COMPUTED_VALUE"""),4.62)</f>
        <v>4.62</v>
      </c>
      <c r="I51" s="2">
        <f ca="1">IFERROR(__xludf.DUMMYFUNCTION("""COMPUTED_VALUE"""),4.47)</f>
        <v>4.47</v>
      </c>
      <c r="J51" s="2">
        <f ca="1">IFERROR(__xludf.DUMMYFUNCTION("""COMPUTED_VALUE"""),4.08)</f>
        <v>4.08</v>
      </c>
      <c r="K51" s="2">
        <f ca="1">IFERROR(__xludf.DUMMYFUNCTION("""COMPUTED_VALUE"""),70.23)</f>
        <v>70.23</v>
      </c>
      <c r="L51" s="2">
        <f ca="1">IFERROR(__xludf.DUMMYFUNCTION("""COMPUTED_VALUE"""),64.83)</f>
        <v>64.83</v>
      </c>
      <c r="M51" s="2">
        <f ca="1">IFERROR(__xludf.DUMMYFUNCTION("""COMPUTED_VALUE"""),65.84)</f>
        <v>65.84</v>
      </c>
      <c r="N51" s="2">
        <f ca="1">IFERROR(__xludf.DUMMYFUNCTION("""COMPUTED_VALUE"""),66.57)</f>
        <v>66.569999999999993</v>
      </c>
      <c r="O51" s="2">
        <f ca="1">IFERROR(__xludf.DUMMYFUNCTION("""COMPUTED_VALUE"""),70.77)</f>
        <v>70.77</v>
      </c>
      <c r="P51" s="2">
        <f ca="1">IFERROR(__xludf.DUMMYFUNCTION("""COMPUTED_VALUE"""),69.79)</f>
        <v>69.790000000000006</v>
      </c>
      <c r="Q51" s="2">
        <f ca="1">IFERROR(__xludf.DUMMYFUNCTION("""COMPUTED_VALUE"""),69.57)</f>
        <v>69.569999999999993</v>
      </c>
    </row>
    <row r="52" spans="1:17" ht="15.75" customHeight="1" x14ac:dyDescent="0.25">
      <c r="A52" s="2">
        <v>1273</v>
      </c>
      <c r="B52" s="2" t="str">
        <f ca="1">IFERROR(__xludf.DUMMYFUNCTION("""COMPUTED_VALUE"""),"SUMATERA UTARA")</f>
        <v>SUMATERA UTARA</v>
      </c>
      <c r="C52" s="2" t="s">
        <v>26</v>
      </c>
      <c r="D52" s="2">
        <f ca="1">IFERROR(__xludf.DUMMYFUNCTION("""COMPUTED_VALUE"""),12.14)</f>
        <v>12.14</v>
      </c>
      <c r="E52" s="2">
        <f ca="1">IFERROR(__xludf.DUMMYFUNCTION("""COMPUTED_VALUE"""),11.09)</f>
        <v>11.09</v>
      </c>
      <c r="F52" s="2">
        <f ca="1">IFERROR(__xludf.DUMMYFUNCTION("""COMPUTED_VALUE"""),11.5)</f>
        <v>11.5</v>
      </c>
      <c r="G52" s="2">
        <f ca="1">IFERROR(__xludf.DUMMYFUNCTION("""COMPUTED_VALUE"""),11)</f>
        <v>11</v>
      </c>
      <c r="H52" s="2">
        <f ca="1">IFERROR(__xludf.DUMMYFUNCTION("""COMPUTED_VALUE"""),9.36)</f>
        <v>9.36</v>
      </c>
      <c r="I52" s="2">
        <f ca="1">IFERROR(__xludf.DUMMYFUNCTION("""COMPUTED_VALUE"""),8.62)</f>
        <v>8.6199999999999992</v>
      </c>
      <c r="J52" s="2">
        <f ca="1">IFERROR(__xludf.DUMMYFUNCTION("""COMPUTED_VALUE"""),8)</f>
        <v>8</v>
      </c>
      <c r="K52" s="2">
        <f ca="1">IFERROR(__xludf.DUMMYFUNCTION("""COMPUTED_VALUE"""),66.29)</f>
        <v>66.290000000000006</v>
      </c>
      <c r="L52" s="2">
        <f ca="1">IFERROR(__xludf.DUMMYFUNCTION("""COMPUTED_VALUE"""),71.11)</f>
        <v>71.11</v>
      </c>
      <c r="M52" s="2">
        <f ca="1">IFERROR(__xludf.DUMMYFUNCTION("""COMPUTED_VALUE"""),70.45)</f>
        <v>70.45</v>
      </c>
      <c r="N52" s="2">
        <f ca="1">IFERROR(__xludf.DUMMYFUNCTION("""COMPUTED_VALUE"""),68.8)</f>
        <v>68.8</v>
      </c>
      <c r="O52" s="2">
        <f ca="1">IFERROR(__xludf.DUMMYFUNCTION("""COMPUTED_VALUE"""),65.27)</f>
        <v>65.27</v>
      </c>
      <c r="P52" s="2">
        <f ca="1">IFERROR(__xludf.DUMMYFUNCTION("""COMPUTED_VALUE"""),70.96)</f>
        <v>70.959999999999994</v>
      </c>
      <c r="Q52" s="2">
        <f ca="1">IFERROR(__xludf.DUMMYFUNCTION("""COMPUTED_VALUE"""),71.82)</f>
        <v>71.819999999999993</v>
      </c>
    </row>
    <row r="53" spans="1:17" ht="15.75" customHeight="1" x14ac:dyDescent="0.25">
      <c r="A53" s="2">
        <v>1274</v>
      </c>
      <c r="B53" s="2" t="str">
        <f ca="1">IFERROR(__xludf.DUMMYFUNCTION("""COMPUTED_VALUE"""),"SUMATERA UTARA")</f>
        <v>SUMATERA UTARA</v>
      </c>
      <c r="C53" s="2" t="s">
        <v>27</v>
      </c>
      <c r="D53" s="2">
        <f ca="1">IFERROR(__xludf.DUMMYFUNCTION("""COMPUTED_VALUE"""),7.23)</f>
        <v>7.23</v>
      </c>
      <c r="E53" s="2">
        <f ca="1">IFERROR(__xludf.DUMMYFUNCTION("""COMPUTED_VALUE"""),8.6)</f>
        <v>8.6</v>
      </c>
      <c r="F53" s="2">
        <f ca="1">IFERROR(__xludf.DUMMYFUNCTION("""COMPUTED_VALUE"""),9.98)</f>
        <v>9.98</v>
      </c>
      <c r="G53" s="2">
        <f ca="1">IFERROR(__xludf.DUMMYFUNCTION("""COMPUTED_VALUE"""),8.37)</f>
        <v>8.3699999999999992</v>
      </c>
      <c r="H53" s="2">
        <f ca="1">IFERROR(__xludf.DUMMYFUNCTION("""COMPUTED_VALUE"""),6.39)</f>
        <v>6.39</v>
      </c>
      <c r="I53" s="2">
        <f ca="1">IFERROR(__xludf.DUMMYFUNCTION("""COMPUTED_VALUE"""),6.24)</f>
        <v>6.24</v>
      </c>
      <c r="J53" s="2">
        <f ca="1">IFERROR(__xludf.DUMMYFUNCTION("""COMPUTED_VALUE"""),6.18)</f>
        <v>6.18</v>
      </c>
      <c r="K53" s="2">
        <f ca="1">IFERROR(__xludf.DUMMYFUNCTION("""COMPUTED_VALUE"""),68.61)</f>
        <v>68.61</v>
      </c>
      <c r="L53" s="2">
        <f ca="1">IFERROR(__xludf.DUMMYFUNCTION("""COMPUTED_VALUE"""),66.72)</f>
        <v>66.72</v>
      </c>
      <c r="M53" s="2">
        <f ca="1">IFERROR(__xludf.DUMMYFUNCTION("""COMPUTED_VALUE"""),69.27)</f>
        <v>69.27</v>
      </c>
      <c r="N53" s="2">
        <f ca="1">IFERROR(__xludf.DUMMYFUNCTION("""COMPUTED_VALUE"""),67.19)</f>
        <v>67.19</v>
      </c>
      <c r="O53" s="2">
        <f ca="1">IFERROR(__xludf.DUMMYFUNCTION("""COMPUTED_VALUE"""),77.26)</f>
        <v>77.260000000000005</v>
      </c>
      <c r="P53" s="2">
        <f ca="1">IFERROR(__xludf.DUMMYFUNCTION("""COMPUTED_VALUE"""),65.7)</f>
        <v>65.7</v>
      </c>
      <c r="Q53" s="2">
        <f ca="1">IFERROR(__xludf.DUMMYFUNCTION("""COMPUTED_VALUE"""),66.48)</f>
        <v>66.48</v>
      </c>
    </row>
    <row r="54" spans="1:17" ht="15.75" customHeight="1" x14ac:dyDescent="0.25">
      <c r="A54" s="2">
        <v>1275</v>
      </c>
      <c r="B54" s="2" t="str">
        <f ca="1">IFERROR(__xludf.DUMMYFUNCTION("""COMPUTED_VALUE"""),"SUMATERA UTARA")</f>
        <v>SUMATERA UTARA</v>
      </c>
      <c r="C54" s="2" t="s">
        <v>25</v>
      </c>
      <c r="D54" s="2">
        <f ca="1">IFERROR(__xludf.DUMMYFUNCTION("""COMPUTED_VALUE"""),8.25)</f>
        <v>8.25</v>
      </c>
      <c r="E54" s="2">
        <f ca="1">IFERROR(__xludf.DUMMYFUNCTION("""COMPUTED_VALUE"""),8.53)</f>
        <v>8.5299999999999994</v>
      </c>
      <c r="F54" s="2">
        <f ca="1">IFERROR(__xludf.DUMMYFUNCTION("""COMPUTED_VALUE"""),10.74)</f>
        <v>10.74</v>
      </c>
      <c r="G54" s="2">
        <f ca="1">IFERROR(__xludf.DUMMYFUNCTION("""COMPUTED_VALUE"""),10.81)</f>
        <v>10.81</v>
      </c>
      <c r="H54" s="2">
        <f ca="1">IFERROR(__xludf.DUMMYFUNCTION("""COMPUTED_VALUE"""),8.89)</f>
        <v>8.89</v>
      </c>
      <c r="I54" s="2">
        <f ca="1">IFERROR(__xludf.DUMMYFUNCTION("""COMPUTED_VALUE"""),8.67)</f>
        <v>8.67</v>
      </c>
      <c r="J54" s="2">
        <f ca="1">IFERROR(__xludf.DUMMYFUNCTION("""COMPUTED_VALUE"""),8.13)</f>
        <v>8.1300000000000008</v>
      </c>
      <c r="K54" s="2">
        <f ca="1">IFERROR(__xludf.DUMMYFUNCTION("""COMPUTED_VALUE"""),65.99)</f>
        <v>65.989999999999995</v>
      </c>
      <c r="L54" s="2">
        <f ca="1">IFERROR(__xludf.DUMMYFUNCTION("""COMPUTED_VALUE"""),64.89)</f>
        <v>64.89</v>
      </c>
      <c r="M54" s="2">
        <f ca="1">IFERROR(__xludf.DUMMYFUNCTION("""COMPUTED_VALUE"""),63.62)</f>
        <v>63.62</v>
      </c>
      <c r="N54" s="2">
        <f ca="1">IFERROR(__xludf.DUMMYFUNCTION("""COMPUTED_VALUE"""),62.16)</f>
        <v>62.16</v>
      </c>
      <c r="O54" s="2">
        <f ca="1">IFERROR(__xludf.DUMMYFUNCTION("""COMPUTED_VALUE"""),62.23)</f>
        <v>62.23</v>
      </c>
      <c r="P54" s="2">
        <f ca="1">IFERROR(__xludf.DUMMYFUNCTION("""COMPUTED_VALUE"""),64.67)</f>
        <v>64.67</v>
      </c>
      <c r="Q54" s="2">
        <f ca="1">IFERROR(__xludf.DUMMYFUNCTION("""COMPUTED_VALUE"""),66.44)</f>
        <v>66.44</v>
      </c>
    </row>
    <row r="55" spans="1:17" ht="15.75" customHeight="1" x14ac:dyDescent="0.25">
      <c r="A55" s="2">
        <v>1276</v>
      </c>
      <c r="B55" s="2" t="str">
        <f ca="1">IFERROR(__xludf.DUMMYFUNCTION("""COMPUTED_VALUE"""),"SUMATERA UTARA")</f>
        <v>SUMATERA UTARA</v>
      </c>
      <c r="C55" s="2" t="s">
        <v>24</v>
      </c>
      <c r="D55" s="2">
        <f ca="1">IFERROR(__xludf.DUMMYFUNCTION("""COMPUTED_VALUE"""),7.4)</f>
        <v>7.4</v>
      </c>
      <c r="E55" s="2">
        <f ca="1">IFERROR(__xludf.DUMMYFUNCTION("""COMPUTED_VALUE"""),6.14)</f>
        <v>6.14</v>
      </c>
      <c r="F55" s="2">
        <f ca="1">IFERROR(__xludf.DUMMYFUNCTION("""COMPUTED_VALUE"""),8.67)</f>
        <v>8.67</v>
      </c>
      <c r="G55" s="2">
        <f ca="1">IFERROR(__xludf.DUMMYFUNCTION("""COMPUTED_VALUE"""),7.86)</f>
        <v>7.86</v>
      </c>
      <c r="H55" s="2">
        <f ca="1">IFERROR(__xludf.DUMMYFUNCTION("""COMPUTED_VALUE"""),6.36)</f>
        <v>6.36</v>
      </c>
      <c r="I55" s="2">
        <f ca="1">IFERROR(__xludf.DUMMYFUNCTION("""COMPUTED_VALUE"""),6.1)</f>
        <v>6.1</v>
      </c>
      <c r="J55" s="2">
        <f ca="1">IFERROR(__xludf.DUMMYFUNCTION("""COMPUTED_VALUE"""),5.44)</f>
        <v>5.44</v>
      </c>
      <c r="K55" s="2">
        <f ca="1">IFERROR(__xludf.DUMMYFUNCTION("""COMPUTED_VALUE"""),66.78)</f>
        <v>66.78</v>
      </c>
      <c r="L55" s="2">
        <f ca="1">IFERROR(__xludf.DUMMYFUNCTION("""COMPUTED_VALUE"""),66.89)</f>
        <v>66.89</v>
      </c>
      <c r="M55" s="2">
        <f ca="1">IFERROR(__xludf.DUMMYFUNCTION("""COMPUTED_VALUE"""),65.14)</f>
        <v>65.14</v>
      </c>
      <c r="N55" s="2">
        <f ca="1">IFERROR(__xludf.DUMMYFUNCTION("""COMPUTED_VALUE"""),62.77)</f>
        <v>62.77</v>
      </c>
      <c r="O55" s="2">
        <f ca="1">IFERROR(__xludf.DUMMYFUNCTION("""COMPUTED_VALUE"""),58.61)</f>
        <v>58.61</v>
      </c>
      <c r="P55" s="2">
        <f ca="1">IFERROR(__xludf.DUMMYFUNCTION("""COMPUTED_VALUE"""),62.79)</f>
        <v>62.79</v>
      </c>
      <c r="Q55" s="2">
        <f ca="1">IFERROR(__xludf.DUMMYFUNCTION("""COMPUTED_VALUE"""),64.22)</f>
        <v>64.22</v>
      </c>
    </row>
    <row r="56" spans="1:17" ht="15.75" customHeight="1" x14ac:dyDescent="0.25">
      <c r="A56" s="2">
        <v>1277</v>
      </c>
      <c r="B56" s="2" t="str">
        <f ca="1">IFERROR(__xludf.DUMMYFUNCTION("""COMPUTED_VALUE"""),"SUMATERA UTARA")</f>
        <v>SUMATERA UTARA</v>
      </c>
      <c r="C56" s="10" t="s">
        <v>88</v>
      </c>
      <c r="D56" s="2">
        <f ca="1">IFERROR(__xludf.DUMMYFUNCTION("""COMPUTED_VALUE"""),5.18)</f>
        <v>5.18</v>
      </c>
      <c r="E56" s="2">
        <f ca="1">IFERROR(__xludf.DUMMYFUNCTION("""COMPUTED_VALUE"""),4.34)</f>
        <v>4.34</v>
      </c>
      <c r="F56" s="2">
        <f ca="1">IFERROR(__xludf.DUMMYFUNCTION("""COMPUTED_VALUE"""),7.45)</f>
        <v>7.45</v>
      </c>
      <c r="G56" s="2">
        <f ca="1">IFERROR(__xludf.DUMMYFUNCTION("""COMPUTED_VALUE"""),7.18)</f>
        <v>7.18</v>
      </c>
      <c r="H56" s="2">
        <f ca="1">IFERROR(__xludf.DUMMYFUNCTION("""COMPUTED_VALUE"""),7.76)</f>
        <v>7.76</v>
      </c>
      <c r="I56" s="2">
        <f ca="1">IFERROR(__xludf.DUMMYFUNCTION("""COMPUTED_VALUE"""),7.57)</f>
        <v>7.57</v>
      </c>
      <c r="J56" s="2">
        <f ca="1">IFERROR(__xludf.DUMMYFUNCTION("""COMPUTED_VALUE"""),7.17)</f>
        <v>7.17</v>
      </c>
      <c r="K56" s="2">
        <f ca="1">IFERROR(__xludf.DUMMYFUNCTION("""COMPUTED_VALUE"""),72.59)</f>
        <v>72.59</v>
      </c>
      <c r="L56" s="2">
        <f ca="1">IFERROR(__xludf.DUMMYFUNCTION("""COMPUTED_VALUE"""),72.9)</f>
        <v>72.900000000000006</v>
      </c>
      <c r="M56" s="2">
        <f ca="1">IFERROR(__xludf.DUMMYFUNCTION("""COMPUTED_VALUE"""),73.24)</f>
        <v>73.239999999999995</v>
      </c>
      <c r="N56" s="2">
        <f ca="1">IFERROR(__xludf.DUMMYFUNCTION("""COMPUTED_VALUE"""),68.69)</f>
        <v>68.69</v>
      </c>
      <c r="O56" s="2">
        <f ca="1">IFERROR(__xludf.DUMMYFUNCTION("""COMPUTED_VALUE"""),64.41)</f>
        <v>64.41</v>
      </c>
      <c r="P56" s="2">
        <f ca="1">IFERROR(__xludf.DUMMYFUNCTION("""COMPUTED_VALUE"""),68.9)</f>
        <v>68.900000000000006</v>
      </c>
      <c r="Q56" s="2">
        <f ca="1">IFERROR(__xludf.DUMMYFUNCTION("""COMPUTED_VALUE"""),68.53)</f>
        <v>68.53</v>
      </c>
    </row>
    <row r="57" spans="1:17" ht="15.75" customHeight="1" x14ac:dyDescent="0.25">
      <c r="A57" s="2">
        <v>1278</v>
      </c>
      <c r="B57" s="2" t="str">
        <f ca="1">IFERROR(__xludf.DUMMYFUNCTION("""COMPUTED_VALUE"""),"SUMATERA UTARA")</f>
        <v>SUMATERA UTARA</v>
      </c>
      <c r="C57" s="2" t="s">
        <v>28</v>
      </c>
      <c r="D57" s="2">
        <f ca="1">IFERROR(__xludf.DUMMYFUNCTION("""COMPUTED_VALUE"""),5.92)</f>
        <v>5.92</v>
      </c>
      <c r="E57" s="2">
        <f ca="1">IFERROR(__xludf.DUMMYFUNCTION("""COMPUTED_VALUE"""),5.59)</f>
        <v>5.59</v>
      </c>
      <c r="F57" s="2">
        <f ca="1">IFERROR(__xludf.DUMMYFUNCTION("""COMPUTED_VALUE"""),5.94)</f>
        <v>5.94</v>
      </c>
      <c r="G57" s="2">
        <f ca="1">IFERROR(__xludf.DUMMYFUNCTION("""COMPUTED_VALUE"""),4.8)</f>
        <v>4.8</v>
      </c>
      <c r="H57" s="2">
        <f ca="1">IFERROR(__xludf.DUMMYFUNCTION("""COMPUTED_VALUE"""),3.65)</f>
        <v>3.65</v>
      </c>
      <c r="I57" s="2">
        <f ca="1">IFERROR(__xludf.DUMMYFUNCTION("""COMPUTED_VALUE"""),3.67)</f>
        <v>3.67</v>
      </c>
      <c r="J57" s="2">
        <f ca="1">IFERROR(__xludf.DUMMYFUNCTION("""COMPUTED_VALUE"""),3.3)</f>
        <v>3.3</v>
      </c>
      <c r="K57" s="2">
        <f ca="1">IFERROR(__xludf.DUMMYFUNCTION("""COMPUTED_VALUE"""),68.07)</f>
        <v>68.069999999999993</v>
      </c>
      <c r="L57" s="2">
        <f ca="1">IFERROR(__xludf.DUMMYFUNCTION("""COMPUTED_VALUE"""),71.42)</f>
        <v>71.42</v>
      </c>
      <c r="M57" s="2">
        <f ca="1">IFERROR(__xludf.DUMMYFUNCTION("""COMPUTED_VALUE"""),62.82)</f>
        <v>62.82</v>
      </c>
      <c r="N57" s="2">
        <f ca="1">IFERROR(__xludf.DUMMYFUNCTION("""COMPUTED_VALUE"""),62.95)</f>
        <v>62.95</v>
      </c>
      <c r="O57" s="2">
        <f ca="1">IFERROR(__xludf.DUMMYFUNCTION("""COMPUTED_VALUE"""),66.11)</f>
        <v>66.11</v>
      </c>
      <c r="P57" s="2">
        <f ca="1">IFERROR(__xludf.DUMMYFUNCTION("""COMPUTED_VALUE"""),67.77)</f>
        <v>67.77</v>
      </c>
      <c r="Q57" s="2">
        <f ca="1">IFERROR(__xludf.DUMMYFUNCTION("""COMPUTED_VALUE"""),71.12)</f>
        <v>71.12</v>
      </c>
    </row>
    <row r="58" spans="1:17" ht="15.75" customHeight="1" x14ac:dyDescent="0.25">
      <c r="A58" s="2">
        <v>1301</v>
      </c>
      <c r="B58" s="2" t="str">
        <f ca="1">IFERROR(__xludf.DUMMYFUNCTION("""COMPUTED_VALUE"""),"SUMATERA BARAT")</f>
        <v>SUMATERA BARAT</v>
      </c>
      <c r="C58" s="10" t="s">
        <v>65</v>
      </c>
      <c r="D58" s="2">
        <f ca="1">IFERROR(__xludf.DUMMYFUNCTION("""COMPUTED_VALUE"""),2.31)</f>
        <v>2.31</v>
      </c>
      <c r="E58" s="2">
        <f ca="1">IFERROR(__xludf.DUMMYFUNCTION("""COMPUTED_VALUE"""),2.92)</f>
        <v>2.92</v>
      </c>
      <c r="F58" s="2">
        <f ca="1">IFERROR(__xludf.DUMMYFUNCTION("""COMPUTED_VALUE"""),3.98)</f>
        <v>3.98</v>
      </c>
      <c r="G58" s="2">
        <f ca="1">IFERROR(__xludf.DUMMYFUNCTION("""COMPUTED_VALUE"""),2.79)</f>
        <v>2.79</v>
      </c>
      <c r="H58" s="2">
        <f ca="1">IFERROR(__xludf.DUMMYFUNCTION("""COMPUTED_VALUE"""),1.39)</f>
        <v>1.39</v>
      </c>
      <c r="I58" s="2">
        <f ca="1">IFERROR(__xludf.DUMMYFUNCTION("""COMPUTED_VALUE"""),1.33)</f>
        <v>1.33</v>
      </c>
      <c r="J58" s="2">
        <f ca="1">IFERROR(__xludf.DUMMYFUNCTION("""COMPUTED_VALUE"""),1.44)</f>
        <v>1.44</v>
      </c>
      <c r="K58" s="2">
        <f ca="1">IFERROR(__xludf.DUMMYFUNCTION("""COMPUTED_VALUE"""),75)</f>
        <v>75</v>
      </c>
      <c r="L58" s="2">
        <f ca="1">IFERROR(__xludf.DUMMYFUNCTION("""COMPUTED_VALUE"""),83.1)</f>
        <v>83.1</v>
      </c>
      <c r="M58" s="2">
        <f ca="1">IFERROR(__xludf.DUMMYFUNCTION("""COMPUTED_VALUE"""),81.65)</f>
        <v>81.650000000000006</v>
      </c>
      <c r="N58" s="2">
        <f ca="1">IFERROR(__xludf.DUMMYFUNCTION("""COMPUTED_VALUE"""),82.57)</f>
        <v>82.57</v>
      </c>
      <c r="O58" s="2">
        <f ca="1">IFERROR(__xludf.DUMMYFUNCTION("""COMPUTED_VALUE"""),78.25)</f>
        <v>78.25</v>
      </c>
      <c r="P58" s="2">
        <f ca="1">IFERROR(__xludf.DUMMYFUNCTION("""COMPUTED_VALUE"""),80.07)</f>
        <v>80.069999999999993</v>
      </c>
      <c r="Q58" s="2">
        <f ca="1">IFERROR(__xludf.DUMMYFUNCTION("""COMPUTED_VALUE"""),83.47)</f>
        <v>83.47</v>
      </c>
    </row>
    <row r="59" spans="1:17" ht="15.75" customHeight="1" x14ac:dyDescent="0.25">
      <c r="A59" s="2">
        <v>1302</v>
      </c>
      <c r="B59" s="2" t="str">
        <f ca="1">IFERROR(__xludf.DUMMYFUNCTION("""COMPUTED_VALUE"""),"SUMATERA BARAT")</f>
        <v>SUMATERA BARAT</v>
      </c>
      <c r="C59" s="2" t="s">
        <v>57</v>
      </c>
      <c r="D59" s="2">
        <f ca="1">IFERROR(__xludf.DUMMYFUNCTION("""COMPUTED_VALUE"""),6.03)</f>
        <v>6.03</v>
      </c>
      <c r="E59" s="2">
        <f ca="1">IFERROR(__xludf.DUMMYFUNCTION("""COMPUTED_VALUE"""),6.02)</f>
        <v>6.02</v>
      </c>
      <c r="F59" s="2">
        <f ca="1">IFERROR(__xludf.DUMMYFUNCTION("""COMPUTED_VALUE"""),7)</f>
        <v>7</v>
      </c>
      <c r="G59" s="2">
        <f ca="1">IFERROR(__xludf.DUMMYFUNCTION("""COMPUTED_VALUE"""),5.97)</f>
        <v>5.97</v>
      </c>
      <c r="H59" s="2">
        <f ca="1">IFERROR(__xludf.DUMMYFUNCTION("""COMPUTED_VALUE"""),4.61)</f>
        <v>4.6100000000000003</v>
      </c>
      <c r="I59" s="2">
        <f ca="1">IFERROR(__xludf.DUMMYFUNCTION("""COMPUTED_VALUE"""),4.75)</f>
        <v>4.75</v>
      </c>
      <c r="J59" s="2">
        <f ca="1">IFERROR(__xludf.DUMMYFUNCTION("""COMPUTED_VALUE"""),5.06)</f>
        <v>5.0599999999999996</v>
      </c>
      <c r="K59" s="2">
        <f ca="1">IFERROR(__xludf.DUMMYFUNCTION("""COMPUTED_VALUE"""),66.63)</f>
        <v>66.63</v>
      </c>
      <c r="L59" s="2">
        <f ca="1">IFERROR(__xludf.DUMMYFUNCTION("""COMPUTED_VALUE"""),68.82)</f>
        <v>68.819999999999993</v>
      </c>
      <c r="M59" s="2">
        <f ca="1">IFERROR(__xludf.DUMMYFUNCTION("""COMPUTED_VALUE"""),65)</f>
        <v>65</v>
      </c>
      <c r="N59" s="2">
        <f ca="1">IFERROR(__xludf.DUMMYFUNCTION("""COMPUTED_VALUE"""),66.59)</f>
        <v>66.59</v>
      </c>
      <c r="O59" s="2">
        <f ca="1">IFERROR(__xludf.DUMMYFUNCTION("""COMPUTED_VALUE"""),66.95)</f>
        <v>66.95</v>
      </c>
      <c r="P59" s="2">
        <f ca="1">IFERROR(__xludf.DUMMYFUNCTION("""COMPUTED_VALUE"""),65)</f>
        <v>65</v>
      </c>
      <c r="Q59" s="2">
        <f ca="1">IFERROR(__xludf.DUMMYFUNCTION("""COMPUTED_VALUE"""),66)</f>
        <v>66</v>
      </c>
    </row>
    <row r="60" spans="1:17" ht="15.75" customHeight="1" x14ac:dyDescent="0.25">
      <c r="A60" s="2">
        <v>1303</v>
      </c>
      <c r="B60" s="2" t="str">
        <f ca="1">IFERROR(__xludf.DUMMYFUNCTION("""COMPUTED_VALUE"""),"SUMATERA BARAT")</f>
        <v>SUMATERA BARAT</v>
      </c>
      <c r="C60" s="2" t="s">
        <v>58</v>
      </c>
      <c r="D60" s="2">
        <f ca="1">IFERROR(__xludf.DUMMYFUNCTION("""COMPUTED_VALUE"""),6.12)</f>
        <v>6.12</v>
      </c>
      <c r="E60" s="2">
        <f ca="1">IFERROR(__xludf.DUMMYFUNCTION("""COMPUTED_VALUE"""),4.72)</f>
        <v>4.72</v>
      </c>
      <c r="F60" s="2">
        <f ca="1">IFERROR(__xludf.DUMMYFUNCTION("""COMPUTED_VALUE"""),4.65)</f>
        <v>4.6500000000000004</v>
      </c>
      <c r="G60" s="2">
        <f ca="1">IFERROR(__xludf.DUMMYFUNCTION("""COMPUTED_VALUE"""),4.67)</f>
        <v>4.67</v>
      </c>
      <c r="H60" s="2">
        <f ca="1">IFERROR(__xludf.DUMMYFUNCTION("""COMPUTED_VALUE"""),5.89)</f>
        <v>5.89</v>
      </c>
      <c r="I60" s="2">
        <f ca="1">IFERROR(__xludf.DUMMYFUNCTION("""COMPUTED_VALUE"""),4.99)</f>
        <v>4.99</v>
      </c>
      <c r="J60" s="2">
        <f ca="1">IFERROR(__xludf.DUMMYFUNCTION("""COMPUTED_VALUE"""),4.91)</f>
        <v>4.91</v>
      </c>
      <c r="K60" s="2">
        <f ca="1">IFERROR(__xludf.DUMMYFUNCTION("""COMPUTED_VALUE"""),68.35)</f>
        <v>68.349999999999994</v>
      </c>
      <c r="L60" s="2">
        <f ca="1">IFERROR(__xludf.DUMMYFUNCTION("""COMPUTED_VALUE"""),70.83)</f>
        <v>70.83</v>
      </c>
      <c r="M60" s="2">
        <f ca="1">IFERROR(__xludf.DUMMYFUNCTION("""COMPUTED_VALUE"""),74.64)</f>
        <v>74.64</v>
      </c>
      <c r="N60" s="2">
        <f ca="1">IFERROR(__xludf.DUMMYFUNCTION("""COMPUTED_VALUE"""),71.21)</f>
        <v>71.209999999999994</v>
      </c>
      <c r="O60" s="2">
        <f ca="1">IFERROR(__xludf.DUMMYFUNCTION("""COMPUTED_VALUE"""),74.44)</f>
        <v>74.44</v>
      </c>
      <c r="P60" s="2">
        <f ca="1">IFERROR(__xludf.DUMMYFUNCTION("""COMPUTED_VALUE"""),76.74)</f>
        <v>76.739999999999995</v>
      </c>
      <c r="Q60" s="2">
        <f ca="1">IFERROR(__xludf.DUMMYFUNCTION("""COMPUTED_VALUE"""),76.8)</f>
        <v>76.8</v>
      </c>
    </row>
    <row r="61" spans="1:17" ht="15.75" customHeight="1" x14ac:dyDescent="0.25">
      <c r="A61" s="2">
        <v>1304</v>
      </c>
      <c r="B61" s="2" t="str">
        <f ca="1">IFERROR(__xludf.DUMMYFUNCTION("""COMPUTED_VALUE"""),"SUMATERA BARAT")</f>
        <v>SUMATERA BARAT</v>
      </c>
      <c r="C61" s="2" t="s">
        <v>59</v>
      </c>
      <c r="D61" s="2">
        <f ca="1">IFERROR(__xludf.DUMMYFUNCTION("""COMPUTED_VALUE"""),3.22)</f>
        <v>3.22</v>
      </c>
      <c r="E61" s="2">
        <f ca="1">IFERROR(__xludf.DUMMYFUNCTION("""COMPUTED_VALUE"""),3.64)</f>
        <v>3.64</v>
      </c>
      <c r="F61" s="2">
        <f ca="1">IFERROR(__xludf.DUMMYFUNCTION("""COMPUTED_VALUE"""),5.3)</f>
        <v>5.3</v>
      </c>
      <c r="G61" s="2">
        <f ca="1">IFERROR(__xludf.DUMMYFUNCTION("""COMPUTED_VALUE"""),3.57)</f>
        <v>3.57</v>
      </c>
      <c r="H61" s="2">
        <f ca="1">IFERROR(__xludf.DUMMYFUNCTION("""COMPUTED_VALUE"""),4.87)</f>
        <v>4.87</v>
      </c>
      <c r="I61" s="2">
        <f ca="1">IFERROR(__xludf.DUMMYFUNCTION("""COMPUTED_VALUE"""),4.71)</f>
        <v>4.71</v>
      </c>
      <c r="J61" s="2">
        <f ca="1">IFERROR(__xludf.DUMMYFUNCTION("""COMPUTED_VALUE"""),4.73)</f>
        <v>4.7300000000000004</v>
      </c>
      <c r="K61" s="2">
        <f ca="1">IFERROR(__xludf.DUMMYFUNCTION("""COMPUTED_VALUE"""),68.43)</f>
        <v>68.430000000000007</v>
      </c>
      <c r="L61" s="2">
        <f ca="1">IFERROR(__xludf.DUMMYFUNCTION("""COMPUTED_VALUE"""),70.17)</f>
        <v>70.17</v>
      </c>
      <c r="M61" s="2">
        <f ca="1">IFERROR(__xludf.DUMMYFUNCTION("""COMPUTED_VALUE"""),70.7)</f>
        <v>70.7</v>
      </c>
      <c r="N61" s="2">
        <f ca="1">IFERROR(__xludf.DUMMYFUNCTION("""COMPUTED_VALUE"""),70.06)</f>
        <v>70.06</v>
      </c>
      <c r="O61" s="2">
        <f ca="1">IFERROR(__xludf.DUMMYFUNCTION("""COMPUTED_VALUE"""),68.17)</f>
        <v>68.17</v>
      </c>
      <c r="P61" s="2">
        <f ca="1">IFERROR(__xludf.DUMMYFUNCTION("""COMPUTED_VALUE"""),68.51)</f>
        <v>68.510000000000005</v>
      </c>
      <c r="Q61" s="2">
        <f ca="1">IFERROR(__xludf.DUMMYFUNCTION("""COMPUTED_VALUE"""),70.18)</f>
        <v>70.180000000000007</v>
      </c>
    </row>
    <row r="62" spans="1:17" ht="15.75" customHeight="1" x14ac:dyDescent="0.25">
      <c r="A62" s="2">
        <v>1305</v>
      </c>
      <c r="B62" s="2" t="str">
        <f ca="1">IFERROR(__xludf.DUMMYFUNCTION("""COMPUTED_VALUE"""),"SUMATERA BARAT")</f>
        <v>SUMATERA BARAT</v>
      </c>
      <c r="C62" s="2" t="s">
        <v>60</v>
      </c>
      <c r="D62" s="2">
        <f ca="1">IFERROR(__xludf.DUMMYFUNCTION("""COMPUTED_VALUE"""),4.01)</f>
        <v>4.01</v>
      </c>
      <c r="E62" s="2">
        <f ca="1">IFERROR(__xludf.DUMMYFUNCTION("""COMPUTED_VALUE"""),3.2)</f>
        <v>3.2</v>
      </c>
      <c r="F62" s="2">
        <f ca="1">IFERROR(__xludf.DUMMYFUNCTION("""COMPUTED_VALUE"""),4.79)</f>
        <v>4.79</v>
      </c>
      <c r="G62" s="2">
        <f ca="1">IFERROR(__xludf.DUMMYFUNCTION("""COMPUTED_VALUE"""),4.63)</f>
        <v>4.63</v>
      </c>
      <c r="H62" s="2">
        <f ca="1">IFERROR(__xludf.DUMMYFUNCTION("""COMPUTED_VALUE"""),5.91)</f>
        <v>5.91</v>
      </c>
      <c r="I62" s="2">
        <f ca="1">IFERROR(__xludf.DUMMYFUNCTION("""COMPUTED_VALUE"""),5.35)</f>
        <v>5.35</v>
      </c>
      <c r="J62" s="2">
        <f ca="1">IFERROR(__xludf.DUMMYFUNCTION("""COMPUTED_VALUE"""),5.3)</f>
        <v>5.3</v>
      </c>
      <c r="K62" s="2">
        <f ca="1">IFERROR(__xludf.DUMMYFUNCTION("""COMPUTED_VALUE"""),69.03)</f>
        <v>69.03</v>
      </c>
      <c r="L62" s="2">
        <f ca="1">IFERROR(__xludf.DUMMYFUNCTION("""COMPUTED_VALUE"""),69.25)</f>
        <v>69.25</v>
      </c>
      <c r="M62" s="2">
        <f ca="1">IFERROR(__xludf.DUMMYFUNCTION("""COMPUTED_VALUE"""),69.42)</f>
        <v>69.42</v>
      </c>
      <c r="N62" s="2">
        <f ca="1">IFERROR(__xludf.DUMMYFUNCTION("""COMPUTED_VALUE"""),66.88)</f>
        <v>66.88</v>
      </c>
      <c r="O62" s="2">
        <f ca="1">IFERROR(__xludf.DUMMYFUNCTION("""COMPUTED_VALUE"""),70.9)</f>
        <v>70.900000000000006</v>
      </c>
      <c r="P62" s="2">
        <f ca="1">IFERROR(__xludf.DUMMYFUNCTION("""COMPUTED_VALUE"""),69.43)</f>
        <v>69.430000000000007</v>
      </c>
      <c r="Q62" s="2">
        <f ca="1">IFERROR(__xludf.DUMMYFUNCTION("""COMPUTED_VALUE"""),71.23)</f>
        <v>71.23</v>
      </c>
    </row>
    <row r="63" spans="1:17" ht="15.75" customHeight="1" x14ac:dyDescent="0.25">
      <c r="A63" s="2">
        <v>1306</v>
      </c>
      <c r="B63" s="2" t="str">
        <f ca="1">IFERROR(__xludf.DUMMYFUNCTION("""COMPUTED_VALUE"""),"SUMATERA BARAT")</f>
        <v>SUMATERA BARAT</v>
      </c>
      <c r="C63" s="2" t="s">
        <v>61</v>
      </c>
      <c r="D63" s="2">
        <f ca="1">IFERROR(__xludf.DUMMYFUNCTION("""COMPUTED_VALUE"""),7.03)</f>
        <v>7.03</v>
      </c>
      <c r="E63" s="2">
        <f ca="1">IFERROR(__xludf.DUMMYFUNCTION("""COMPUTED_VALUE"""),6.08)</f>
        <v>6.08</v>
      </c>
      <c r="F63" s="2">
        <f ca="1">IFERROR(__xludf.DUMMYFUNCTION("""COMPUTED_VALUE"""),8.13)</f>
        <v>8.1300000000000008</v>
      </c>
      <c r="G63" s="2">
        <f ca="1">IFERROR(__xludf.DUMMYFUNCTION("""COMPUTED_VALUE"""),8.41)</f>
        <v>8.41</v>
      </c>
      <c r="H63" s="2">
        <f ca="1">IFERROR(__xludf.DUMMYFUNCTION("""COMPUTED_VALUE"""),6.6)</f>
        <v>6.6</v>
      </c>
      <c r="I63" s="2">
        <f ca="1">IFERROR(__xludf.DUMMYFUNCTION("""COMPUTED_VALUE"""),6.69)</f>
        <v>6.69</v>
      </c>
      <c r="J63" s="2">
        <f ca="1">IFERROR(__xludf.DUMMYFUNCTION("""COMPUTED_VALUE"""),6.59)</f>
        <v>6.59</v>
      </c>
      <c r="K63" s="2">
        <f ca="1">IFERROR(__xludf.DUMMYFUNCTION("""COMPUTED_VALUE"""),65.56)</f>
        <v>65.56</v>
      </c>
      <c r="L63" s="2">
        <f ca="1">IFERROR(__xludf.DUMMYFUNCTION("""COMPUTED_VALUE"""),63.23)</f>
        <v>63.23</v>
      </c>
      <c r="M63" s="2">
        <f ca="1">IFERROR(__xludf.DUMMYFUNCTION("""COMPUTED_VALUE"""),67.18)</f>
        <v>67.180000000000007</v>
      </c>
      <c r="N63" s="2">
        <f ca="1">IFERROR(__xludf.DUMMYFUNCTION("""COMPUTED_VALUE"""),64.64)</f>
        <v>64.64</v>
      </c>
      <c r="O63" s="2">
        <f ca="1">IFERROR(__xludf.DUMMYFUNCTION("""COMPUTED_VALUE"""),70.44)</f>
        <v>70.44</v>
      </c>
      <c r="P63" s="2">
        <f ca="1">IFERROR(__xludf.DUMMYFUNCTION("""COMPUTED_VALUE"""),65.18)</f>
        <v>65.180000000000007</v>
      </c>
      <c r="Q63" s="2">
        <f ca="1">IFERROR(__xludf.DUMMYFUNCTION("""COMPUTED_VALUE"""),67.14)</f>
        <v>67.14</v>
      </c>
    </row>
    <row r="64" spans="1:17" ht="15.75" customHeight="1" x14ac:dyDescent="0.25">
      <c r="A64" s="2">
        <v>1307</v>
      </c>
      <c r="B64" s="2" t="str">
        <f ca="1">IFERROR(__xludf.DUMMYFUNCTION("""COMPUTED_VALUE"""),"SUMATERA BARAT")</f>
        <v>SUMATERA BARAT</v>
      </c>
      <c r="C64" s="2" t="s">
        <v>62</v>
      </c>
      <c r="D64" s="2">
        <f ca="1">IFERROR(__xludf.DUMMYFUNCTION("""COMPUTED_VALUE"""),4.93)</f>
        <v>4.93</v>
      </c>
      <c r="E64" s="2">
        <f ca="1">IFERROR(__xludf.DUMMYFUNCTION("""COMPUTED_VALUE"""),4.78)</f>
        <v>4.78</v>
      </c>
      <c r="F64" s="2">
        <f ca="1">IFERROR(__xludf.DUMMYFUNCTION("""COMPUTED_VALUE"""),4.61)</f>
        <v>4.6100000000000003</v>
      </c>
      <c r="G64" s="2">
        <f ca="1">IFERROR(__xludf.DUMMYFUNCTION("""COMPUTED_VALUE"""),5.06)</f>
        <v>5.0599999999999996</v>
      </c>
      <c r="H64" s="2">
        <f ca="1">IFERROR(__xludf.DUMMYFUNCTION("""COMPUTED_VALUE"""),4.93)</f>
        <v>4.93</v>
      </c>
      <c r="I64" s="2">
        <f ca="1">IFERROR(__xludf.DUMMYFUNCTION("""COMPUTED_VALUE"""),4.96)</f>
        <v>4.96</v>
      </c>
      <c r="J64" s="2">
        <f ca="1">IFERROR(__xludf.DUMMYFUNCTION("""COMPUTED_VALUE"""),4.73)</f>
        <v>4.7300000000000004</v>
      </c>
      <c r="K64" s="2">
        <f ca="1">IFERROR(__xludf.DUMMYFUNCTION("""COMPUTED_VALUE"""),68.56)</f>
        <v>68.56</v>
      </c>
      <c r="L64" s="2">
        <f ca="1">IFERROR(__xludf.DUMMYFUNCTION("""COMPUTED_VALUE"""),69.59)</f>
        <v>69.59</v>
      </c>
      <c r="M64" s="2">
        <f ca="1">IFERROR(__xludf.DUMMYFUNCTION("""COMPUTED_VALUE"""),70.29)</f>
        <v>70.290000000000006</v>
      </c>
      <c r="N64" s="2">
        <f ca="1">IFERROR(__xludf.DUMMYFUNCTION("""COMPUTED_VALUE"""),66.49)</f>
        <v>66.489999999999995</v>
      </c>
      <c r="O64" s="2">
        <f ca="1">IFERROR(__xludf.DUMMYFUNCTION("""COMPUTED_VALUE"""),73.05)</f>
        <v>73.05</v>
      </c>
      <c r="P64" s="2">
        <f ca="1">IFERROR(__xludf.DUMMYFUNCTION("""COMPUTED_VALUE"""),69.16)</f>
        <v>69.16</v>
      </c>
      <c r="Q64" s="2">
        <f ca="1">IFERROR(__xludf.DUMMYFUNCTION("""COMPUTED_VALUE"""),69.48)</f>
        <v>69.48</v>
      </c>
    </row>
    <row r="65" spans="1:17" ht="15.75" customHeight="1" x14ac:dyDescent="0.25">
      <c r="A65" s="2">
        <v>1308</v>
      </c>
      <c r="B65" s="2" t="str">
        <f ca="1">IFERROR(__xludf.DUMMYFUNCTION("""COMPUTED_VALUE"""),"SUMATERA BARAT")</f>
        <v>SUMATERA BARAT</v>
      </c>
      <c r="C65" s="2" t="s">
        <v>63</v>
      </c>
      <c r="D65" s="2">
        <f ca="1">IFERROR(__xludf.DUMMYFUNCTION("""COMPUTED_VALUE"""),2.73)</f>
        <v>2.73</v>
      </c>
      <c r="E65" s="2">
        <f ca="1">IFERROR(__xludf.DUMMYFUNCTION("""COMPUTED_VALUE"""),2.3)</f>
        <v>2.2999999999999998</v>
      </c>
      <c r="F65" s="2">
        <f ca="1">IFERROR(__xludf.DUMMYFUNCTION("""COMPUTED_VALUE"""),3.03)</f>
        <v>3.03</v>
      </c>
      <c r="G65" s="2">
        <f ca="1">IFERROR(__xludf.DUMMYFUNCTION("""COMPUTED_VALUE"""),2.25)</f>
        <v>2.25</v>
      </c>
      <c r="H65" s="2">
        <f ca="1">IFERROR(__xludf.DUMMYFUNCTION("""COMPUTED_VALUE"""),3.72)</f>
        <v>3.72</v>
      </c>
      <c r="I65" s="2">
        <f ca="1">IFERROR(__xludf.DUMMYFUNCTION("""COMPUTED_VALUE"""),3.95)</f>
        <v>3.95</v>
      </c>
      <c r="J65" s="2">
        <f ca="1">IFERROR(__xludf.DUMMYFUNCTION("""COMPUTED_VALUE"""),3.68)</f>
        <v>3.68</v>
      </c>
      <c r="K65" s="2">
        <f ca="1">IFERROR(__xludf.DUMMYFUNCTION("""COMPUTED_VALUE"""),73.1)</f>
        <v>73.099999999999994</v>
      </c>
      <c r="L65" s="2">
        <f ca="1">IFERROR(__xludf.DUMMYFUNCTION("""COMPUTED_VALUE"""),73.28)</f>
        <v>73.28</v>
      </c>
      <c r="M65" s="2">
        <f ca="1">IFERROR(__xludf.DUMMYFUNCTION("""COMPUTED_VALUE"""),72.71)</f>
        <v>72.709999999999994</v>
      </c>
      <c r="N65" s="2">
        <f ca="1">IFERROR(__xludf.DUMMYFUNCTION("""COMPUTED_VALUE"""),71.33)</f>
        <v>71.33</v>
      </c>
      <c r="O65" s="2">
        <f ca="1">IFERROR(__xludf.DUMMYFUNCTION("""COMPUTED_VALUE"""),74.54)</f>
        <v>74.540000000000006</v>
      </c>
      <c r="P65" s="2">
        <f ca="1">IFERROR(__xludf.DUMMYFUNCTION("""COMPUTED_VALUE"""),72.63)</f>
        <v>72.63</v>
      </c>
      <c r="Q65" s="2">
        <f ca="1">IFERROR(__xludf.DUMMYFUNCTION("""COMPUTED_VALUE"""),74.17)</f>
        <v>74.17</v>
      </c>
    </row>
    <row r="66" spans="1:17" ht="15.75" customHeight="1" x14ac:dyDescent="0.25">
      <c r="A66" s="2">
        <v>1309</v>
      </c>
      <c r="B66" s="2" t="str">
        <f ca="1">IFERROR(__xludf.DUMMYFUNCTION("""COMPUTED_VALUE"""),"SUMATERA BARAT")</f>
        <v>SUMATERA BARAT</v>
      </c>
      <c r="C66" s="2" t="s">
        <v>64</v>
      </c>
      <c r="D66" s="2">
        <f ca="1">IFERROR(__xludf.DUMMYFUNCTION("""COMPUTED_VALUE"""),6.04)</f>
        <v>6.04</v>
      </c>
      <c r="E66" s="2">
        <f ca="1">IFERROR(__xludf.DUMMYFUNCTION("""COMPUTED_VALUE"""),5.28)</f>
        <v>5.28</v>
      </c>
      <c r="F66" s="2">
        <f ca="1">IFERROR(__xludf.DUMMYFUNCTION("""COMPUTED_VALUE"""),5.04)</f>
        <v>5.04</v>
      </c>
      <c r="G66" s="2">
        <f ca="1">IFERROR(__xludf.DUMMYFUNCTION("""COMPUTED_VALUE"""),4.92)</f>
        <v>4.92</v>
      </c>
      <c r="H66" s="2">
        <f ca="1">IFERROR(__xludf.DUMMYFUNCTION("""COMPUTED_VALUE"""),5.38)</f>
        <v>5.38</v>
      </c>
      <c r="I66" s="2">
        <f ca="1">IFERROR(__xludf.DUMMYFUNCTION("""COMPUTED_VALUE"""),5.09)</f>
        <v>5.09</v>
      </c>
      <c r="J66" s="2">
        <f ca="1">IFERROR(__xludf.DUMMYFUNCTION("""COMPUTED_VALUE"""),5.25)</f>
        <v>5.25</v>
      </c>
      <c r="K66" s="2">
        <f ca="1">IFERROR(__xludf.DUMMYFUNCTION("""COMPUTED_VALUE"""),67.2)</f>
        <v>67.2</v>
      </c>
      <c r="L66" s="2">
        <f ca="1">IFERROR(__xludf.DUMMYFUNCTION("""COMPUTED_VALUE"""),70.91)</f>
        <v>70.91</v>
      </c>
      <c r="M66" s="2">
        <f ca="1">IFERROR(__xludf.DUMMYFUNCTION("""COMPUTED_VALUE"""),72.97)</f>
        <v>72.97</v>
      </c>
      <c r="N66" s="2">
        <f ca="1">IFERROR(__xludf.DUMMYFUNCTION("""COMPUTED_VALUE"""),69.35)</f>
        <v>69.349999999999994</v>
      </c>
      <c r="O66" s="2">
        <f ca="1">IFERROR(__xludf.DUMMYFUNCTION("""COMPUTED_VALUE"""),74.97)</f>
        <v>74.97</v>
      </c>
      <c r="P66" s="2">
        <f ca="1">IFERROR(__xludf.DUMMYFUNCTION("""COMPUTED_VALUE"""),73.05)</f>
        <v>73.05</v>
      </c>
      <c r="Q66" s="2">
        <f ca="1">IFERROR(__xludf.DUMMYFUNCTION("""COMPUTED_VALUE"""),71.86)</f>
        <v>71.86</v>
      </c>
    </row>
    <row r="67" spans="1:17" ht="15.75" customHeight="1" x14ac:dyDescent="0.25">
      <c r="A67" s="2">
        <v>1310</v>
      </c>
      <c r="B67" s="2" t="str">
        <f ca="1">IFERROR(__xludf.DUMMYFUNCTION("""COMPUTED_VALUE"""),"SUMATERA BARAT")</f>
        <v>SUMATERA BARAT</v>
      </c>
      <c r="C67" s="2" t="s">
        <v>66</v>
      </c>
      <c r="D67" s="2">
        <f ca="1">IFERROR(__xludf.DUMMYFUNCTION("""COMPUTED_VALUE"""),5.84)</f>
        <v>5.84</v>
      </c>
      <c r="E67" s="2">
        <f ca="1">IFERROR(__xludf.DUMMYFUNCTION("""COMPUTED_VALUE"""),4.91)</f>
        <v>4.91</v>
      </c>
      <c r="F67" s="2">
        <f ca="1">IFERROR(__xludf.DUMMYFUNCTION("""COMPUTED_VALUE"""),5.62)</f>
        <v>5.62</v>
      </c>
      <c r="G67" s="2">
        <f ca="1">IFERROR(__xludf.DUMMYFUNCTION("""COMPUTED_VALUE"""),4.84)</f>
        <v>4.84</v>
      </c>
      <c r="H67" s="2">
        <f ca="1">IFERROR(__xludf.DUMMYFUNCTION("""COMPUTED_VALUE"""),3.71)</f>
        <v>3.71</v>
      </c>
      <c r="I67" s="2">
        <f ca="1">IFERROR(__xludf.DUMMYFUNCTION("""COMPUTED_VALUE"""),2.57)</f>
        <v>2.57</v>
      </c>
      <c r="J67" s="2">
        <f ca="1">IFERROR(__xludf.DUMMYFUNCTION("""COMPUTED_VALUE"""),2.3)</f>
        <v>2.2999999999999998</v>
      </c>
      <c r="K67" s="2">
        <f ca="1">IFERROR(__xludf.DUMMYFUNCTION("""COMPUTED_VALUE"""),74.89)</f>
        <v>74.89</v>
      </c>
      <c r="L67" s="2">
        <f ca="1">IFERROR(__xludf.DUMMYFUNCTION("""COMPUTED_VALUE"""),72.56)</f>
        <v>72.56</v>
      </c>
      <c r="M67" s="2">
        <f ca="1">IFERROR(__xludf.DUMMYFUNCTION("""COMPUTED_VALUE"""),72.67)</f>
        <v>72.67</v>
      </c>
      <c r="N67" s="2">
        <f ca="1">IFERROR(__xludf.DUMMYFUNCTION("""COMPUTED_VALUE"""),72.11)</f>
        <v>72.11</v>
      </c>
      <c r="O67" s="2">
        <f ca="1">IFERROR(__xludf.DUMMYFUNCTION("""COMPUTED_VALUE"""),77.99)</f>
        <v>77.989999999999995</v>
      </c>
      <c r="P67" s="2">
        <f ca="1">IFERROR(__xludf.DUMMYFUNCTION("""COMPUTED_VALUE"""),76.52)</f>
        <v>76.52</v>
      </c>
      <c r="Q67" s="2">
        <f ca="1">IFERROR(__xludf.DUMMYFUNCTION("""COMPUTED_VALUE"""),76.69)</f>
        <v>76.69</v>
      </c>
    </row>
    <row r="68" spans="1:17" ht="15.75" customHeight="1" x14ac:dyDescent="0.25">
      <c r="A68" s="2">
        <v>1311</v>
      </c>
      <c r="B68" s="2" t="str">
        <f ca="1">IFERROR(__xludf.DUMMYFUNCTION("""COMPUTED_VALUE"""),"SUMATERA BARAT")</f>
        <v>SUMATERA BARAT</v>
      </c>
      <c r="C68" s="2" t="s">
        <v>67</v>
      </c>
      <c r="D68" s="2">
        <f ca="1">IFERROR(__xludf.DUMMYFUNCTION("""COMPUTED_VALUE"""),4.02)</f>
        <v>4.0199999999999996</v>
      </c>
      <c r="E68" s="2">
        <f ca="1">IFERROR(__xludf.DUMMYFUNCTION("""COMPUTED_VALUE"""),5.06)</f>
        <v>5.0599999999999996</v>
      </c>
      <c r="F68" s="2">
        <f ca="1">IFERROR(__xludf.DUMMYFUNCTION("""COMPUTED_VALUE"""),5.31)</f>
        <v>5.31</v>
      </c>
      <c r="G68" s="2">
        <f ca="1">IFERROR(__xludf.DUMMYFUNCTION("""COMPUTED_VALUE"""),5)</f>
        <v>5</v>
      </c>
      <c r="H68" s="2">
        <f ca="1">IFERROR(__xludf.DUMMYFUNCTION("""COMPUTED_VALUE"""),6.23)</f>
        <v>6.23</v>
      </c>
      <c r="I68" s="2">
        <f ca="1">IFERROR(__xludf.DUMMYFUNCTION("""COMPUTED_VALUE"""),6.22)</f>
        <v>6.22</v>
      </c>
      <c r="J68" s="2">
        <f ca="1">IFERROR(__xludf.DUMMYFUNCTION("""COMPUTED_VALUE"""),6.02)</f>
        <v>6.02</v>
      </c>
      <c r="K68" s="2">
        <f ca="1">IFERROR(__xludf.DUMMYFUNCTION("""COMPUTED_VALUE"""),68.56)</f>
        <v>68.56</v>
      </c>
      <c r="L68" s="2">
        <f ca="1">IFERROR(__xludf.DUMMYFUNCTION("""COMPUTED_VALUE"""),70.49)</f>
        <v>70.489999999999995</v>
      </c>
      <c r="M68" s="2">
        <f ca="1">IFERROR(__xludf.DUMMYFUNCTION("""COMPUTED_VALUE"""),72.72)</f>
        <v>72.72</v>
      </c>
      <c r="N68" s="2">
        <f ca="1">IFERROR(__xludf.DUMMYFUNCTION("""COMPUTED_VALUE"""),73.04)</f>
        <v>73.040000000000006</v>
      </c>
      <c r="O68" s="2">
        <f ca="1">IFERROR(__xludf.DUMMYFUNCTION("""COMPUTED_VALUE"""),71.65)</f>
        <v>71.650000000000006</v>
      </c>
      <c r="P68" s="2">
        <f ca="1">IFERROR(__xludf.DUMMYFUNCTION("""COMPUTED_VALUE"""),73.93)</f>
        <v>73.930000000000007</v>
      </c>
      <c r="Q68" s="2">
        <f ca="1">IFERROR(__xludf.DUMMYFUNCTION("""COMPUTED_VALUE"""),74.45)</f>
        <v>74.45</v>
      </c>
    </row>
    <row r="69" spans="1:17" ht="15.75" customHeight="1" x14ac:dyDescent="0.25">
      <c r="A69" s="2">
        <v>1312</v>
      </c>
      <c r="B69" s="2" t="str">
        <f ca="1">IFERROR(__xludf.DUMMYFUNCTION("""COMPUTED_VALUE"""),"SUMATERA BARAT")</f>
        <v>SUMATERA BARAT</v>
      </c>
      <c r="C69" s="2" t="s">
        <v>68</v>
      </c>
      <c r="D69" s="2">
        <f ca="1">IFERROR(__xludf.DUMMYFUNCTION("""COMPUTED_VALUE"""),3.36)</f>
        <v>3.36</v>
      </c>
      <c r="E69" s="2">
        <f ca="1">IFERROR(__xludf.DUMMYFUNCTION("""COMPUTED_VALUE"""),4.74)</f>
        <v>4.74</v>
      </c>
      <c r="F69" s="2">
        <f ca="1">IFERROR(__xludf.DUMMYFUNCTION("""COMPUTED_VALUE"""),4.69)</f>
        <v>4.6900000000000004</v>
      </c>
      <c r="G69" s="2">
        <f ca="1">IFERROR(__xludf.DUMMYFUNCTION("""COMPUTED_VALUE"""),5.02)</f>
        <v>5.0199999999999996</v>
      </c>
      <c r="H69" s="2">
        <f ca="1">IFERROR(__xludf.DUMMYFUNCTION("""COMPUTED_VALUE"""),6.33)</f>
        <v>6.33</v>
      </c>
      <c r="I69" s="2">
        <f ca="1">IFERROR(__xludf.DUMMYFUNCTION("""COMPUTED_VALUE"""),6.01)</f>
        <v>6.01</v>
      </c>
      <c r="J69" s="2">
        <f ca="1">IFERROR(__xludf.DUMMYFUNCTION("""COMPUTED_VALUE"""),6.34)</f>
        <v>6.34</v>
      </c>
      <c r="K69" s="2">
        <f ca="1">IFERROR(__xludf.DUMMYFUNCTION("""COMPUTED_VALUE"""),66.96)</f>
        <v>66.959999999999994</v>
      </c>
      <c r="L69" s="2">
        <f ca="1">IFERROR(__xludf.DUMMYFUNCTION("""COMPUTED_VALUE"""),65.76)</f>
        <v>65.760000000000005</v>
      </c>
      <c r="M69" s="2">
        <f ca="1">IFERROR(__xludf.DUMMYFUNCTION("""COMPUTED_VALUE"""),67.47)</f>
        <v>67.47</v>
      </c>
      <c r="N69" s="2">
        <f ca="1">IFERROR(__xludf.DUMMYFUNCTION("""COMPUTED_VALUE"""),66.93)</f>
        <v>66.930000000000007</v>
      </c>
      <c r="O69" s="2">
        <f ca="1">IFERROR(__xludf.DUMMYFUNCTION("""COMPUTED_VALUE"""),63.88)</f>
        <v>63.88</v>
      </c>
      <c r="P69" s="2">
        <f ca="1">IFERROR(__xludf.DUMMYFUNCTION("""COMPUTED_VALUE"""),66.42)</f>
        <v>66.42</v>
      </c>
      <c r="Q69" s="2">
        <f ca="1">IFERROR(__xludf.DUMMYFUNCTION("""COMPUTED_VALUE"""),67.08)</f>
        <v>67.08</v>
      </c>
    </row>
    <row r="70" spans="1:17" ht="15.75" customHeight="1" x14ac:dyDescent="0.25">
      <c r="A70" s="2">
        <v>1371</v>
      </c>
      <c r="B70" s="2" t="str">
        <f ca="1">IFERROR(__xludf.DUMMYFUNCTION("""COMPUTED_VALUE"""),"SUMATERA BARAT")</f>
        <v>SUMATERA BARAT</v>
      </c>
      <c r="C70" s="2" t="str">
        <f ca="1">IFERROR(__xludf.DUMMYFUNCTION("""COMPUTED_VALUE"""),"Kota Padang")</f>
        <v>Kota Padang</v>
      </c>
      <c r="D70" s="2">
        <f ca="1">IFERROR(__xludf.DUMMYFUNCTION("""COMPUTED_VALUE"""),9.29)</f>
        <v>9.2899999999999991</v>
      </c>
      <c r="E70" s="2">
        <f ca="1">IFERROR(__xludf.DUMMYFUNCTION("""COMPUTED_VALUE"""),8.74)</f>
        <v>8.74</v>
      </c>
      <c r="F70" s="2">
        <f ca="1">IFERROR(__xludf.DUMMYFUNCTION("""COMPUTED_VALUE"""),13.64)</f>
        <v>13.64</v>
      </c>
      <c r="G70" s="2">
        <f ca="1">IFERROR(__xludf.DUMMYFUNCTION("""COMPUTED_VALUE"""),13.37)</f>
        <v>13.37</v>
      </c>
      <c r="H70" s="2">
        <f ca="1">IFERROR(__xludf.DUMMYFUNCTION("""COMPUTED_VALUE"""),11.69)</f>
        <v>11.69</v>
      </c>
      <c r="I70" s="2">
        <f ca="1">IFERROR(__xludf.DUMMYFUNCTION("""COMPUTED_VALUE"""),10.86)</f>
        <v>10.86</v>
      </c>
      <c r="J70" s="2">
        <f ca="1">IFERROR(__xludf.DUMMYFUNCTION("""COMPUTED_VALUE"""),9.88)</f>
        <v>9.8800000000000008</v>
      </c>
      <c r="K70" s="2">
        <f ca="1">IFERROR(__xludf.DUMMYFUNCTION("""COMPUTED_VALUE"""),62.78)</f>
        <v>62.78</v>
      </c>
      <c r="L70" s="2">
        <f ca="1">IFERROR(__xludf.DUMMYFUNCTION("""COMPUTED_VALUE"""),61.98)</f>
        <v>61.98</v>
      </c>
      <c r="M70" s="2">
        <f ca="1">IFERROR(__xludf.DUMMYFUNCTION("""COMPUTED_VALUE"""),64.31)</f>
        <v>64.31</v>
      </c>
      <c r="N70" s="2">
        <f ca="1">IFERROR(__xludf.DUMMYFUNCTION("""COMPUTED_VALUE"""),63.78)</f>
        <v>63.78</v>
      </c>
      <c r="O70" s="2">
        <f ca="1">IFERROR(__xludf.DUMMYFUNCTION("""COMPUTED_VALUE"""),62.81)</f>
        <v>62.81</v>
      </c>
      <c r="P70" s="2">
        <f ca="1">IFERROR(__xludf.DUMMYFUNCTION("""COMPUTED_VALUE"""),66.99)</f>
        <v>66.989999999999995</v>
      </c>
      <c r="Q70" s="2">
        <f ca="1">IFERROR(__xludf.DUMMYFUNCTION("""COMPUTED_VALUE"""),67.18)</f>
        <v>67.180000000000007</v>
      </c>
    </row>
    <row r="71" spans="1:17" ht="15.75" customHeight="1" x14ac:dyDescent="0.25">
      <c r="A71" s="2">
        <v>1372</v>
      </c>
      <c r="B71" s="2" t="str">
        <f ca="1">IFERROR(__xludf.DUMMYFUNCTION("""COMPUTED_VALUE"""),"SUMATERA BARAT")</f>
        <v>SUMATERA BARAT</v>
      </c>
      <c r="C71" s="2" t="str">
        <f ca="1">IFERROR(__xludf.DUMMYFUNCTION("""COMPUTED_VALUE"""),"Kota Solok")</f>
        <v>Kota Solok</v>
      </c>
      <c r="D71" s="2">
        <f ca="1">IFERROR(__xludf.DUMMYFUNCTION("""COMPUTED_VALUE"""),6.03)</f>
        <v>6.03</v>
      </c>
      <c r="E71" s="2">
        <f ca="1">IFERROR(__xludf.DUMMYFUNCTION("""COMPUTED_VALUE"""),7.06)</f>
        <v>7.06</v>
      </c>
      <c r="F71" s="2">
        <f ca="1">IFERROR(__xludf.DUMMYFUNCTION("""COMPUTED_VALUE"""),8.35)</f>
        <v>8.35</v>
      </c>
      <c r="G71" s="2">
        <f ca="1">IFERROR(__xludf.DUMMYFUNCTION("""COMPUTED_VALUE"""),5.15)</f>
        <v>5.15</v>
      </c>
      <c r="H71" s="2">
        <f ca="1">IFERROR(__xludf.DUMMYFUNCTION("""COMPUTED_VALUE"""),3.9)</f>
        <v>3.9</v>
      </c>
      <c r="I71" s="2">
        <f ca="1">IFERROR(__xludf.DUMMYFUNCTION("""COMPUTED_VALUE"""),3.72)</f>
        <v>3.72</v>
      </c>
      <c r="J71" s="2">
        <f ca="1">IFERROR(__xludf.DUMMYFUNCTION("""COMPUTED_VALUE"""),3.62)</f>
        <v>3.62</v>
      </c>
      <c r="K71" s="2">
        <f ca="1">IFERROR(__xludf.DUMMYFUNCTION("""COMPUTED_VALUE"""),64.76)</f>
        <v>64.760000000000005</v>
      </c>
      <c r="L71" s="2">
        <f ca="1">IFERROR(__xludf.DUMMYFUNCTION("""COMPUTED_VALUE"""),62.51)</f>
        <v>62.51</v>
      </c>
      <c r="M71" s="2">
        <f ca="1">IFERROR(__xludf.DUMMYFUNCTION("""COMPUTED_VALUE"""),66.77)</f>
        <v>66.77</v>
      </c>
      <c r="N71" s="2">
        <f ca="1">IFERROR(__xludf.DUMMYFUNCTION("""COMPUTED_VALUE"""),66.51)</f>
        <v>66.510000000000005</v>
      </c>
      <c r="O71" s="2">
        <f ca="1">IFERROR(__xludf.DUMMYFUNCTION("""COMPUTED_VALUE"""),69.46)</f>
        <v>69.459999999999994</v>
      </c>
      <c r="P71" s="2">
        <f ca="1">IFERROR(__xludf.DUMMYFUNCTION("""COMPUTED_VALUE"""),70.12)</f>
        <v>70.12</v>
      </c>
      <c r="Q71" s="2">
        <f ca="1">IFERROR(__xludf.DUMMYFUNCTION("""COMPUTED_VALUE"""),71.16)</f>
        <v>71.16</v>
      </c>
    </row>
    <row r="72" spans="1:17" ht="15.75" customHeight="1" x14ac:dyDescent="0.25">
      <c r="A72" s="2">
        <v>1373</v>
      </c>
      <c r="B72" s="2" t="str">
        <f ca="1">IFERROR(__xludf.DUMMYFUNCTION("""COMPUTED_VALUE"""),"SUMATERA BARAT")</f>
        <v>SUMATERA BARAT</v>
      </c>
      <c r="C72" s="2" t="str">
        <f ca="1">IFERROR(__xludf.DUMMYFUNCTION("""COMPUTED_VALUE"""),"Kota Sawahlunto")</f>
        <v>Kota Sawahlunto</v>
      </c>
      <c r="D72" s="2">
        <f ca="1">IFERROR(__xludf.DUMMYFUNCTION("""COMPUTED_VALUE"""),5.92)</f>
        <v>5.92</v>
      </c>
      <c r="E72" s="2">
        <f ca="1">IFERROR(__xludf.DUMMYFUNCTION("""COMPUTED_VALUE"""),6.84)</f>
        <v>6.84</v>
      </c>
      <c r="F72" s="2">
        <f ca="1">IFERROR(__xludf.DUMMYFUNCTION("""COMPUTED_VALUE"""),8.2)</f>
        <v>8.1999999999999993</v>
      </c>
      <c r="G72" s="2">
        <f ca="1">IFERROR(__xludf.DUMMYFUNCTION("""COMPUTED_VALUE"""),6.38)</f>
        <v>6.38</v>
      </c>
      <c r="H72" s="2">
        <f ca="1">IFERROR(__xludf.DUMMYFUNCTION("""COMPUTED_VALUE"""),5)</f>
        <v>5</v>
      </c>
      <c r="I72" s="2">
        <f ca="1">IFERROR(__xludf.DUMMYFUNCTION("""COMPUTED_VALUE"""),4.98)</f>
        <v>4.9800000000000004</v>
      </c>
      <c r="J72" s="2">
        <f ca="1">IFERROR(__xludf.DUMMYFUNCTION("""COMPUTED_VALUE"""),5.55)</f>
        <v>5.55</v>
      </c>
      <c r="K72" s="2">
        <f ca="1">IFERROR(__xludf.DUMMYFUNCTION("""COMPUTED_VALUE"""),72.88)</f>
        <v>72.88</v>
      </c>
      <c r="L72" s="2">
        <f ca="1">IFERROR(__xludf.DUMMYFUNCTION("""COMPUTED_VALUE"""),69.83)</f>
        <v>69.83</v>
      </c>
      <c r="M72" s="2">
        <f ca="1">IFERROR(__xludf.DUMMYFUNCTION("""COMPUTED_VALUE"""),70.57)</f>
        <v>70.569999999999993</v>
      </c>
      <c r="N72" s="2">
        <f ca="1">IFERROR(__xludf.DUMMYFUNCTION("""COMPUTED_VALUE"""),68.05)</f>
        <v>68.05</v>
      </c>
      <c r="O72" s="2">
        <f ca="1">IFERROR(__xludf.DUMMYFUNCTION("""COMPUTED_VALUE"""),70.85)</f>
        <v>70.849999999999994</v>
      </c>
      <c r="P72" s="2">
        <f ca="1">IFERROR(__xludf.DUMMYFUNCTION("""COMPUTED_VALUE"""),69.9)</f>
        <v>69.900000000000006</v>
      </c>
      <c r="Q72" s="2">
        <f ca="1">IFERROR(__xludf.DUMMYFUNCTION("""COMPUTED_VALUE"""),73.54)</f>
        <v>73.540000000000006</v>
      </c>
    </row>
    <row r="73" spans="1:17" ht="15.75" customHeight="1" x14ac:dyDescent="0.25">
      <c r="A73" s="2">
        <v>1374</v>
      </c>
      <c r="B73" s="2" t="str">
        <f ca="1">IFERROR(__xludf.DUMMYFUNCTION("""COMPUTED_VALUE"""),"SUMATERA BARAT")</f>
        <v>SUMATERA BARAT</v>
      </c>
      <c r="C73" s="2" t="str">
        <f ca="1">IFERROR(__xludf.DUMMYFUNCTION("""COMPUTED_VALUE"""),"Kota Padang Panjang")</f>
        <v>Kota Padang Panjang</v>
      </c>
      <c r="D73" s="2">
        <f ca="1">IFERROR(__xludf.DUMMYFUNCTION("""COMPUTED_VALUE"""),5.35)</f>
        <v>5.35</v>
      </c>
      <c r="E73" s="2">
        <f ca="1">IFERROR(__xludf.DUMMYFUNCTION("""COMPUTED_VALUE"""),4.38)</f>
        <v>4.38</v>
      </c>
      <c r="F73" s="2">
        <f ca="1">IFERROR(__xludf.DUMMYFUNCTION("""COMPUTED_VALUE"""),7.22)</f>
        <v>7.22</v>
      </c>
      <c r="G73" s="2">
        <f ca="1">IFERROR(__xludf.DUMMYFUNCTION("""COMPUTED_VALUE"""),4.9)</f>
        <v>4.9000000000000004</v>
      </c>
      <c r="H73" s="2">
        <f ca="1">IFERROR(__xludf.DUMMYFUNCTION("""COMPUTED_VALUE"""),4.84)</f>
        <v>4.84</v>
      </c>
      <c r="I73" s="2">
        <f ca="1">IFERROR(__xludf.DUMMYFUNCTION("""COMPUTED_VALUE"""),5.49)</f>
        <v>5.49</v>
      </c>
      <c r="J73" s="2">
        <f ca="1">IFERROR(__xludf.DUMMYFUNCTION("""COMPUTED_VALUE"""),4.94)</f>
        <v>4.9400000000000004</v>
      </c>
      <c r="K73" s="2">
        <f ca="1">IFERROR(__xludf.DUMMYFUNCTION("""COMPUTED_VALUE"""),66.17)</f>
        <v>66.17</v>
      </c>
      <c r="L73" s="2">
        <f ca="1">IFERROR(__xludf.DUMMYFUNCTION("""COMPUTED_VALUE"""),69.05)</f>
        <v>69.05</v>
      </c>
      <c r="M73" s="2">
        <f ca="1">IFERROR(__xludf.DUMMYFUNCTION("""COMPUTED_VALUE"""),69.81)</f>
        <v>69.81</v>
      </c>
      <c r="N73" s="2">
        <f ca="1">IFERROR(__xludf.DUMMYFUNCTION("""COMPUTED_VALUE"""),65.94)</f>
        <v>65.94</v>
      </c>
      <c r="O73" s="2">
        <f ca="1">IFERROR(__xludf.DUMMYFUNCTION("""COMPUTED_VALUE"""),64.02)</f>
        <v>64.02</v>
      </c>
      <c r="P73" s="2">
        <f ca="1">IFERROR(__xludf.DUMMYFUNCTION("""COMPUTED_VALUE"""),66.05)</f>
        <v>66.05</v>
      </c>
      <c r="Q73" s="2">
        <f ca="1">IFERROR(__xludf.DUMMYFUNCTION("""COMPUTED_VALUE"""),66.33)</f>
        <v>66.33</v>
      </c>
    </row>
    <row r="74" spans="1:17" ht="15.75" customHeight="1" x14ac:dyDescent="0.25">
      <c r="A74" s="2">
        <v>1375</v>
      </c>
      <c r="B74" s="2" t="str">
        <f ca="1">IFERROR(__xludf.DUMMYFUNCTION("""COMPUTED_VALUE"""),"SUMATERA BARAT")</f>
        <v>SUMATERA BARAT</v>
      </c>
      <c r="C74" s="2" t="str">
        <f ca="1">IFERROR(__xludf.DUMMYFUNCTION("""COMPUTED_VALUE"""),"Kota Bukittinggi")</f>
        <v>Kota Bukittinggi</v>
      </c>
      <c r="D74" s="2">
        <f ca="1">IFERROR(__xludf.DUMMYFUNCTION("""COMPUTED_VALUE"""),7.24)</f>
        <v>7.24</v>
      </c>
      <c r="E74" s="2">
        <f ca="1">IFERROR(__xludf.DUMMYFUNCTION("""COMPUTED_VALUE"""),6.2)</f>
        <v>6.2</v>
      </c>
      <c r="F74" s="2">
        <f ca="1">IFERROR(__xludf.DUMMYFUNCTION("""COMPUTED_VALUE"""),7.51)</f>
        <v>7.51</v>
      </c>
      <c r="G74" s="2">
        <f ca="1">IFERROR(__xludf.DUMMYFUNCTION("""COMPUTED_VALUE"""),6.09)</f>
        <v>6.09</v>
      </c>
      <c r="H74" s="2">
        <f ca="1">IFERROR(__xludf.DUMMYFUNCTION("""COMPUTED_VALUE"""),4.9)</f>
        <v>4.9000000000000004</v>
      </c>
      <c r="I74" s="2">
        <f ca="1">IFERROR(__xludf.DUMMYFUNCTION("""COMPUTED_VALUE"""),4.99)</f>
        <v>4.99</v>
      </c>
      <c r="J74" s="2">
        <f ca="1">IFERROR(__xludf.DUMMYFUNCTION("""COMPUTED_VALUE"""),4.72)</f>
        <v>4.72</v>
      </c>
      <c r="K74" s="2">
        <f ca="1">IFERROR(__xludf.DUMMYFUNCTION("""COMPUTED_VALUE"""),69.15)</f>
        <v>69.150000000000006</v>
      </c>
      <c r="L74" s="2">
        <f ca="1">IFERROR(__xludf.DUMMYFUNCTION("""COMPUTED_VALUE"""),65.55)</f>
        <v>65.55</v>
      </c>
      <c r="M74" s="2">
        <f ca="1">IFERROR(__xludf.DUMMYFUNCTION("""COMPUTED_VALUE"""),69.84)</f>
        <v>69.84</v>
      </c>
      <c r="N74" s="2">
        <f ca="1">IFERROR(__xludf.DUMMYFUNCTION("""COMPUTED_VALUE"""),67.42)</f>
        <v>67.42</v>
      </c>
      <c r="O74" s="2">
        <f ca="1">IFERROR(__xludf.DUMMYFUNCTION("""COMPUTED_VALUE"""),64.43)</f>
        <v>64.430000000000007</v>
      </c>
      <c r="P74" s="2">
        <f ca="1">IFERROR(__xludf.DUMMYFUNCTION("""COMPUTED_VALUE"""),70.27)</f>
        <v>70.27</v>
      </c>
      <c r="Q74" s="2">
        <f ca="1">IFERROR(__xludf.DUMMYFUNCTION("""COMPUTED_VALUE"""),69.96)</f>
        <v>69.959999999999994</v>
      </c>
    </row>
    <row r="75" spans="1:17" ht="15.75" customHeight="1" x14ac:dyDescent="0.25">
      <c r="A75" s="2">
        <v>1376</v>
      </c>
      <c r="B75" s="2" t="str">
        <f ca="1">IFERROR(__xludf.DUMMYFUNCTION("""COMPUTED_VALUE"""),"SUMATERA BARAT")</f>
        <v>SUMATERA BARAT</v>
      </c>
      <c r="C75" s="2" t="str">
        <f ca="1">IFERROR(__xludf.DUMMYFUNCTION("""COMPUTED_VALUE"""),"Kota Payakumbuh")</f>
        <v>Kota Payakumbuh</v>
      </c>
      <c r="D75" s="2">
        <f ca="1">IFERROR(__xludf.DUMMYFUNCTION("""COMPUTED_VALUE"""),3.95)</f>
        <v>3.95</v>
      </c>
      <c r="E75" s="2">
        <f ca="1">IFERROR(__xludf.DUMMYFUNCTION("""COMPUTED_VALUE"""),4.13)</f>
        <v>4.13</v>
      </c>
      <c r="F75" s="2">
        <f ca="1">IFERROR(__xludf.DUMMYFUNCTION("""COMPUTED_VALUE"""),6.68)</f>
        <v>6.68</v>
      </c>
      <c r="G75" s="2">
        <f ca="1">IFERROR(__xludf.DUMMYFUNCTION("""COMPUTED_VALUE"""),6.47)</f>
        <v>6.47</v>
      </c>
      <c r="H75" s="2">
        <f ca="1">IFERROR(__xludf.DUMMYFUNCTION("""COMPUTED_VALUE"""),5.16)</f>
        <v>5.16</v>
      </c>
      <c r="I75" s="2">
        <f ca="1">IFERROR(__xludf.DUMMYFUNCTION("""COMPUTED_VALUE"""),4.84)</f>
        <v>4.84</v>
      </c>
      <c r="J75" s="2">
        <f ca="1">IFERROR(__xludf.DUMMYFUNCTION("""COMPUTED_VALUE"""),4.87)</f>
        <v>4.87</v>
      </c>
      <c r="K75" s="2">
        <f ca="1">IFERROR(__xludf.DUMMYFUNCTION("""COMPUTED_VALUE"""),70.81)</f>
        <v>70.81</v>
      </c>
      <c r="L75" s="2">
        <f ca="1">IFERROR(__xludf.DUMMYFUNCTION("""COMPUTED_VALUE"""),68.76)</f>
        <v>68.760000000000005</v>
      </c>
      <c r="M75" s="2">
        <f ca="1">IFERROR(__xludf.DUMMYFUNCTION("""COMPUTED_VALUE"""),68.68)</f>
        <v>68.680000000000007</v>
      </c>
      <c r="N75" s="2">
        <f ca="1">IFERROR(__xludf.DUMMYFUNCTION("""COMPUTED_VALUE"""),71.73)</f>
        <v>71.73</v>
      </c>
      <c r="O75" s="2">
        <f ca="1">IFERROR(__xludf.DUMMYFUNCTION("""COMPUTED_VALUE"""),70.06)</f>
        <v>70.06</v>
      </c>
      <c r="P75" s="2">
        <f ca="1">IFERROR(__xludf.DUMMYFUNCTION("""COMPUTED_VALUE"""),71.86)</f>
        <v>71.86</v>
      </c>
      <c r="Q75" s="2">
        <f ca="1">IFERROR(__xludf.DUMMYFUNCTION("""COMPUTED_VALUE"""),70.53)</f>
        <v>70.53</v>
      </c>
    </row>
    <row r="76" spans="1:17" ht="15.75" customHeight="1" x14ac:dyDescent="0.25">
      <c r="A76" s="2">
        <v>1377</v>
      </c>
      <c r="B76" s="2" t="str">
        <f ca="1">IFERROR(__xludf.DUMMYFUNCTION("""COMPUTED_VALUE"""),"SUMATERA BARAT")</f>
        <v>SUMATERA BARAT</v>
      </c>
      <c r="C76" s="2" t="str">
        <f ca="1">IFERROR(__xludf.DUMMYFUNCTION("""COMPUTED_VALUE"""),"Kota Pariaman")</f>
        <v>Kota Pariaman</v>
      </c>
      <c r="D76" s="2">
        <f ca="1">IFERROR(__xludf.DUMMYFUNCTION("""COMPUTED_VALUE"""),5.82)</f>
        <v>5.82</v>
      </c>
      <c r="E76" s="2">
        <f ca="1">IFERROR(__xludf.DUMMYFUNCTION("""COMPUTED_VALUE"""),5.48)</f>
        <v>5.48</v>
      </c>
      <c r="F76" s="2">
        <f ca="1">IFERROR(__xludf.DUMMYFUNCTION("""COMPUTED_VALUE"""),5.73)</f>
        <v>5.73</v>
      </c>
      <c r="G76" s="2">
        <f ca="1">IFERROR(__xludf.DUMMYFUNCTION("""COMPUTED_VALUE"""),6.09)</f>
        <v>6.09</v>
      </c>
      <c r="H76" s="2">
        <f ca="1">IFERROR(__xludf.DUMMYFUNCTION("""COMPUTED_VALUE"""),5.19)</f>
        <v>5.19</v>
      </c>
      <c r="I76" s="2">
        <f ca="1">IFERROR(__xludf.DUMMYFUNCTION("""COMPUTED_VALUE"""),5.68)</f>
        <v>5.68</v>
      </c>
      <c r="J76" s="2">
        <f ca="1">IFERROR(__xludf.DUMMYFUNCTION("""COMPUTED_VALUE"""),5.32)</f>
        <v>5.32</v>
      </c>
      <c r="K76" s="2">
        <f ca="1">IFERROR(__xludf.DUMMYFUNCTION("""COMPUTED_VALUE"""),67)</f>
        <v>67</v>
      </c>
      <c r="L76" s="2">
        <f ca="1">IFERROR(__xludf.DUMMYFUNCTION("""COMPUTED_VALUE"""),69.36)</f>
        <v>69.36</v>
      </c>
      <c r="M76" s="2">
        <f ca="1">IFERROR(__xludf.DUMMYFUNCTION("""COMPUTED_VALUE"""),64.16)</f>
        <v>64.16</v>
      </c>
      <c r="N76" s="2">
        <f ca="1">IFERROR(__xludf.DUMMYFUNCTION("""COMPUTED_VALUE"""),62.7)</f>
        <v>62.7</v>
      </c>
      <c r="O76" s="2">
        <f ca="1">IFERROR(__xludf.DUMMYFUNCTION("""COMPUTED_VALUE"""),67.76)</f>
        <v>67.760000000000005</v>
      </c>
      <c r="P76" s="2">
        <f ca="1">IFERROR(__xludf.DUMMYFUNCTION("""COMPUTED_VALUE"""),71.23)</f>
        <v>71.23</v>
      </c>
      <c r="Q76" s="2">
        <f ca="1">IFERROR(__xludf.DUMMYFUNCTION("""COMPUTED_VALUE"""),69.92)</f>
        <v>69.92</v>
      </c>
    </row>
    <row r="77" spans="1:17" ht="15.75" customHeight="1" x14ac:dyDescent="0.25">
      <c r="A77" s="2">
        <v>1401</v>
      </c>
      <c r="B77" s="2" t="str">
        <f ca="1">IFERROR(__xludf.DUMMYFUNCTION("""COMPUTED_VALUE"""),"RIAU")</f>
        <v>RIAU</v>
      </c>
      <c r="C77" s="2" t="str">
        <f ca="1">IFERROR(__xludf.DUMMYFUNCTION("""COMPUTED_VALUE"""),"Kuantan Singingi")</f>
        <v>Kuantan Singingi</v>
      </c>
      <c r="D77" s="2">
        <f ca="1">IFERROR(__xludf.DUMMYFUNCTION("""COMPUTED_VALUE"""),6.05)</f>
        <v>6.05</v>
      </c>
      <c r="E77" s="2">
        <f ca="1">IFERROR(__xludf.DUMMYFUNCTION("""COMPUTED_VALUE"""),4.88)</f>
        <v>4.88</v>
      </c>
      <c r="F77" s="2">
        <f ca="1">IFERROR(__xludf.DUMMYFUNCTION("""COMPUTED_VALUE"""),5.21)</f>
        <v>5.21</v>
      </c>
      <c r="G77" s="2">
        <f ca="1">IFERROR(__xludf.DUMMYFUNCTION("""COMPUTED_VALUE"""),2.06)</f>
        <v>2.06</v>
      </c>
      <c r="H77" s="2">
        <f ca="1">IFERROR(__xludf.DUMMYFUNCTION("""COMPUTED_VALUE"""),2.66)</f>
        <v>2.66</v>
      </c>
      <c r="I77" s="2">
        <f ca="1">IFERROR(__xludf.DUMMYFUNCTION("""COMPUTED_VALUE"""),2.49)</f>
        <v>2.4900000000000002</v>
      </c>
      <c r="J77" s="2">
        <f ca="1">IFERROR(__xludf.DUMMYFUNCTION("""COMPUTED_VALUE"""),2.48)</f>
        <v>2.48</v>
      </c>
      <c r="K77" s="2">
        <f ca="1">IFERROR(__xludf.DUMMYFUNCTION("""COMPUTED_VALUE"""),63.64)</f>
        <v>63.64</v>
      </c>
      <c r="L77" s="2">
        <f ca="1">IFERROR(__xludf.DUMMYFUNCTION("""COMPUTED_VALUE"""),64.54)</f>
        <v>64.540000000000006</v>
      </c>
      <c r="M77" s="2">
        <f ca="1">IFERROR(__xludf.DUMMYFUNCTION("""COMPUTED_VALUE"""),68.28)</f>
        <v>68.28</v>
      </c>
      <c r="N77" s="2">
        <f ca="1">IFERROR(__xludf.DUMMYFUNCTION("""COMPUTED_VALUE"""),67.02)</f>
        <v>67.02</v>
      </c>
      <c r="O77" s="2">
        <f ca="1">IFERROR(__xludf.DUMMYFUNCTION("""COMPUTED_VALUE"""),62.67)</f>
        <v>62.67</v>
      </c>
      <c r="P77" s="2">
        <f ca="1">IFERROR(__xludf.DUMMYFUNCTION("""COMPUTED_VALUE"""),63.95)</f>
        <v>63.95</v>
      </c>
      <c r="Q77" s="2" t="str">
        <f ca="1">IFERROR(__xludf.DUMMYFUNCTION("""COMPUTED_VALUE"""),"NA")</f>
        <v>NA</v>
      </c>
    </row>
    <row r="78" spans="1:17" ht="15.75" customHeight="1" x14ac:dyDescent="0.25">
      <c r="A78" s="2">
        <v>1402</v>
      </c>
      <c r="B78" s="2" t="str">
        <f ca="1">IFERROR(__xludf.DUMMYFUNCTION("""COMPUTED_VALUE"""),"RIAU")</f>
        <v>RIAU</v>
      </c>
      <c r="C78" s="2" t="str">
        <f ca="1">IFERROR(__xludf.DUMMYFUNCTION("""COMPUTED_VALUE"""),"Indragiri Hulu")</f>
        <v>Indragiri Hulu</v>
      </c>
      <c r="D78" s="2">
        <f ca="1">IFERROR(__xludf.DUMMYFUNCTION("""COMPUTED_VALUE"""),4.7)</f>
        <v>4.7</v>
      </c>
      <c r="E78" s="2">
        <f ca="1">IFERROR(__xludf.DUMMYFUNCTION("""COMPUTED_VALUE"""),4.96)</f>
        <v>4.96</v>
      </c>
      <c r="F78" s="2">
        <f ca="1">IFERROR(__xludf.DUMMYFUNCTION("""COMPUTED_VALUE"""),4.91)</f>
        <v>4.91</v>
      </c>
      <c r="G78" s="2">
        <f ca="1">IFERROR(__xludf.DUMMYFUNCTION("""COMPUTED_VALUE"""),3.32)</f>
        <v>3.32</v>
      </c>
      <c r="H78" s="2">
        <f ca="1">IFERROR(__xludf.DUMMYFUNCTION("""COMPUTED_VALUE"""),2.53)</f>
        <v>2.5299999999999998</v>
      </c>
      <c r="I78" s="2">
        <f ca="1">IFERROR(__xludf.DUMMYFUNCTION("""COMPUTED_VALUE"""),2.47)</f>
        <v>2.4700000000000002</v>
      </c>
      <c r="J78" s="2">
        <f ca="1">IFERROR(__xludf.DUMMYFUNCTION("""COMPUTED_VALUE"""),2.55)</f>
        <v>2.5499999999999998</v>
      </c>
      <c r="K78" s="2">
        <f ca="1">IFERROR(__xludf.DUMMYFUNCTION("""COMPUTED_VALUE"""),68.17)</f>
        <v>68.17</v>
      </c>
      <c r="L78" s="2">
        <f ca="1">IFERROR(__xludf.DUMMYFUNCTION("""COMPUTED_VALUE"""),65.94)</f>
        <v>65.94</v>
      </c>
      <c r="M78" s="2">
        <f ca="1">IFERROR(__xludf.DUMMYFUNCTION("""COMPUTED_VALUE"""),68.42)</f>
        <v>68.42</v>
      </c>
      <c r="N78" s="2">
        <f ca="1">IFERROR(__xludf.DUMMYFUNCTION("""COMPUTED_VALUE"""),68.45)</f>
        <v>68.45</v>
      </c>
      <c r="O78" s="2">
        <f ca="1">IFERROR(__xludf.DUMMYFUNCTION("""COMPUTED_VALUE"""),65.98)</f>
        <v>65.98</v>
      </c>
      <c r="P78" s="2">
        <f ca="1">IFERROR(__xludf.DUMMYFUNCTION("""COMPUTED_VALUE"""),67.56)</f>
        <v>67.56</v>
      </c>
      <c r="Q78" s="2" t="str">
        <f ca="1">IFERROR(__xludf.DUMMYFUNCTION("""COMPUTED_VALUE"""),"NA")</f>
        <v>NA</v>
      </c>
    </row>
    <row r="79" spans="1:17" ht="15.75" customHeight="1" x14ac:dyDescent="0.25">
      <c r="A79" s="2">
        <v>1403</v>
      </c>
      <c r="B79" s="2" t="str">
        <f ca="1">IFERROR(__xludf.DUMMYFUNCTION("""COMPUTED_VALUE"""),"RIAU")</f>
        <v>RIAU</v>
      </c>
      <c r="C79" s="2" t="str">
        <f ca="1">IFERROR(__xludf.DUMMYFUNCTION("""COMPUTED_VALUE"""),"Indragiri Hilir")</f>
        <v>Indragiri Hilir</v>
      </c>
      <c r="D79" s="2">
        <f ca="1">IFERROR(__xludf.DUMMYFUNCTION("""COMPUTED_VALUE"""),4.08)</f>
        <v>4.08</v>
      </c>
      <c r="E79" s="2">
        <f ca="1">IFERROR(__xludf.DUMMYFUNCTION("""COMPUTED_VALUE"""),4.76)</f>
        <v>4.76</v>
      </c>
      <c r="F79" s="2">
        <f ca="1">IFERROR(__xludf.DUMMYFUNCTION("""COMPUTED_VALUE"""),4.35)</f>
        <v>4.3499999999999996</v>
      </c>
      <c r="G79" s="2">
        <f ca="1">IFERROR(__xludf.DUMMYFUNCTION("""COMPUTED_VALUE"""),2.66)</f>
        <v>2.66</v>
      </c>
      <c r="H79" s="2">
        <f ca="1">IFERROR(__xludf.DUMMYFUNCTION("""COMPUTED_VALUE"""),1.5)</f>
        <v>1.5</v>
      </c>
      <c r="I79" s="2">
        <f ca="1">IFERROR(__xludf.DUMMYFUNCTION("""COMPUTED_VALUE"""),1.71)</f>
        <v>1.71</v>
      </c>
      <c r="J79" s="2">
        <f ca="1">IFERROR(__xludf.DUMMYFUNCTION("""COMPUTED_VALUE"""),1.86)</f>
        <v>1.86</v>
      </c>
      <c r="K79" s="2">
        <f ca="1">IFERROR(__xludf.DUMMYFUNCTION("""COMPUTED_VALUE"""),62.89)</f>
        <v>62.89</v>
      </c>
      <c r="L79" s="2">
        <f ca="1">IFERROR(__xludf.DUMMYFUNCTION("""COMPUTED_VALUE"""),64.44)</f>
        <v>64.44</v>
      </c>
      <c r="M79" s="2">
        <f ca="1">IFERROR(__xludf.DUMMYFUNCTION("""COMPUTED_VALUE"""),69.17)</f>
        <v>69.17</v>
      </c>
      <c r="N79" s="2">
        <f ca="1">IFERROR(__xludf.DUMMYFUNCTION("""COMPUTED_VALUE"""),68.56)</f>
        <v>68.56</v>
      </c>
      <c r="O79" s="2">
        <f ca="1">IFERROR(__xludf.DUMMYFUNCTION("""COMPUTED_VALUE"""),63.97)</f>
        <v>63.97</v>
      </c>
      <c r="P79" s="2">
        <f ca="1">IFERROR(__xludf.DUMMYFUNCTION("""COMPUTED_VALUE"""),60.72)</f>
        <v>60.72</v>
      </c>
      <c r="Q79" s="2" t="str">
        <f ca="1">IFERROR(__xludf.DUMMYFUNCTION("""COMPUTED_VALUE"""),"NA")</f>
        <v>NA</v>
      </c>
    </row>
    <row r="80" spans="1:17" ht="15.75" customHeight="1" x14ac:dyDescent="0.25">
      <c r="A80" s="2">
        <v>1404</v>
      </c>
      <c r="B80" s="2" t="str">
        <f ca="1">IFERROR(__xludf.DUMMYFUNCTION("""COMPUTED_VALUE"""),"RIAU")</f>
        <v>RIAU</v>
      </c>
      <c r="C80" s="2" t="str">
        <f ca="1">IFERROR(__xludf.DUMMYFUNCTION("""COMPUTED_VALUE"""),"Pelalawan")</f>
        <v>Pelalawan</v>
      </c>
      <c r="D80" s="2">
        <f ca="1">IFERROR(__xludf.DUMMYFUNCTION("""COMPUTED_VALUE"""),5.3)</f>
        <v>5.3</v>
      </c>
      <c r="E80" s="2">
        <f ca="1">IFERROR(__xludf.DUMMYFUNCTION("""COMPUTED_VALUE"""),4.88)</f>
        <v>4.88</v>
      </c>
      <c r="F80" s="2">
        <f ca="1">IFERROR(__xludf.DUMMYFUNCTION("""COMPUTED_VALUE"""),5.99)</f>
        <v>5.99</v>
      </c>
      <c r="G80" s="2">
        <f ca="1">IFERROR(__xludf.DUMMYFUNCTION("""COMPUTED_VALUE"""),2.34)</f>
        <v>2.34</v>
      </c>
      <c r="H80" s="2">
        <f ca="1">IFERROR(__xludf.DUMMYFUNCTION("""COMPUTED_VALUE"""),2.73)</f>
        <v>2.73</v>
      </c>
      <c r="I80" s="2">
        <f ca="1">IFERROR(__xludf.DUMMYFUNCTION("""COMPUTED_VALUE"""),2.26)</f>
        <v>2.2599999999999998</v>
      </c>
      <c r="J80" s="2">
        <f ca="1">IFERROR(__xludf.DUMMYFUNCTION("""COMPUTED_VALUE"""),2.13)</f>
        <v>2.13</v>
      </c>
      <c r="K80" s="2">
        <f ca="1">IFERROR(__xludf.DUMMYFUNCTION("""COMPUTED_VALUE"""),69.51)</f>
        <v>69.510000000000005</v>
      </c>
      <c r="L80" s="2">
        <f ca="1">IFERROR(__xludf.DUMMYFUNCTION("""COMPUTED_VALUE"""),69)</f>
        <v>69</v>
      </c>
      <c r="M80" s="2">
        <f ca="1">IFERROR(__xludf.DUMMYFUNCTION("""COMPUTED_VALUE"""),68.21)</f>
        <v>68.209999999999994</v>
      </c>
      <c r="N80" s="2">
        <f ca="1">IFERROR(__xludf.DUMMYFUNCTION("""COMPUTED_VALUE"""),69.18)</f>
        <v>69.180000000000007</v>
      </c>
      <c r="O80" s="2">
        <f ca="1">IFERROR(__xludf.DUMMYFUNCTION("""COMPUTED_VALUE"""),64.3)</f>
        <v>64.3</v>
      </c>
      <c r="P80" s="2">
        <f ca="1">IFERROR(__xludf.DUMMYFUNCTION("""COMPUTED_VALUE"""),68.83)</f>
        <v>68.83</v>
      </c>
      <c r="Q80" s="2" t="str">
        <f ca="1">IFERROR(__xludf.DUMMYFUNCTION("""COMPUTED_VALUE"""),"NA")</f>
        <v>NA</v>
      </c>
    </row>
    <row r="81" spans="1:17" ht="15.75" customHeight="1" x14ac:dyDescent="0.25">
      <c r="A81" s="2">
        <v>1405</v>
      </c>
      <c r="B81" s="2" t="str">
        <f ca="1">IFERROR(__xludf.DUMMYFUNCTION("""COMPUTED_VALUE"""),"RIAU")</f>
        <v>RIAU</v>
      </c>
      <c r="C81" s="2" t="str">
        <f ca="1">IFERROR(__xludf.DUMMYFUNCTION("""COMPUTED_VALUE"""),"Siak")</f>
        <v>Siak</v>
      </c>
      <c r="D81" s="2">
        <f ca="1">IFERROR(__xludf.DUMMYFUNCTION("""COMPUTED_VALUE"""),4.13)</f>
        <v>4.13</v>
      </c>
      <c r="E81" s="2">
        <f ca="1">IFERROR(__xludf.DUMMYFUNCTION("""COMPUTED_VALUE"""),4.33)</f>
        <v>4.33</v>
      </c>
      <c r="F81" s="2">
        <f ca="1">IFERROR(__xludf.DUMMYFUNCTION("""COMPUTED_VALUE"""),5.8)</f>
        <v>5.8</v>
      </c>
      <c r="G81" s="2">
        <f ca="1">IFERROR(__xludf.DUMMYFUNCTION("""COMPUTED_VALUE"""),4.34)</f>
        <v>4.34</v>
      </c>
      <c r="H81" s="2">
        <f ca="1">IFERROR(__xludf.DUMMYFUNCTION("""COMPUTED_VALUE"""),6.11)</f>
        <v>6.11</v>
      </c>
      <c r="I81" s="2">
        <f ca="1">IFERROR(__xludf.DUMMYFUNCTION("""COMPUTED_VALUE"""),5.82)</f>
        <v>5.82</v>
      </c>
      <c r="J81" s="2">
        <f ca="1">IFERROR(__xludf.DUMMYFUNCTION("""COMPUTED_VALUE"""),4.53)</f>
        <v>4.53</v>
      </c>
      <c r="K81" s="2">
        <f ca="1">IFERROR(__xludf.DUMMYFUNCTION("""COMPUTED_VALUE"""),66.39)</f>
        <v>66.39</v>
      </c>
      <c r="L81" s="2">
        <f ca="1">IFERROR(__xludf.DUMMYFUNCTION("""COMPUTED_VALUE"""),64.77)</f>
        <v>64.77</v>
      </c>
      <c r="M81" s="2">
        <f ca="1">IFERROR(__xludf.DUMMYFUNCTION("""COMPUTED_VALUE"""),62.78)</f>
        <v>62.78</v>
      </c>
      <c r="N81" s="2">
        <f ca="1">IFERROR(__xludf.DUMMYFUNCTION("""COMPUTED_VALUE"""),64.69)</f>
        <v>64.69</v>
      </c>
      <c r="O81" s="2">
        <f ca="1">IFERROR(__xludf.DUMMYFUNCTION("""COMPUTED_VALUE"""),65.86)</f>
        <v>65.86</v>
      </c>
      <c r="P81" s="2">
        <f ca="1">IFERROR(__xludf.DUMMYFUNCTION("""COMPUTED_VALUE"""),65.72)</f>
        <v>65.72</v>
      </c>
      <c r="Q81" s="2" t="str">
        <f ca="1">IFERROR(__xludf.DUMMYFUNCTION("""COMPUTED_VALUE"""),"NA")</f>
        <v>NA</v>
      </c>
    </row>
    <row r="82" spans="1:17" ht="15.75" customHeight="1" x14ac:dyDescent="0.25">
      <c r="A82" s="2">
        <v>1406</v>
      </c>
      <c r="B82" s="2" t="str">
        <f ca="1">IFERROR(__xludf.DUMMYFUNCTION("""COMPUTED_VALUE"""),"RIAU")</f>
        <v>RIAU</v>
      </c>
      <c r="C82" s="2" t="str">
        <f ca="1">IFERROR(__xludf.DUMMYFUNCTION("""COMPUTED_VALUE"""),"Kampar")</f>
        <v>Kampar</v>
      </c>
      <c r="D82" s="2">
        <f ca="1">IFERROR(__xludf.DUMMYFUNCTION("""COMPUTED_VALUE"""),5.45)</f>
        <v>5.45</v>
      </c>
      <c r="E82" s="2">
        <f ca="1">IFERROR(__xludf.DUMMYFUNCTION("""COMPUTED_VALUE"""),5.98)</f>
        <v>5.98</v>
      </c>
      <c r="F82" s="2">
        <f ca="1">IFERROR(__xludf.DUMMYFUNCTION("""COMPUTED_VALUE"""),6.15)</f>
        <v>6.15</v>
      </c>
      <c r="G82" s="2">
        <f ca="1">IFERROR(__xludf.DUMMYFUNCTION("""COMPUTED_VALUE"""),4.27)</f>
        <v>4.2699999999999996</v>
      </c>
      <c r="H82" s="2">
        <f ca="1">IFERROR(__xludf.DUMMYFUNCTION("""COMPUTED_VALUE"""),3.62)</f>
        <v>3.62</v>
      </c>
      <c r="I82" s="2">
        <f ca="1">IFERROR(__xludf.DUMMYFUNCTION("""COMPUTED_VALUE"""),3.38)</f>
        <v>3.38</v>
      </c>
      <c r="J82" s="2">
        <f ca="1">IFERROR(__xludf.DUMMYFUNCTION("""COMPUTED_VALUE"""),3.67)</f>
        <v>3.67</v>
      </c>
      <c r="K82" s="2">
        <f ca="1">IFERROR(__xludf.DUMMYFUNCTION("""COMPUTED_VALUE"""),63.38)</f>
        <v>63.38</v>
      </c>
      <c r="L82" s="2">
        <f ca="1">IFERROR(__xludf.DUMMYFUNCTION("""COMPUTED_VALUE"""),60.78)</f>
        <v>60.78</v>
      </c>
      <c r="M82" s="2">
        <f ca="1">IFERROR(__xludf.DUMMYFUNCTION("""COMPUTED_VALUE"""),63.78)</f>
        <v>63.78</v>
      </c>
      <c r="N82" s="2">
        <f ca="1">IFERROR(__xludf.DUMMYFUNCTION("""COMPUTED_VALUE"""),63.06)</f>
        <v>63.06</v>
      </c>
      <c r="O82" s="2">
        <f ca="1">IFERROR(__xludf.DUMMYFUNCTION("""COMPUTED_VALUE"""),61.4)</f>
        <v>61.4</v>
      </c>
      <c r="P82" s="2">
        <f ca="1">IFERROR(__xludf.DUMMYFUNCTION("""COMPUTED_VALUE"""),59.63)</f>
        <v>59.63</v>
      </c>
      <c r="Q82" s="2" t="str">
        <f ca="1">IFERROR(__xludf.DUMMYFUNCTION("""COMPUTED_VALUE"""),"NA")</f>
        <v>NA</v>
      </c>
    </row>
    <row r="83" spans="1:17" ht="15.75" customHeight="1" x14ac:dyDescent="0.25">
      <c r="A83" s="2">
        <v>1407</v>
      </c>
      <c r="B83" s="2" t="str">
        <f ca="1">IFERROR(__xludf.DUMMYFUNCTION("""COMPUTED_VALUE"""),"RIAU")</f>
        <v>RIAU</v>
      </c>
      <c r="C83" s="2" t="str">
        <f ca="1">IFERROR(__xludf.DUMMYFUNCTION("""COMPUTED_VALUE"""),"Rokan Hulu")</f>
        <v>Rokan Hulu</v>
      </c>
      <c r="D83" s="2">
        <f ca="1">IFERROR(__xludf.DUMMYFUNCTION("""COMPUTED_VALUE"""),5.4)</f>
        <v>5.4</v>
      </c>
      <c r="E83" s="2">
        <f ca="1">IFERROR(__xludf.DUMMYFUNCTION("""COMPUTED_VALUE"""),4.71)</f>
        <v>4.71</v>
      </c>
      <c r="F83" s="2">
        <f ca="1">IFERROR(__xludf.DUMMYFUNCTION("""COMPUTED_VALUE"""),4.42)</f>
        <v>4.42</v>
      </c>
      <c r="G83" s="2">
        <f ca="1">IFERROR(__xludf.DUMMYFUNCTION("""COMPUTED_VALUE"""),2.25)</f>
        <v>2.25</v>
      </c>
      <c r="H83" s="2">
        <f ca="1">IFERROR(__xludf.DUMMYFUNCTION("""COMPUTED_VALUE"""),3.62)</f>
        <v>3.62</v>
      </c>
      <c r="I83" s="2">
        <f ca="1">IFERROR(__xludf.DUMMYFUNCTION("""COMPUTED_VALUE"""),3.45)</f>
        <v>3.45</v>
      </c>
      <c r="J83" s="2">
        <f ca="1">IFERROR(__xludf.DUMMYFUNCTION("""COMPUTED_VALUE"""),2.73)</f>
        <v>2.73</v>
      </c>
      <c r="K83" s="2">
        <f ca="1">IFERROR(__xludf.DUMMYFUNCTION("""COMPUTED_VALUE"""),65.2)</f>
        <v>65.2</v>
      </c>
      <c r="L83" s="2">
        <f ca="1">IFERROR(__xludf.DUMMYFUNCTION("""COMPUTED_VALUE"""),67.85)</f>
        <v>67.849999999999994</v>
      </c>
      <c r="M83" s="2">
        <f ca="1">IFERROR(__xludf.DUMMYFUNCTION("""COMPUTED_VALUE"""),65.26)</f>
        <v>65.260000000000005</v>
      </c>
      <c r="N83" s="2">
        <f ca="1">IFERROR(__xludf.DUMMYFUNCTION("""COMPUTED_VALUE"""),66.5)</f>
        <v>66.5</v>
      </c>
      <c r="O83" s="2">
        <f ca="1">IFERROR(__xludf.DUMMYFUNCTION("""COMPUTED_VALUE"""),64.08)</f>
        <v>64.08</v>
      </c>
      <c r="P83" s="2">
        <f ca="1">IFERROR(__xludf.DUMMYFUNCTION("""COMPUTED_VALUE"""),66.73)</f>
        <v>66.73</v>
      </c>
      <c r="Q83" s="2" t="str">
        <f ca="1">IFERROR(__xludf.DUMMYFUNCTION("""COMPUTED_VALUE"""),"NA")</f>
        <v>NA</v>
      </c>
    </row>
    <row r="84" spans="1:17" ht="15.75" customHeight="1" x14ac:dyDescent="0.25">
      <c r="A84" s="2">
        <v>1408</v>
      </c>
      <c r="B84" s="2" t="str">
        <f ca="1">IFERROR(__xludf.DUMMYFUNCTION("""COMPUTED_VALUE"""),"RIAU")</f>
        <v>RIAU</v>
      </c>
      <c r="C84" s="2" t="str">
        <f ca="1">IFERROR(__xludf.DUMMYFUNCTION("""COMPUTED_VALUE"""),"Bengkalis")</f>
        <v>Bengkalis</v>
      </c>
      <c r="D84" s="2">
        <f ca="1">IFERROR(__xludf.DUMMYFUNCTION("""COMPUTED_VALUE"""),10.05)</f>
        <v>10.050000000000001</v>
      </c>
      <c r="E84" s="2">
        <f ca="1">IFERROR(__xludf.DUMMYFUNCTION("""COMPUTED_VALUE"""),9.62)</f>
        <v>9.6199999999999992</v>
      </c>
      <c r="F84" s="2">
        <f ca="1">IFERROR(__xludf.DUMMYFUNCTION("""COMPUTED_VALUE"""),9.31)</f>
        <v>9.31</v>
      </c>
      <c r="G84" s="2">
        <f ca="1">IFERROR(__xludf.DUMMYFUNCTION("""COMPUTED_VALUE"""),6.63)</f>
        <v>6.63</v>
      </c>
      <c r="H84" s="2">
        <f ca="1">IFERROR(__xludf.DUMMYFUNCTION("""COMPUTED_VALUE"""),7.18)</f>
        <v>7.18</v>
      </c>
      <c r="I84" s="2">
        <f ca="1">IFERROR(__xludf.DUMMYFUNCTION("""COMPUTED_VALUE"""),7.09)</f>
        <v>7.09</v>
      </c>
      <c r="J84" s="2">
        <f ca="1">IFERROR(__xludf.DUMMYFUNCTION("""COMPUTED_VALUE"""),5.88)</f>
        <v>5.88</v>
      </c>
      <c r="K84" s="2">
        <f ca="1">IFERROR(__xludf.DUMMYFUNCTION("""COMPUTED_VALUE"""),65.99)</f>
        <v>65.989999999999995</v>
      </c>
      <c r="L84" s="2">
        <f ca="1">IFERROR(__xludf.DUMMYFUNCTION("""COMPUTED_VALUE"""),64.08)</f>
        <v>64.08</v>
      </c>
      <c r="M84" s="2">
        <f ca="1">IFERROR(__xludf.DUMMYFUNCTION("""COMPUTED_VALUE"""),66)</f>
        <v>66</v>
      </c>
      <c r="N84" s="2">
        <f ca="1">IFERROR(__xludf.DUMMYFUNCTION("""COMPUTED_VALUE"""),66.76)</f>
        <v>66.760000000000005</v>
      </c>
      <c r="O84" s="2">
        <f ca="1">IFERROR(__xludf.DUMMYFUNCTION("""COMPUTED_VALUE"""),61.97)</f>
        <v>61.97</v>
      </c>
      <c r="P84" s="2">
        <f ca="1">IFERROR(__xludf.DUMMYFUNCTION("""COMPUTED_VALUE"""),61.76)</f>
        <v>61.76</v>
      </c>
      <c r="Q84" s="2" t="str">
        <f ca="1">IFERROR(__xludf.DUMMYFUNCTION("""COMPUTED_VALUE"""),"NA")</f>
        <v>NA</v>
      </c>
    </row>
    <row r="85" spans="1:17" ht="15.75" customHeight="1" x14ac:dyDescent="0.25">
      <c r="A85" s="2">
        <v>1409</v>
      </c>
      <c r="B85" s="2" t="str">
        <f ca="1">IFERROR(__xludf.DUMMYFUNCTION("""COMPUTED_VALUE"""),"RIAU")</f>
        <v>RIAU</v>
      </c>
      <c r="C85" s="2" t="str">
        <f ca="1">IFERROR(__xludf.DUMMYFUNCTION("""COMPUTED_VALUE"""),"Rokan Hilir")</f>
        <v>Rokan Hilir</v>
      </c>
      <c r="D85" s="2">
        <f ca="1">IFERROR(__xludf.DUMMYFUNCTION("""COMPUTED_VALUE"""),6.09)</f>
        <v>6.09</v>
      </c>
      <c r="E85" s="2">
        <f ca="1">IFERROR(__xludf.DUMMYFUNCTION("""COMPUTED_VALUE"""),4.96)</f>
        <v>4.96</v>
      </c>
      <c r="F85" s="2">
        <f ca="1">IFERROR(__xludf.DUMMYFUNCTION("""COMPUTED_VALUE"""),4.8)</f>
        <v>4.8</v>
      </c>
      <c r="G85" s="2">
        <f ca="1">IFERROR(__xludf.DUMMYFUNCTION("""COMPUTED_VALUE"""),3.25)</f>
        <v>3.25</v>
      </c>
      <c r="H85" s="2">
        <f ca="1">IFERROR(__xludf.DUMMYFUNCTION("""COMPUTED_VALUE"""),4.55)</f>
        <v>4.55</v>
      </c>
      <c r="I85" s="2">
        <f ca="1">IFERROR(__xludf.DUMMYFUNCTION("""COMPUTED_VALUE"""),4.42)</f>
        <v>4.42</v>
      </c>
      <c r="J85" s="2">
        <f ca="1">IFERROR(__xludf.DUMMYFUNCTION("""COMPUTED_VALUE"""),4.31)</f>
        <v>4.3099999999999996</v>
      </c>
      <c r="K85" s="2">
        <f ca="1">IFERROR(__xludf.DUMMYFUNCTION("""COMPUTED_VALUE"""),63.42)</f>
        <v>63.42</v>
      </c>
      <c r="L85" s="2">
        <f ca="1">IFERROR(__xludf.DUMMYFUNCTION("""COMPUTED_VALUE"""),61.21)</f>
        <v>61.21</v>
      </c>
      <c r="M85" s="2">
        <f ca="1">IFERROR(__xludf.DUMMYFUNCTION("""COMPUTED_VALUE"""),56.54)</f>
        <v>56.54</v>
      </c>
      <c r="N85" s="2">
        <f ca="1">IFERROR(__xludf.DUMMYFUNCTION("""COMPUTED_VALUE"""),60.74)</f>
        <v>60.74</v>
      </c>
      <c r="O85" s="2">
        <f ca="1">IFERROR(__xludf.DUMMYFUNCTION("""COMPUTED_VALUE"""),64.52)</f>
        <v>64.52</v>
      </c>
      <c r="P85" s="2">
        <f ca="1">IFERROR(__xludf.DUMMYFUNCTION("""COMPUTED_VALUE"""),65.99)</f>
        <v>65.989999999999995</v>
      </c>
      <c r="Q85" s="2" t="str">
        <f ca="1">IFERROR(__xludf.DUMMYFUNCTION("""COMPUTED_VALUE"""),"NA")</f>
        <v>NA</v>
      </c>
    </row>
    <row r="86" spans="1:17" ht="15.75" customHeight="1" x14ac:dyDescent="0.25">
      <c r="A86" s="2">
        <v>1410</v>
      </c>
      <c r="B86" s="2" t="str">
        <f ca="1">IFERROR(__xludf.DUMMYFUNCTION("""COMPUTED_VALUE"""),"RIAU")</f>
        <v>RIAU</v>
      </c>
      <c r="C86" s="2" t="str">
        <f ca="1">IFERROR(__xludf.DUMMYFUNCTION("""COMPUTED_VALUE"""),"Kepulauan Meranti")</f>
        <v>Kepulauan Meranti</v>
      </c>
      <c r="D86" s="2">
        <f ca="1">IFERROR(__xludf.DUMMYFUNCTION("""COMPUTED_VALUE"""),6.84)</f>
        <v>6.84</v>
      </c>
      <c r="E86" s="2">
        <f ca="1">IFERROR(__xludf.DUMMYFUNCTION("""COMPUTED_VALUE"""),6.19)</f>
        <v>6.19</v>
      </c>
      <c r="F86" s="2">
        <f ca="1">IFERROR(__xludf.DUMMYFUNCTION("""COMPUTED_VALUE"""),7.94)</f>
        <v>7.94</v>
      </c>
      <c r="G86" s="2">
        <f ca="1">IFERROR(__xludf.DUMMYFUNCTION("""COMPUTED_VALUE"""),4.43)</f>
        <v>4.43</v>
      </c>
      <c r="H86" s="2">
        <f ca="1">IFERROR(__xludf.DUMMYFUNCTION("""COMPUTED_VALUE"""),5.5)</f>
        <v>5.5</v>
      </c>
      <c r="I86" s="2">
        <f ca="1">IFERROR(__xludf.DUMMYFUNCTION("""COMPUTED_VALUE"""),5.17)</f>
        <v>5.17</v>
      </c>
      <c r="J86" s="2">
        <f ca="1">IFERROR(__xludf.DUMMYFUNCTION("""COMPUTED_VALUE"""),4.51)</f>
        <v>4.51</v>
      </c>
      <c r="K86" s="2">
        <f ca="1">IFERROR(__xludf.DUMMYFUNCTION("""COMPUTED_VALUE"""),68.63)</f>
        <v>68.63</v>
      </c>
      <c r="L86" s="2">
        <f ca="1">IFERROR(__xludf.DUMMYFUNCTION("""COMPUTED_VALUE"""),67.49)</f>
        <v>67.489999999999995</v>
      </c>
      <c r="M86" s="2">
        <f ca="1">IFERROR(__xludf.DUMMYFUNCTION("""COMPUTED_VALUE"""),68.29)</f>
        <v>68.290000000000006</v>
      </c>
      <c r="N86" s="2">
        <f ca="1">IFERROR(__xludf.DUMMYFUNCTION("""COMPUTED_VALUE"""),65.6)</f>
        <v>65.599999999999994</v>
      </c>
      <c r="O86" s="2">
        <f ca="1">IFERROR(__xludf.DUMMYFUNCTION("""COMPUTED_VALUE"""),64.84)</f>
        <v>64.84</v>
      </c>
      <c r="P86" s="2">
        <f ca="1">IFERROR(__xludf.DUMMYFUNCTION("""COMPUTED_VALUE"""),65.76)</f>
        <v>65.760000000000005</v>
      </c>
      <c r="Q86" s="2" t="str">
        <f ca="1">IFERROR(__xludf.DUMMYFUNCTION("""COMPUTED_VALUE"""),"NA")</f>
        <v>NA</v>
      </c>
    </row>
    <row r="87" spans="1:17" ht="15.75" customHeight="1" x14ac:dyDescent="0.25">
      <c r="A87" s="2">
        <v>1471</v>
      </c>
      <c r="B87" s="2" t="str">
        <f ca="1">IFERROR(__xludf.DUMMYFUNCTION("""COMPUTED_VALUE"""),"RIAU")</f>
        <v>RIAU</v>
      </c>
      <c r="C87" s="2" t="s">
        <v>69</v>
      </c>
      <c r="D87" s="2">
        <f ca="1">IFERROR(__xludf.DUMMYFUNCTION("""COMPUTED_VALUE"""),8.42)</f>
        <v>8.42</v>
      </c>
      <c r="E87" s="2">
        <f ca="1">IFERROR(__xludf.DUMMYFUNCTION("""COMPUTED_VALUE"""),7.86)</f>
        <v>7.86</v>
      </c>
      <c r="F87" s="2">
        <f ca="1">IFERROR(__xludf.DUMMYFUNCTION("""COMPUTED_VALUE"""),8.56)</f>
        <v>8.56</v>
      </c>
      <c r="G87" s="2">
        <f ca="1">IFERROR(__xludf.DUMMYFUNCTION("""COMPUTED_VALUE"""),8.29)</f>
        <v>8.2899999999999991</v>
      </c>
      <c r="H87" s="2">
        <f ca="1">IFERROR(__xludf.DUMMYFUNCTION("""COMPUTED_VALUE"""),6.4)</f>
        <v>6.4</v>
      </c>
      <c r="I87" s="2">
        <f ca="1">IFERROR(__xludf.DUMMYFUNCTION("""COMPUTED_VALUE"""),6.2)</f>
        <v>6.2</v>
      </c>
      <c r="J87" s="2">
        <f ca="1">IFERROR(__xludf.DUMMYFUNCTION("""COMPUTED_VALUE"""),4.63)</f>
        <v>4.63</v>
      </c>
      <c r="K87" s="2">
        <f ca="1">IFERROR(__xludf.DUMMYFUNCTION("""COMPUTED_VALUE"""),65.7)</f>
        <v>65.7</v>
      </c>
      <c r="L87" s="2">
        <f ca="1">IFERROR(__xludf.DUMMYFUNCTION("""COMPUTED_VALUE"""),65.86)</f>
        <v>65.86</v>
      </c>
      <c r="M87" s="2">
        <f ca="1">IFERROR(__xludf.DUMMYFUNCTION("""COMPUTED_VALUE"""),65.22)</f>
        <v>65.22</v>
      </c>
      <c r="N87" s="2">
        <f ca="1">IFERROR(__xludf.DUMMYFUNCTION("""COMPUTED_VALUE"""),61.61)</f>
        <v>61.61</v>
      </c>
      <c r="O87" s="2">
        <f ca="1">IFERROR(__xludf.DUMMYFUNCTION("""COMPUTED_VALUE"""),63.91)</f>
        <v>63.91</v>
      </c>
      <c r="P87" s="2">
        <f ca="1">IFERROR(__xludf.DUMMYFUNCTION("""COMPUTED_VALUE"""),66.04)</f>
        <v>66.040000000000006</v>
      </c>
      <c r="Q87" s="2" t="str">
        <f ca="1">IFERROR(__xludf.DUMMYFUNCTION("""COMPUTED_VALUE"""),"NA")</f>
        <v>NA</v>
      </c>
    </row>
    <row r="88" spans="1:17" ht="15.75" customHeight="1" x14ac:dyDescent="0.25">
      <c r="A88" s="2">
        <v>1473</v>
      </c>
      <c r="B88" s="2" t="str">
        <f ca="1">IFERROR(__xludf.DUMMYFUNCTION("""COMPUTED_VALUE"""),"RIAU")</f>
        <v>RIAU</v>
      </c>
      <c r="C88" s="2" t="s">
        <v>23</v>
      </c>
      <c r="D88" s="2">
        <f ca="1">IFERROR(__xludf.DUMMYFUNCTION("""COMPUTED_VALUE"""),6.04)</f>
        <v>6.04</v>
      </c>
      <c r="E88" s="2">
        <f ca="1">IFERROR(__xludf.DUMMYFUNCTION("""COMPUTED_VALUE"""),6.47)</f>
        <v>6.47</v>
      </c>
      <c r="F88" s="2">
        <f ca="1">IFERROR(__xludf.DUMMYFUNCTION("""COMPUTED_VALUE"""),8.19)</f>
        <v>8.19</v>
      </c>
      <c r="G88" s="2">
        <f ca="1">IFERROR(__xludf.DUMMYFUNCTION("""COMPUTED_VALUE"""),6.29)</f>
        <v>6.29</v>
      </c>
      <c r="H88" s="2">
        <f ca="1">IFERROR(__xludf.DUMMYFUNCTION("""COMPUTED_VALUE"""),5.38)</f>
        <v>5.38</v>
      </c>
      <c r="I88" s="2">
        <f ca="1">IFERROR(__xludf.DUMMYFUNCTION("""COMPUTED_VALUE"""),5.15)</f>
        <v>5.15</v>
      </c>
      <c r="J88" s="2">
        <f ca="1">IFERROR(__xludf.DUMMYFUNCTION("""COMPUTED_VALUE"""),4.66)</f>
        <v>4.66</v>
      </c>
      <c r="K88" s="2">
        <f ca="1">IFERROR(__xludf.DUMMYFUNCTION("""COMPUTED_VALUE"""),64.17)</f>
        <v>64.17</v>
      </c>
      <c r="L88" s="2">
        <f ca="1">IFERROR(__xludf.DUMMYFUNCTION("""COMPUTED_VALUE"""),69.12)</f>
        <v>69.12</v>
      </c>
      <c r="M88" s="2">
        <f ca="1">IFERROR(__xludf.DUMMYFUNCTION("""COMPUTED_VALUE"""),67.15)</f>
        <v>67.150000000000006</v>
      </c>
      <c r="N88" s="2">
        <f ca="1">IFERROR(__xludf.DUMMYFUNCTION("""COMPUTED_VALUE"""),64.91)</f>
        <v>64.91</v>
      </c>
      <c r="O88" s="2">
        <f ca="1">IFERROR(__xludf.DUMMYFUNCTION("""COMPUTED_VALUE"""),65.45)</f>
        <v>65.45</v>
      </c>
      <c r="P88" s="2">
        <f ca="1">IFERROR(__xludf.DUMMYFUNCTION("""COMPUTED_VALUE"""),66.07)</f>
        <v>66.069999999999993</v>
      </c>
      <c r="Q88" s="2" t="str">
        <f ca="1">IFERROR(__xludf.DUMMYFUNCTION("""COMPUTED_VALUE"""),"NA")</f>
        <v>NA</v>
      </c>
    </row>
    <row r="89" spans="1:17" ht="15.75" customHeight="1" x14ac:dyDescent="0.25">
      <c r="A89" s="2">
        <v>1501</v>
      </c>
      <c r="B89" s="2" t="str">
        <f ca="1">IFERROR(__xludf.DUMMYFUNCTION("""COMPUTED_VALUE"""),"JAMBI")</f>
        <v>JAMBI</v>
      </c>
      <c r="C89" s="2" t="str">
        <f ca="1">IFERROR(__xludf.DUMMYFUNCTION("""COMPUTED_VALUE"""),"Kerinci")</f>
        <v>Kerinci</v>
      </c>
      <c r="D89" s="2">
        <f ca="1">IFERROR(__xludf.DUMMYFUNCTION("""COMPUTED_VALUE"""),2.74)</f>
        <v>2.74</v>
      </c>
      <c r="E89" s="2">
        <f ca="1">IFERROR(__xludf.DUMMYFUNCTION("""COMPUTED_VALUE"""),2.62)</f>
        <v>2.62</v>
      </c>
      <c r="F89" s="2">
        <f ca="1">IFERROR(__xludf.DUMMYFUNCTION("""COMPUTED_VALUE"""),2.43)</f>
        <v>2.4300000000000002</v>
      </c>
      <c r="G89" s="2">
        <f ca="1">IFERROR(__xludf.DUMMYFUNCTION("""COMPUTED_VALUE"""),2.32)</f>
        <v>2.3199999999999998</v>
      </c>
      <c r="H89" s="2">
        <f ca="1">IFERROR(__xludf.DUMMYFUNCTION("""COMPUTED_VALUE"""),2.63)</f>
        <v>2.63</v>
      </c>
      <c r="I89" s="2">
        <f ca="1">IFERROR(__xludf.DUMMYFUNCTION("""COMPUTED_VALUE"""),2.48)</f>
        <v>2.48</v>
      </c>
      <c r="J89" s="2"/>
      <c r="K89" s="2">
        <f ca="1">IFERROR(__xludf.DUMMYFUNCTION("""COMPUTED_VALUE"""),71.14)</f>
        <v>71.14</v>
      </c>
      <c r="L89" s="2">
        <f ca="1">IFERROR(__xludf.DUMMYFUNCTION("""COMPUTED_VALUE"""),66.26)</f>
        <v>66.260000000000005</v>
      </c>
      <c r="M89" s="2">
        <f ca="1">IFERROR(__xludf.DUMMYFUNCTION("""COMPUTED_VALUE"""),69.55)</f>
        <v>69.55</v>
      </c>
      <c r="N89" s="2">
        <f ca="1">IFERROR(__xludf.DUMMYFUNCTION("""COMPUTED_VALUE"""),70.9)</f>
        <v>70.900000000000006</v>
      </c>
      <c r="O89" s="2">
        <f ca="1">IFERROR(__xludf.DUMMYFUNCTION("""COMPUTED_VALUE"""),73.53)</f>
        <v>73.53</v>
      </c>
      <c r="P89" s="2">
        <f ca="1">IFERROR(__xludf.DUMMYFUNCTION("""COMPUTED_VALUE"""),71.89)</f>
        <v>71.89</v>
      </c>
      <c r="Q89" s="2"/>
    </row>
    <row r="90" spans="1:17" ht="15.75" customHeight="1" x14ac:dyDescent="0.25">
      <c r="A90" s="2">
        <v>1502</v>
      </c>
      <c r="B90" s="2" t="str">
        <f ca="1">IFERROR(__xludf.DUMMYFUNCTION("""COMPUTED_VALUE"""),"JAMBI")</f>
        <v>JAMBI</v>
      </c>
      <c r="C90" s="2" t="str">
        <f ca="1">IFERROR(__xludf.DUMMYFUNCTION("""COMPUTED_VALUE"""),"Merangin")</f>
        <v>Merangin</v>
      </c>
      <c r="D90" s="2">
        <f ca="1">IFERROR(__xludf.DUMMYFUNCTION("""COMPUTED_VALUE"""),3.47)</f>
        <v>3.47</v>
      </c>
      <c r="E90" s="2">
        <f ca="1">IFERROR(__xludf.DUMMYFUNCTION("""COMPUTED_VALUE"""),3.68)</f>
        <v>3.68</v>
      </c>
      <c r="F90" s="2">
        <f ca="1">IFERROR(__xludf.DUMMYFUNCTION("""COMPUTED_VALUE"""),4.86)</f>
        <v>4.8600000000000003</v>
      </c>
      <c r="G90" s="2">
        <f ca="1">IFERROR(__xludf.DUMMYFUNCTION("""COMPUTED_VALUE"""),4.83)</f>
        <v>4.83</v>
      </c>
      <c r="H90" s="2">
        <f ca="1">IFERROR(__xludf.DUMMYFUNCTION("""COMPUTED_VALUE"""),4.69)</f>
        <v>4.6900000000000004</v>
      </c>
      <c r="I90" s="2">
        <f ca="1">IFERROR(__xludf.DUMMYFUNCTION("""COMPUTED_VALUE"""),4.35)</f>
        <v>4.3499999999999996</v>
      </c>
      <c r="J90" s="2"/>
      <c r="K90" s="2">
        <f ca="1">IFERROR(__xludf.DUMMYFUNCTION("""COMPUTED_VALUE"""),69.62)</f>
        <v>69.62</v>
      </c>
      <c r="L90" s="2">
        <f ca="1">IFERROR(__xludf.DUMMYFUNCTION("""COMPUTED_VALUE"""),68.91)</f>
        <v>68.91</v>
      </c>
      <c r="M90" s="2">
        <f ca="1">IFERROR(__xludf.DUMMYFUNCTION("""COMPUTED_VALUE"""),70.17)</f>
        <v>70.17</v>
      </c>
      <c r="N90" s="2">
        <f ca="1">IFERROR(__xludf.DUMMYFUNCTION("""COMPUTED_VALUE"""),69.85)</f>
        <v>69.849999999999994</v>
      </c>
      <c r="O90" s="2">
        <f ca="1">IFERROR(__xludf.DUMMYFUNCTION("""COMPUTED_VALUE"""),69.5)</f>
        <v>69.5</v>
      </c>
      <c r="P90" s="2">
        <f ca="1">IFERROR(__xludf.DUMMYFUNCTION("""COMPUTED_VALUE"""),71.17)</f>
        <v>71.17</v>
      </c>
      <c r="Q90" s="2"/>
    </row>
    <row r="91" spans="1:17" ht="15.75" customHeight="1" x14ac:dyDescent="0.25">
      <c r="A91" s="2">
        <v>1503</v>
      </c>
      <c r="B91" s="2" t="str">
        <f ca="1">IFERROR(__xludf.DUMMYFUNCTION("""COMPUTED_VALUE"""),"JAMBI")</f>
        <v>JAMBI</v>
      </c>
      <c r="C91" s="2" t="str">
        <f ca="1">IFERROR(__xludf.DUMMYFUNCTION("""COMPUTED_VALUE"""),"Sarolangun")</f>
        <v>Sarolangun</v>
      </c>
      <c r="D91" s="2">
        <f ca="1">IFERROR(__xludf.DUMMYFUNCTION("""COMPUTED_VALUE"""),4.06)</f>
        <v>4.0599999999999996</v>
      </c>
      <c r="E91" s="2">
        <f ca="1">IFERROR(__xludf.DUMMYFUNCTION("""COMPUTED_VALUE"""),4.09)</f>
        <v>4.09</v>
      </c>
      <c r="F91" s="2">
        <f ca="1">IFERROR(__xludf.DUMMYFUNCTION("""COMPUTED_VALUE"""),5.71)</f>
        <v>5.71</v>
      </c>
      <c r="G91" s="2">
        <f ca="1">IFERROR(__xludf.DUMMYFUNCTION("""COMPUTED_VALUE"""),5.52)</f>
        <v>5.52</v>
      </c>
      <c r="H91" s="2">
        <f ca="1">IFERROR(__xludf.DUMMYFUNCTION("""COMPUTED_VALUE"""),5.22)</f>
        <v>5.22</v>
      </c>
      <c r="I91" s="2">
        <f ca="1">IFERROR(__xludf.DUMMYFUNCTION("""COMPUTED_VALUE"""),5.09)</f>
        <v>5.09</v>
      </c>
      <c r="J91" s="2"/>
      <c r="K91" s="2">
        <f ca="1">IFERROR(__xludf.DUMMYFUNCTION("""COMPUTED_VALUE"""),67.03)</f>
        <v>67.03</v>
      </c>
      <c r="L91" s="2">
        <f ca="1">IFERROR(__xludf.DUMMYFUNCTION("""COMPUTED_VALUE"""),65.2)</f>
        <v>65.2</v>
      </c>
      <c r="M91" s="2">
        <f ca="1">IFERROR(__xludf.DUMMYFUNCTION("""COMPUTED_VALUE"""),68.58)</f>
        <v>68.58</v>
      </c>
      <c r="N91" s="2">
        <f ca="1">IFERROR(__xludf.DUMMYFUNCTION("""COMPUTED_VALUE"""),64.86)</f>
        <v>64.86</v>
      </c>
      <c r="O91" s="2">
        <f ca="1">IFERROR(__xludf.DUMMYFUNCTION("""COMPUTED_VALUE"""),66.74)</f>
        <v>66.739999999999995</v>
      </c>
      <c r="P91" s="2">
        <f ca="1">IFERROR(__xludf.DUMMYFUNCTION("""COMPUTED_VALUE"""),66.52)</f>
        <v>66.52</v>
      </c>
      <c r="Q91" s="2"/>
    </row>
    <row r="92" spans="1:17" ht="15.75" customHeight="1" x14ac:dyDescent="0.25">
      <c r="A92" s="2">
        <v>1504</v>
      </c>
      <c r="B92" s="2" t="str">
        <f ca="1">IFERROR(__xludf.DUMMYFUNCTION("""COMPUTED_VALUE"""),"JAMBI")</f>
        <v>JAMBI</v>
      </c>
      <c r="C92" s="2" t="s">
        <v>55</v>
      </c>
      <c r="D92" s="2">
        <f ca="1">IFERROR(__xludf.DUMMYFUNCTION("""COMPUTED_VALUE"""),3.87)</f>
        <v>3.87</v>
      </c>
      <c r="E92" s="2">
        <f ca="1">IFERROR(__xludf.DUMMYFUNCTION("""COMPUTED_VALUE"""),4.56)</f>
        <v>4.5599999999999996</v>
      </c>
      <c r="F92" s="2">
        <f ca="1">IFERROR(__xludf.DUMMYFUNCTION("""COMPUTED_VALUE"""),4.42)</f>
        <v>4.42</v>
      </c>
      <c r="G92" s="2">
        <f ca="1">IFERROR(__xludf.DUMMYFUNCTION("""COMPUTED_VALUE"""),4.26)</f>
        <v>4.26</v>
      </c>
      <c r="H92" s="2">
        <f ca="1">IFERROR(__xludf.DUMMYFUNCTION("""COMPUTED_VALUE"""),3.53)</f>
        <v>3.53</v>
      </c>
      <c r="I92" s="2">
        <f ca="1">IFERROR(__xludf.DUMMYFUNCTION("""COMPUTED_VALUE"""),3.85)</f>
        <v>3.85</v>
      </c>
      <c r="J92" s="2"/>
      <c r="K92" s="2">
        <f ca="1">IFERROR(__xludf.DUMMYFUNCTION("""COMPUTED_VALUE"""),65.07)</f>
        <v>65.069999999999993</v>
      </c>
      <c r="L92" s="2">
        <f ca="1">IFERROR(__xludf.DUMMYFUNCTION("""COMPUTED_VALUE"""),60.35)</f>
        <v>60.35</v>
      </c>
      <c r="M92" s="2">
        <f ca="1">IFERROR(__xludf.DUMMYFUNCTION("""COMPUTED_VALUE"""),67.02)</f>
        <v>67.02</v>
      </c>
      <c r="N92" s="2">
        <f ca="1">IFERROR(__xludf.DUMMYFUNCTION("""COMPUTED_VALUE"""),68.81)</f>
        <v>68.81</v>
      </c>
      <c r="O92" s="2">
        <f ca="1">IFERROR(__xludf.DUMMYFUNCTION("""COMPUTED_VALUE"""),63.42)</f>
        <v>63.42</v>
      </c>
      <c r="P92" s="2">
        <f ca="1">IFERROR(__xludf.DUMMYFUNCTION("""COMPUTED_VALUE"""),62.01)</f>
        <v>62.01</v>
      </c>
      <c r="Q92" s="2"/>
    </row>
    <row r="93" spans="1:17" ht="15.75" customHeight="1" x14ac:dyDescent="0.25">
      <c r="A93" s="2">
        <v>1505</v>
      </c>
      <c r="B93" s="2" t="str">
        <f ca="1">IFERROR(__xludf.DUMMYFUNCTION("""COMPUTED_VALUE"""),"JAMBI")</f>
        <v>JAMBI</v>
      </c>
      <c r="C93" s="2" t="str">
        <f ca="1">IFERROR(__xludf.DUMMYFUNCTION("""COMPUTED_VALUE"""),"Muaro Jambi")</f>
        <v>Muaro Jambi</v>
      </c>
      <c r="D93" s="2">
        <f ca="1">IFERROR(__xludf.DUMMYFUNCTION("""COMPUTED_VALUE"""),4.52)</f>
        <v>4.5199999999999996</v>
      </c>
      <c r="E93" s="2">
        <f ca="1">IFERROR(__xludf.DUMMYFUNCTION("""COMPUTED_VALUE"""),5.2)</f>
        <v>5.2</v>
      </c>
      <c r="F93" s="2">
        <f ca="1">IFERROR(__xludf.DUMMYFUNCTION("""COMPUTED_VALUE"""),5.43)</f>
        <v>5.43</v>
      </c>
      <c r="G93" s="2">
        <f ca="1">IFERROR(__xludf.DUMMYFUNCTION("""COMPUTED_VALUE"""),5.59)</f>
        <v>5.59</v>
      </c>
      <c r="H93" s="2">
        <f ca="1">IFERROR(__xludf.DUMMYFUNCTION("""COMPUTED_VALUE"""),5.35)</f>
        <v>5.35</v>
      </c>
      <c r="I93" s="2">
        <f ca="1">IFERROR(__xludf.DUMMYFUNCTION("""COMPUTED_VALUE"""),5.4)</f>
        <v>5.4</v>
      </c>
      <c r="J93" s="2"/>
      <c r="K93" s="2">
        <f ca="1">IFERROR(__xludf.DUMMYFUNCTION("""COMPUTED_VALUE"""),63.88)</f>
        <v>63.88</v>
      </c>
      <c r="L93" s="2">
        <f ca="1">IFERROR(__xludf.DUMMYFUNCTION("""COMPUTED_VALUE"""),59.16)</f>
        <v>59.16</v>
      </c>
      <c r="M93" s="2">
        <f ca="1">IFERROR(__xludf.DUMMYFUNCTION("""COMPUTED_VALUE"""),61.63)</f>
        <v>61.63</v>
      </c>
      <c r="N93" s="2">
        <f ca="1">IFERROR(__xludf.DUMMYFUNCTION("""COMPUTED_VALUE"""),62.78)</f>
        <v>62.78</v>
      </c>
      <c r="O93" s="2">
        <f ca="1">IFERROR(__xludf.DUMMYFUNCTION("""COMPUTED_VALUE"""),67.21)</f>
        <v>67.209999999999994</v>
      </c>
      <c r="P93" s="2">
        <f ca="1">IFERROR(__xludf.DUMMYFUNCTION("""COMPUTED_VALUE"""),74.38)</f>
        <v>74.38</v>
      </c>
      <c r="Q93" s="2"/>
    </row>
    <row r="94" spans="1:17" ht="15.75" customHeight="1" x14ac:dyDescent="0.25">
      <c r="A94" s="2">
        <v>1506</v>
      </c>
      <c r="B94" s="2" t="str">
        <f ca="1">IFERROR(__xludf.DUMMYFUNCTION("""COMPUTED_VALUE"""),"JAMBI")</f>
        <v>JAMBI</v>
      </c>
      <c r="C94" s="2" t="str">
        <f ca="1">IFERROR(__xludf.DUMMYFUNCTION("""COMPUTED_VALUE"""),"Tanjung Jabung Timur")</f>
        <v>Tanjung Jabung Timur</v>
      </c>
      <c r="D94" s="2">
        <f ca="1">IFERROR(__xludf.DUMMYFUNCTION("""COMPUTED_VALUE"""),1.8)</f>
        <v>1.8</v>
      </c>
      <c r="E94" s="2">
        <f ca="1">IFERROR(__xludf.DUMMYFUNCTION("""COMPUTED_VALUE"""),1.63)</f>
        <v>1.63</v>
      </c>
      <c r="F94" s="2">
        <f ca="1">IFERROR(__xludf.DUMMYFUNCTION("""COMPUTED_VALUE"""),1.41)</f>
        <v>1.41</v>
      </c>
      <c r="G94" s="2">
        <f ca="1">IFERROR(__xludf.DUMMYFUNCTION("""COMPUTED_VALUE"""),1.56)</f>
        <v>1.56</v>
      </c>
      <c r="H94" s="2">
        <f ca="1">IFERROR(__xludf.DUMMYFUNCTION("""COMPUTED_VALUE"""),1.32)</f>
        <v>1.32</v>
      </c>
      <c r="I94" s="2">
        <f ca="1">IFERROR(__xludf.DUMMYFUNCTION("""COMPUTED_VALUE"""),1.67)</f>
        <v>1.67</v>
      </c>
      <c r="J94" s="2"/>
      <c r="K94" s="2">
        <f ca="1">IFERROR(__xludf.DUMMYFUNCTION("""COMPUTED_VALUE"""),71.57)</f>
        <v>71.569999999999993</v>
      </c>
      <c r="L94" s="2">
        <f ca="1">IFERROR(__xludf.DUMMYFUNCTION("""COMPUTED_VALUE"""),69.84)</f>
        <v>69.84</v>
      </c>
      <c r="M94" s="2">
        <f ca="1">IFERROR(__xludf.DUMMYFUNCTION("""COMPUTED_VALUE"""),74.18)</f>
        <v>74.180000000000007</v>
      </c>
      <c r="N94" s="2">
        <f ca="1">IFERROR(__xludf.DUMMYFUNCTION("""COMPUTED_VALUE"""),71.22)</f>
        <v>71.22</v>
      </c>
      <c r="O94" s="2">
        <f ca="1">IFERROR(__xludf.DUMMYFUNCTION("""COMPUTED_VALUE"""),72.85)</f>
        <v>72.849999999999994</v>
      </c>
      <c r="P94" s="2">
        <f ca="1">IFERROR(__xludf.DUMMYFUNCTION("""COMPUTED_VALUE"""),67.56)</f>
        <v>67.56</v>
      </c>
      <c r="Q94" s="2"/>
    </row>
    <row r="95" spans="1:17" ht="15.75" customHeight="1" x14ac:dyDescent="0.25">
      <c r="A95" s="2">
        <v>1507</v>
      </c>
      <c r="B95" s="2" t="str">
        <f ca="1">IFERROR(__xludf.DUMMYFUNCTION("""COMPUTED_VALUE"""),"JAMBI")</f>
        <v>JAMBI</v>
      </c>
      <c r="C95" s="2" t="str">
        <f ca="1">IFERROR(__xludf.DUMMYFUNCTION("""COMPUTED_VALUE"""),"Tanjung Jabung Barat")</f>
        <v>Tanjung Jabung Barat</v>
      </c>
      <c r="D95" s="2">
        <f ca="1">IFERROR(__xludf.DUMMYFUNCTION("""COMPUTED_VALUE"""),2.38)</f>
        <v>2.38</v>
      </c>
      <c r="E95" s="2">
        <f ca="1">IFERROR(__xludf.DUMMYFUNCTION("""COMPUTED_VALUE"""),2.57)</f>
        <v>2.57</v>
      </c>
      <c r="F95" s="2">
        <f ca="1">IFERROR(__xludf.DUMMYFUNCTION("""COMPUTED_VALUE"""),2.16)</f>
        <v>2.16</v>
      </c>
      <c r="G95" s="2">
        <f ca="1">IFERROR(__xludf.DUMMYFUNCTION("""COMPUTED_VALUE"""),2.53)</f>
        <v>2.5299999999999998</v>
      </c>
      <c r="H95" s="2">
        <f ca="1">IFERROR(__xludf.DUMMYFUNCTION("""COMPUTED_VALUE"""),2.88)</f>
        <v>2.88</v>
      </c>
      <c r="I95" s="2">
        <f ca="1">IFERROR(__xludf.DUMMYFUNCTION("""COMPUTED_VALUE"""),2.95)</f>
        <v>2.95</v>
      </c>
      <c r="J95" s="2"/>
      <c r="K95" s="2">
        <f ca="1">IFERROR(__xludf.DUMMYFUNCTION("""COMPUTED_VALUE"""),75.35)</f>
        <v>75.349999999999994</v>
      </c>
      <c r="L95" s="2">
        <f ca="1">IFERROR(__xludf.DUMMYFUNCTION("""COMPUTED_VALUE"""),70.42)</f>
        <v>70.42</v>
      </c>
      <c r="M95" s="2">
        <f ca="1">IFERROR(__xludf.DUMMYFUNCTION("""COMPUTED_VALUE"""),74.83)</f>
        <v>74.83</v>
      </c>
      <c r="N95" s="2">
        <f ca="1">IFERROR(__xludf.DUMMYFUNCTION("""COMPUTED_VALUE"""),73.89)</f>
        <v>73.89</v>
      </c>
      <c r="O95" s="2">
        <f ca="1">IFERROR(__xludf.DUMMYFUNCTION("""COMPUTED_VALUE"""),70)</f>
        <v>70</v>
      </c>
      <c r="P95" s="2">
        <f ca="1">IFERROR(__xludf.DUMMYFUNCTION("""COMPUTED_VALUE"""),70.17)</f>
        <v>70.17</v>
      </c>
      <c r="Q95" s="2"/>
    </row>
    <row r="96" spans="1:17" ht="15.75" customHeight="1" x14ac:dyDescent="0.25">
      <c r="A96" s="2">
        <v>1508</v>
      </c>
      <c r="B96" s="2" t="str">
        <f ca="1">IFERROR(__xludf.DUMMYFUNCTION("""COMPUTED_VALUE"""),"JAMBI")</f>
        <v>JAMBI</v>
      </c>
      <c r="C96" s="2" t="str">
        <f ca="1">IFERROR(__xludf.DUMMYFUNCTION("""COMPUTED_VALUE"""),"Tebo")</f>
        <v>Tebo</v>
      </c>
      <c r="D96" s="2">
        <f ca="1">IFERROR(__xludf.DUMMYFUNCTION("""COMPUTED_VALUE"""),2)</f>
        <v>2</v>
      </c>
      <c r="E96" s="2">
        <f ca="1">IFERROR(__xludf.DUMMYFUNCTION("""COMPUTED_VALUE"""),2.9)</f>
        <v>2.9</v>
      </c>
      <c r="F96" s="2">
        <f ca="1">IFERROR(__xludf.DUMMYFUNCTION("""COMPUTED_VALUE"""),2.95)</f>
        <v>2.95</v>
      </c>
      <c r="G96" s="2">
        <f ca="1">IFERROR(__xludf.DUMMYFUNCTION("""COMPUTED_VALUE"""),2.83)</f>
        <v>2.83</v>
      </c>
      <c r="H96" s="2">
        <f ca="1">IFERROR(__xludf.DUMMYFUNCTION("""COMPUTED_VALUE"""),1.38)</f>
        <v>1.38</v>
      </c>
      <c r="I96" s="2">
        <f ca="1">IFERROR(__xludf.DUMMYFUNCTION("""COMPUTED_VALUE"""),1.71)</f>
        <v>1.71</v>
      </c>
      <c r="J96" s="2"/>
      <c r="K96" s="2">
        <f ca="1">IFERROR(__xludf.DUMMYFUNCTION("""COMPUTED_VALUE"""),70.46)</f>
        <v>70.459999999999994</v>
      </c>
      <c r="L96" s="2">
        <f ca="1">IFERROR(__xludf.DUMMYFUNCTION("""COMPUTED_VALUE"""),70.17)</f>
        <v>70.17</v>
      </c>
      <c r="M96" s="2">
        <f ca="1">IFERROR(__xludf.DUMMYFUNCTION("""COMPUTED_VALUE"""),71.13)</f>
        <v>71.13</v>
      </c>
      <c r="N96" s="2">
        <f ca="1">IFERROR(__xludf.DUMMYFUNCTION("""COMPUTED_VALUE"""),70.65)</f>
        <v>70.650000000000006</v>
      </c>
      <c r="O96" s="2">
        <f ca="1">IFERROR(__xludf.DUMMYFUNCTION("""COMPUTED_VALUE"""),69.02)</f>
        <v>69.02</v>
      </c>
      <c r="P96" s="2">
        <f ca="1">IFERROR(__xludf.DUMMYFUNCTION("""COMPUTED_VALUE"""),70.13)</f>
        <v>70.13</v>
      </c>
      <c r="Q96" s="2"/>
    </row>
    <row r="97" spans="1:17" ht="15.75" customHeight="1" x14ac:dyDescent="0.25">
      <c r="A97" s="2">
        <v>1509</v>
      </c>
      <c r="B97" s="2" t="str">
        <f ca="1">IFERROR(__xludf.DUMMYFUNCTION("""COMPUTED_VALUE"""),"JAMBI")</f>
        <v>JAMBI</v>
      </c>
      <c r="C97" s="2" t="str">
        <f ca="1">IFERROR(__xludf.DUMMYFUNCTION("""COMPUTED_VALUE"""),"Bungo")</f>
        <v>Bungo</v>
      </c>
      <c r="D97" s="2">
        <f ca="1">IFERROR(__xludf.DUMMYFUNCTION("""COMPUTED_VALUE"""),3.03)</f>
        <v>3.03</v>
      </c>
      <c r="E97" s="2">
        <f ca="1">IFERROR(__xludf.DUMMYFUNCTION("""COMPUTED_VALUE"""),3.82)</f>
        <v>3.82</v>
      </c>
      <c r="F97" s="2">
        <f ca="1">IFERROR(__xludf.DUMMYFUNCTION("""COMPUTED_VALUE"""),5.94)</f>
        <v>5.94</v>
      </c>
      <c r="G97" s="2">
        <f ca="1">IFERROR(__xludf.DUMMYFUNCTION("""COMPUTED_VALUE"""),5.86)</f>
        <v>5.86</v>
      </c>
      <c r="H97" s="2">
        <f ca="1">IFERROR(__xludf.DUMMYFUNCTION("""COMPUTED_VALUE"""),5.5)</f>
        <v>5.5</v>
      </c>
      <c r="I97" s="2">
        <f ca="1">IFERROR(__xludf.DUMMYFUNCTION("""COMPUTED_VALUE"""),5.23)</f>
        <v>5.23</v>
      </c>
      <c r="J97" s="2"/>
      <c r="K97" s="2">
        <f ca="1">IFERROR(__xludf.DUMMYFUNCTION("""COMPUTED_VALUE"""),67.08)</f>
        <v>67.08</v>
      </c>
      <c r="L97" s="2">
        <f ca="1">IFERROR(__xludf.DUMMYFUNCTION("""COMPUTED_VALUE"""),63.78)</f>
        <v>63.78</v>
      </c>
      <c r="M97" s="2">
        <f ca="1">IFERROR(__xludf.DUMMYFUNCTION("""COMPUTED_VALUE"""),64.89)</f>
        <v>64.89</v>
      </c>
      <c r="N97" s="2">
        <f ca="1">IFERROR(__xludf.DUMMYFUNCTION("""COMPUTED_VALUE"""),63.58)</f>
        <v>63.58</v>
      </c>
      <c r="O97" s="2">
        <f ca="1">IFERROR(__xludf.DUMMYFUNCTION("""COMPUTED_VALUE"""),67.83)</f>
        <v>67.83</v>
      </c>
      <c r="P97" s="2">
        <f ca="1">IFERROR(__xludf.DUMMYFUNCTION("""COMPUTED_VALUE"""),70.3)</f>
        <v>70.3</v>
      </c>
      <c r="Q97" s="2"/>
    </row>
    <row r="98" spans="1:17" ht="15.75" customHeight="1" x14ac:dyDescent="0.25">
      <c r="A98" s="2">
        <v>1571</v>
      </c>
      <c r="B98" s="2" t="str">
        <f ca="1">IFERROR(__xludf.DUMMYFUNCTION("""COMPUTED_VALUE"""),"JAMBI")</f>
        <v>JAMBI</v>
      </c>
      <c r="C98" s="2" t="str">
        <f ca="1">IFERROR(__xludf.DUMMYFUNCTION("""COMPUTED_VALUE"""),"Kota Jambi")</f>
        <v>Kota Jambi</v>
      </c>
      <c r="D98" s="2">
        <f ca="1">IFERROR(__xludf.DUMMYFUNCTION("""COMPUTED_VALUE"""),6.41)</f>
        <v>6.41</v>
      </c>
      <c r="E98" s="2">
        <f ca="1">IFERROR(__xludf.DUMMYFUNCTION("""COMPUTED_VALUE"""),6.53)</f>
        <v>6.53</v>
      </c>
      <c r="F98" s="2">
        <f ca="1">IFERROR(__xludf.DUMMYFUNCTION("""COMPUTED_VALUE"""),10.49)</f>
        <v>10.49</v>
      </c>
      <c r="G98" s="2">
        <f ca="1">IFERROR(__xludf.DUMMYFUNCTION("""COMPUTED_VALUE"""),10.66)</f>
        <v>10.66</v>
      </c>
      <c r="H98" s="2">
        <f ca="1">IFERROR(__xludf.DUMMYFUNCTION("""COMPUTED_VALUE"""),8.95)</f>
        <v>8.9499999999999993</v>
      </c>
      <c r="I98" s="2">
        <f ca="1">IFERROR(__xludf.DUMMYFUNCTION("""COMPUTED_VALUE"""),8.27)</f>
        <v>8.27</v>
      </c>
      <c r="J98" s="2"/>
      <c r="K98" s="2">
        <f ca="1">IFERROR(__xludf.DUMMYFUNCTION("""COMPUTED_VALUE"""),65.11)</f>
        <v>65.11</v>
      </c>
      <c r="L98" s="2">
        <f ca="1">IFERROR(__xludf.DUMMYFUNCTION("""COMPUTED_VALUE"""),66.3)</f>
        <v>66.3</v>
      </c>
      <c r="M98" s="2">
        <f ca="1">IFERROR(__xludf.DUMMYFUNCTION("""COMPUTED_VALUE"""),64.12)</f>
        <v>64.12</v>
      </c>
      <c r="N98" s="2">
        <f ca="1">IFERROR(__xludf.DUMMYFUNCTION("""COMPUTED_VALUE"""),63.12)</f>
        <v>63.12</v>
      </c>
      <c r="O98" s="2">
        <f ca="1">IFERROR(__xludf.DUMMYFUNCTION("""COMPUTED_VALUE"""),64.52)</f>
        <v>64.52</v>
      </c>
      <c r="P98" s="2">
        <f ca="1">IFERROR(__xludf.DUMMYFUNCTION("""COMPUTED_VALUE"""),64.85)</f>
        <v>64.849999999999994</v>
      </c>
      <c r="Q98" s="2"/>
    </row>
    <row r="99" spans="1:17" ht="15.75" customHeight="1" x14ac:dyDescent="0.25">
      <c r="A99" s="2">
        <v>1572</v>
      </c>
      <c r="B99" s="2" t="str">
        <f ca="1">IFERROR(__xludf.DUMMYFUNCTION("""COMPUTED_VALUE"""),"JAMBI")</f>
        <v>JAMBI</v>
      </c>
      <c r="C99" s="2" t="str">
        <f ca="1">IFERROR(__xludf.DUMMYFUNCTION("""COMPUTED_VALUE"""),"Kota Sungai Penuh")</f>
        <v>Kota Sungai Penuh</v>
      </c>
      <c r="D99" s="2">
        <f ca="1">IFERROR(__xludf.DUMMYFUNCTION("""COMPUTED_VALUE"""),5.13)</f>
        <v>5.13</v>
      </c>
      <c r="E99" s="2">
        <f ca="1">IFERROR(__xludf.DUMMYFUNCTION("""COMPUTED_VALUE"""),4)</f>
        <v>4</v>
      </c>
      <c r="F99" s="2">
        <f ca="1">IFERROR(__xludf.DUMMYFUNCTION("""COMPUTED_VALUE"""),5.56)</f>
        <v>5.56</v>
      </c>
      <c r="G99" s="2">
        <f ca="1">IFERROR(__xludf.DUMMYFUNCTION("""COMPUTED_VALUE"""),3)</f>
        <v>3</v>
      </c>
      <c r="H99" s="2">
        <f ca="1">IFERROR(__xludf.DUMMYFUNCTION("""COMPUTED_VALUE"""),2.49)</f>
        <v>2.4900000000000002</v>
      </c>
      <c r="I99" s="2">
        <f ca="1">IFERROR(__xludf.DUMMYFUNCTION("""COMPUTED_VALUE"""),3.8)</f>
        <v>3.8</v>
      </c>
      <c r="J99" s="2"/>
      <c r="K99" s="2">
        <f ca="1">IFERROR(__xludf.DUMMYFUNCTION("""COMPUTED_VALUE"""),71.15)</f>
        <v>71.150000000000006</v>
      </c>
      <c r="L99" s="2">
        <f ca="1">IFERROR(__xludf.DUMMYFUNCTION("""COMPUTED_VALUE"""),63.18)</f>
        <v>63.18</v>
      </c>
      <c r="M99" s="2">
        <f ca="1">IFERROR(__xludf.DUMMYFUNCTION("""COMPUTED_VALUE"""),65.99)</f>
        <v>65.989999999999995</v>
      </c>
      <c r="N99" s="2">
        <f ca="1">IFERROR(__xludf.DUMMYFUNCTION("""COMPUTED_VALUE"""),64.92)</f>
        <v>64.92</v>
      </c>
      <c r="O99" s="2">
        <f ca="1">IFERROR(__xludf.DUMMYFUNCTION("""COMPUTED_VALUE"""),63.02)</f>
        <v>63.02</v>
      </c>
      <c r="P99" s="2">
        <f ca="1">IFERROR(__xludf.DUMMYFUNCTION("""COMPUTED_VALUE"""),68.24)</f>
        <v>68.239999999999995</v>
      </c>
      <c r="Q99" s="2"/>
    </row>
    <row r="100" spans="1:17" ht="15.75" customHeight="1" x14ac:dyDescent="0.25">
      <c r="A100" s="2">
        <v>1601</v>
      </c>
      <c r="B100" s="2" t="str">
        <f ca="1">IFERROR(__xludf.DUMMYFUNCTION("""COMPUTED_VALUE"""),"SUMATERA SELATAN")</f>
        <v>SUMATERA SELATAN</v>
      </c>
      <c r="C100" s="2" t="str">
        <f ca="1">IFERROR(__xludf.DUMMYFUNCTION("""COMPUTED_VALUE"""),"Ogan Komering Ulu")</f>
        <v>Ogan Komering Ulu</v>
      </c>
      <c r="D100" s="2">
        <f ca="1">IFERROR(__xludf.DUMMYFUNCTION("""COMPUTED_VALUE"""),4.68)</f>
        <v>4.68</v>
      </c>
      <c r="E100" s="2">
        <f ca="1">IFERROR(__xludf.DUMMYFUNCTION("""COMPUTED_VALUE"""),4.58)</f>
        <v>4.58</v>
      </c>
      <c r="F100" s="2">
        <f ca="1">IFERROR(__xludf.DUMMYFUNCTION("""COMPUTED_VALUE"""),6.01)</f>
        <v>6.01</v>
      </c>
      <c r="G100" s="2">
        <f ca="1">IFERROR(__xludf.DUMMYFUNCTION("""COMPUTED_VALUE"""),4.57)</f>
        <v>4.57</v>
      </c>
      <c r="H100" s="2">
        <f ca="1">IFERROR(__xludf.DUMMYFUNCTION("""COMPUTED_VALUE"""),4.39)</f>
        <v>4.3899999999999997</v>
      </c>
      <c r="I100" s="2">
        <f ca="1">IFERROR(__xludf.DUMMYFUNCTION("""COMPUTED_VALUE"""),4.13)</f>
        <v>4.13</v>
      </c>
      <c r="J100" s="2"/>
      <c r="K100" s="2">
        <f ca="1">IFERROR(__xludf.DUMMYFUNCTION("""COMPUTED_VALUE"""),66.2)</f>
        <v>66.2</v>
      </c>
      <c r="L100" s="2">
        <f ca="1">IFERROR(__xludf.DUMMYFUNCTION("""COMPUTED_VALUE"""),68.53)</f>
        <v>68.53</v>
      </c>
      <c r="M100" s="2">
        <f ca="1">IFERROR(__xludf.DUMMYFUNCTION("""COMPUTED_VALUE"""),70.5)</f>
        <v>70.5</v>
      </c>
      <c r="N100" s="2">
        <f ca="1">IFERROR(__xludf.DUMMYFUNCTION("""COMPUTED_VALUE"""),69.96)</f>
        <v>69.959999999999994</v>
      </c>
      <c r="O100" s="2">
        <f ca="1">IFERROR(__xludf.DUMMYFUNCTION("""COMPUTED_VALUE"""),69.9)</f>
        <v>69.900000000000006</v>
      </c>
      <c r="P100" s="2">
        <f ca="1">IFERROR(__xludf.DUMMYFUNCTION("""COMPUTED_VALUE"""),72.67)</f>
        <v>72.67</v>
      </c>
      <c r="Q100" s="2"/>
    </row>
    <row r="101" spans="1:17" ht="15.75" customHeight="1" x14ac:dyDescent="0.25">
      <c r="A101" s="2">
        <v>1602</v>
      </c>
      <c r="B101" s="2" t="str">
        <f ca="1">IFERROR(__xludf.DUMMYFUNCTION("""COMPUTED_VALUE"""),"SUMATERA SELATAN")</f>
        <v>SUMATERA SELATAN</v>
      </c>
      <c r="C101" s="2" t="str">
        <f ca="1">IFERROR(__xludf.DUMMYFUNCTION("""COMPUTED_VALUE"""),"Ogan Komering Ilir")</f>
        <v>Ogan Komering Ilir</v>
      </c>
      <c r="D101" s="2">
        <f ca="1">IFERROR(__xludf.DUMMYFUNCTION("""COMPUTED_VALUE"""),2.65)</f>
        <v>2.65</v>
      </c>
      <c r="E101" s="2">
        <f ca="1">IFERROR(__xludf.DUMMYFUNCTION("""COMPUTED_VALUE"""),2.98)</f>
        <v>2.98</v>
      </c>
      <c r="F101" s="2">
        <f ca="1">IFERROR(__xludf.DUMMYFUNCTION("""COMPUTED_VALUE"""),3.29)</f>
        <v>3.29</v>
      </c>
      <c r="G101" s="2">
        <f ca="1">IFERROR(__xludf.DUMMYFUNCTION("""COMPUTED_VALUE"""),3.01)</f>
        <v>3.01</v>
      </c>
      <c r="H101" s="2">
        <f ca="1">IFERROR(__xludf.DUMMYFUNCTION("""COMPUTED_VALUE"""),3.75)</f>
        <v>3.75</v>
      </c>
      <c r="I101" s="2">
        <f ca="1">IFERROR(__xludf.DUMMYFUNCTION("""COMPUTED_VALUE"""),3.23)</f>
        <v>3.23</v>
      </c>
      <c r="J101" s="2"/>
      <c r="K101" s="2">
        <f ca="1">IFERROR(__xludf.DUMMYFUNCTION("""COMPUTED_VALUE"""),70.28)</f>
        <v>70.28</v>
      </c>
      <c r="L101" s="2">
        <f ca="1">IFERROR(__xludf.DUMMYFUNCTION("""COMPUTED_VALUE"""),70.96)</f>
        <v>70.959999999999994</v>
      </c>
      <c r="M101" s="2">
        <f ca="1">IFERROR(__xludf.DUMMYFUNCTION("""COMPUTED_VALUE"""),65.25)</f>
        <v>65.25</v>
      </c>
      <c r="N101" s="2">
        <f ca="1">IFERROR(__xludf.DUMMYFUNCTION("""COMPUTED_VALUE"""),69.68)</f>
        <v>69.680000000000007</v>
      </c>
      <c r="O101" s="2">
        <f ca="1">IFERROR(__xludf.DUMMYFUNCTION("""COMPUTED_VALUE"""),68.79)</f>
        <v>68.790000000000006</v>
      </c>
      <c r="P101" s="2">
        <f ca="1">IFERROR(__xludf.DUMMYFUNCTION("""COMPUTED_VALUE"""),69.34)</f>
        <v>69.34</v>
      </c>
      <c r="Q101" s="2"/>
    </row>
    <row r="102" spans="1:17" ht="15.75" customHeight="1" x14ac:dyDescent="0.25">
      <c r="A102" s="2">
        <v>1603</v>
      </c>
      <c r="B102" s="2" t="str">
        <f ca="1">IFERROR(__xludf.DUMMYFUNCTION("""COMPUTED_VALUE"""),"SUMATERA SELATAN")</f>
        <v>SUMATERA SELATAN</v>
      </c>
      <c r="C102" s="2" t="str">
        <f ca="1">IFERROR(__xludf.DUMMYFUNCTION("""COMPUTED_VALUE"""),"Muara Enim")</f>
        <v>Muara Enim</v>
      </c>
      <c r="D102" s="2">
        <f ca="1">IFERROR(__xludf.DUMMYFUNCTION("""COMPUTED_VALUE"""),4.33)</f>
        <v>4.33</v>
      </c>
      <c r="E102" s="2">
        <f ca="1">IFERROR(__xludf.DUMMYFUNCTION("""COMPUTED_VALUE"""),4.84)</f>
        <v>4.84</v>
      </c>
      <c r="F102" s="2">
        <f ca="1">IFERROR(__xludf.DUMMYFUNCTION("""COMPUTED_VALUE"""),4.9)</f>
        <v>4.9000000000000004</v>
      </c>
      <c r="G102" s="2">
        <f ca="1">IFERROR(__xludf.DUMMYFUNCTION("""COMPUTED_VALUE"""),5.03)</f>
        <v>5.03</v>
      </c>
      <c r="H102" s="2">
        <f ca="1">IFERROR(__xludf.DUMMYFUNCTION("""COMPUTED_VALUE"""),4.12)</f>
        <v>4.12</v>
      </c>
      <c r="I102" s="2">
        <f ca="1">IFERROR(__xludf.DUMMYFUNCTION("""COMPUTED_VALUE"""),3.92)</f>
        <v>3.92</v>
      </c>
      <c r="J102" s="2"/>
      <c r="K102" s="2">
        <f ca="1">IFERROR(__xludf.DUMMYFUNCTION("""COMPUTED_VALUE"""),72.41)</f>
        <v>72.41</v>
      </c>
      <c r="L102" s="2">
        <f ca="1">IFERROR(__xludf.DUMMYFUNCTION("""COMPUTED_VALUE"""),70.21)</f>
        <v>70.209999999999994</v>
      </c>
      <c r="M102" s="2">
        <f ca="1">IFERROR(__xludf.DUMMYFUNCTION("""COMPUTED_VALUE"""),68.45)</f>
        <v>68.45</v>
      </c>
      <c r="N102" s="2">
        <f ca="1">IFERROR(__xludf.DUMMYFUNCTION("""COMPUTED_VALUE"""),69.57)</f>
        <v>69.569999999999993</v>
      </c>
      <c r="O102" s="2">
        <f ca="1">IFERROR(__xludf.DUMMYFUNCTION("""COMPUTED_VALUE"""),72.53)</f>
        <v>72.53</v>
      </c>
      <c r="P102" s="2">
        <f ca="1">IFERROR(__xludf.DUMMYFUNCTION("""COMPUTED_VALUE"""),72.99)</f>
        <v>72.989999999999995</v>
      </c>
      <c r="Q102" s="2"/>
    </row>
    <row r="103" spans="1:17" ht="15.75" customHeight="1" x14ac:dyDescent="0.25">
      <c r="A103" s="2">
        <v>1604</v>
      </c>
      <c r="B103" s="2" t="str">
        <f ca="1">IFERROR(__xludf.DUMMYFUNCTION("""COMPUTED_VALUE"""),"SUMATERA SELATAN")</f>
        <v>SUMATERA SELATAN</v>
      </c>
      <c r="C103" s="2" t="str">
        <f ca="1">IFERROR(__xludf.DUMMYFUNCTION("""COMPUTED_VALUE"""),"Lahat")</f>
        <v>Lahat</v>
      </c>
      <c r="D103" s="2">
        <f ca="1">IFERROR(__xludf.DUMMYFUNCTION("""COMPUTED_VALUE"""),3.35)</f>
        <v>3.35</v>
      </c>
      <c r="E103" s="2">
        <f ca="1">IFERROR(__xludf.DUMMYFUNCTION("""COMPUTED_VALUE"""),3.68)</f>
        <v>3.68</v>
      </c>
      <c r="F103" s="2">
        <f ca="1">IFERROR(__xludf.DUMMYFUNCTION("""COMPUTED_VALUE"""),4.18)</f>
        <v>4.18</v>
      </c>
      <c r="G103" s="2">
        <f ca="1">IFERROR(__xludf.DUMMYFUNCTION("""COMPUTED_VALUE"""),3.6)</f>
        <v>3.6</v>
      </c>
      <c r="H103" s="2">
        <f ca="1">IFERROR(__xludf.DUMMYFUNCTION("""COMPUTED_VALUE"""),4.02)</f>
        <v>4.0199999999999996</v>
      </c>
      <c r="I103" s="2">
        <f ca="1">IFERROR(__xludf.DUMMYFUNCTION("""COMPUTED_VALUE"""),3.41)</f>
        <v>3.41</v>
      </c>
      <c r="J103" s="2"/>
      <c r="K103" s="2">
        <f ca="1">IFERROR(__xludf.DUMMYFUNCTION("""COMPUTED_VALUE"""),74.5)</f>
        <v>74.5</v>
      </c>
      <c r="L103" s="2">
        <f ca="1">IFERROR(__xludf.DUMMYFUNCTION("""COMPUTED_VALUE"""),71.14)</f>
        <v>71.14</v>
      </c>
      <c r="M103" s="2">
        <f ca="1">IFERROR(__xludf.DUMMYFUNCTION("""COMPUTED_VALUE"""),71.79)</f>
        <v>71.790000000000006</v>
      </c>
      <c r="N103" s="2">
        <f ca="1">IFERROR(__xludf.DUMMYFUNCTION("""COMPUTED_VALUE"""),69.54)</f>
        <v>69.540000000000006</v>
      </c>
      <c r="O103" s="2">
        <f ca="1">IFERROR(__xludf.DUMMYFUNCTION("""COMPUTED_VALUE"""),70.73)</f>
        <v>70.73</v>
      </c>
      <c r="P103" s="2">
        <f ca="1">IFERROR(__xludf.DUMMYFUNCTION("""COMPUTED_VALUE"""),74.79)</f>
        <v>74.790000000000006</v>
      </c>
      <c r="Q103" s="2"/>
    </row>
    <row r="104" spans="1:17" ht="15.75" customHeight="1" x14ac:dyDescent="0.25">
      <c r="A104" s="2">
        <v>1605</v>
      </c>
      <c r="B104" s="2" t="str">
        <f ca="1">IFERROR(__xludf.DUMMYFUNCTION("""COMPUTED_VALUE"""),"SUMATERA SELATAN")</f>
        <v>SUMATERA SELATAN</v>
      </c>
      <c r="C104" s="2" t="str">
        <f ca="1">IFERROR(__xludf.DUMMYFUNCTION("""COMPUTED_VALUE"""),"Musi Rawas")</f>
        <v>Musi Rawas</v>
      </c>
      <c r="D104" s="2">
        <f ca="1">IFERROR(__xludf.DUMMYFUNCTION("""COMPUTED_VALUE"""),3.26)</f>
        <v>3.26</v>
      </c>
      <c r="E104" s="2">
        <f ca="1">IFERROR(__xludf.DUMMYFUNCTION("""COMPUTED_VALUE"""),2.93)</f>
        <v>2.93</v>
      </c>
      <c r="F104" s="2">
        <f ca="1">IFERROR(__xludf.DUMMYFUNCTION("""COMPUTED_VALUE"""),3.29)</f>
        <v>3.29</v>
      </c>
      <c r="G104" s="2">
        <f ca="1">IFERROR(__xludf.DUMMYFUNCTION("""COMPUTED_VALUE"""),2.78)</f>
        <v>2.78</v>
      </c>
      <c r="H104" s="2">
        <f ca="1">IFERROR(__xludf.DUMMYFUNCTION("""COMPUTED_VALUE"""),1.92)</f>
        <v>1.92</v>
      </c>
      <c r="I104" s="2">
        <f ca="1">IFERROR(__xludf.DUMMYFUNCTION("""COMPUTED_VALUE"""),1.95)</f>
        <v>1.95</v>
      </c>
      <c r="J104" s="2"/>
      <c r="K104" s="2">
        <f ca="1">IFERROR(__xludf.DUMMYFUNCTION("""COMPUTED_VALUE"""),74.09)</f>
        <v>74.09</v>
      </c>
      <c r="L104" s="2">
        <f ca="1">IFERROR(__xludf.DUMMYFUNCTION("""COMPUTED_VALUE"""),71.39)</f>
        <v>71.39</v>
      </c>
      <c r="M104" s="2">
        <f ca="1">IFERROR(__xludf.DUMMYFUNCTION("""COMPUTED_VALUE"""),71.8)</f>
        <v>71.8</v>
      </c>
      <c r="N104" s="2">
        <f ca="1">IFERROR(__xludf.DUMMYFUNCTION("""COMPUTED_VALUE"""),70.53)</f>
        <v>70.53</v>
      </c>
      <c r="O104" s="2">
        <f ca="1">IFERROR(__xludf.DUMMYFUNCTION("""COMPUTED_VALUE"""),69.06)</f>
        <v>69.06</v>
      </c>
      <c r="P104" s="2">
        <f ca="1">IFERROR(__xludf.DUMMYFUNCTION("""COMPUTED_VALUE"""),68.36)</f>
        <v>68.36</v>
      </c>
      <c r="Q104" s="2"/>
    </row>
    <row r="105" spans="1:17" ht="15.75" customHeight="1" x14ac:dyDescent="0.25">
      <c r="A105" s="2">
        <v>1606</v>
      </c>
      <c r="B105" s="2" t="str">
        <f ca="1">IFERROR(__xludf.DUMMYFUNCTION("""COMPUTED_VALUE"""),"SUMATERA SELATAN")</f>
        <v>SUMATERA SELATAN</v>
      </c>
      <c r="C105" s="2" t="str">
        <f ca="1">IFERROR(__xludf.DUMMYFUNCTION("""COMPUTED_VALUE"""),"Musi Banyuasin")</f>
        <v>Musi Banyuasin</v>
      </c>
      <c r="D105" s="2">
        <f ca="1">IFERROR(__xludf.DUMMYFUNCTION("""COMPUTED_VALUE"""),3.33)</f>
        <v>3.33</v>
      </c>
      <c r="E105" s="2">
        <f ca="1">IFERROR(__xludf.DUMMYFUNCTION("""COMPUTED_VALUE"""),4.15)</f>
        <v>4.1500000000000004</v>
      </c>
      <c r="F105" s="2">
        <f ca="1">IFERROR(__xludf.DUMMYFUNCTION("""COMPUTED_VALUE"""),4.79)</f>
        <v>4.79</v>
      </c>
      <c r="G105" s="2">
        <f ca="1">IFERROR(__xludf.DUMMYFUNCTION("""COMPUTED_VALUE"""),3.99)</f>
        <v>3.99</v>
      </c>
      <c r="H105" s="2">
        <f ca="1">IFERROR(__xludf.DUMMYFUNCTION("""COMPUTED_VALUE"""),4.4)</f>
        <v>4.4000000000000004</v>
      </c>
      <c r="I105" s="2">
        <f ca="1">IFERROR(__xludf.DUMMYFUNCTION("""COMPUTED_VALUE"""),2.58)</f>
        <v>2.58</v>
      </c>
      <c r="J105" s="2"/>
      <c r="K105" s="2">
        <f ca="1">IFERROR(__xludf.DUMMYFUNCTION("""COMPUTED_VALUE"""),65.14)</f>
        <v>65.14</v>
      </c>
      <c r="L105" s="2">
        <f ca="1">IFERROR(__xludf.DUMMYFUNCTION("""COMPUTED_VALUE"""),66.16)</f>
        <v>66.16</v>
      </c>
      <c r="M105" s="2">
        <f ca="1">IFERROR(__xludf.DUMMYFUNCTION("""COMPUTED_VALUE"""),70.61)</f>
        <v>70.61</v>
      </c>
      <c r="N105" s="2">
        <f ca="1">IFERROR(__xludf.DUMMYFUNCTION("""COMPUTED_VALUE"""),69.18)</f>
        <v>69.180000000000007</v>
      </c>
      <c r="O105" s="2">
        <f ca="1">IFERROR(__xludf.DUMMYFUNCTION("""COMPUTED_VALUE"""),71.12)</f>
        <v>71.12</v>
      </c>
      <c r="P105" s="2">
        <f ca="1">IFERROR(__xludf.DUMMYFUNCTION("""COMPUTED_VALUE"""),72.63)</f>
        <v>72.63</v>
      </c>
      <c r="Q105" s="2"/>
    </row>
    <row r="106" spans="1:17" ht="15.75" customHeight="1" x14ac:dyDescent="0.25">
      <c r="A106" s="2">
        <v>1607</v>
      </c>
      <c r="B106" s="2" t="str">
        <f ca="1">IFERROR(__xludf.DUMMYFUNCTION("""COMPUTED_VALUE"""),"SUMATERA SELATAN")</f>
        <v>SUMATERA SELATAN</v>
      </c>
      <c r="C106" s="2" t="s">
        <v>54</v>
      </c>
      <c r="D106" s="2">
        <f ca="1">IFERROR(__xludf.DUMMYFUNCTION("""COMPUTED_VALUE"""),3.86)</f>
        <v>3.86</v>
      </c>
      <c r="E106" s="2">
        <f ca="1">IFERROR(__xludf.DUMMYFUNCTION("""COMPUTED_VALUE"""),3.94)</f>
        <v>3.94</v>
      </c>
      <c r="F106" s="2">
        <f ca="1">IFERROR(__xludf.DUMMYFUNCTION("""COMPUTED_VALUE"""),4.73)</f>
        <v>4.7300000000000004</v>
      </c>
      <c r="G106" s="2">
        <f ca="1">IFERROR(__xludf.DUMMYFUNCTION("""COMPUTED_VALUE"""),3.84)</f>
        <v>3.84</v>
      </c>
      <c r="H106" s="2">
        <f ca="1">IFERROR(__xludf.DUMMYFUNCTION("""COMPUTED_VALUE"""),3.39)</f>
        <v>3.39</v>
      </c>
      <c r="I106" s="2">
        <f ca="1">IFERROR(__xludf.DUMMYFUNCTION("""COMPUTED_VALUE"""),3.35)</f>
        <v>3.35</v>
      </c>
      <c r="J106" s="2"/>
      <c r="K106" s="2">
        <f ca="1">IFERROR(__xludf.DUMMYFUNCTION("""COMPUTED_VALUE"""),66.13)</f>
        <v>66.13</v>
      </c>
      <c r="L106" s="2">
        <f ca="1">IFERROR(__xludf.DUMMYFUNCTION("""COMPUTED_VALUE"""),63.36)</f>
        <v>63.36</v>
      </c>
      <c r="M106" s="2">
        <f ca="1">IFERROR(__xludf.DUMMYFUNCTION("""COMPUTED_VALUE"""),64.1)</f>
        <v>64.099999999999994</v>
      </c>
      <c r="N106" s="2">
        <f ca="1">IFERROR(__xludf.DUMMYFUNCTION("""COMPUTED_VALUE"""),65.54)</f>
        <v>65.540000000000006</v>
      </c>
      <c r="O106" s="2">
        <f ca="1">IFERROR(__xludf.DUMMYFUNCTION("""COMPUTED_VALUE"""),64.32)</f>
        <v>64.319999999999993</v>
      </c>
      <c r="P106" s="2">
        <f ca="1">IFERROR(__xludf.DUMMYFUNCTION("""COMPUTED_VALUE"""),62.68)</f>
        <v>62.68</v>
      </c>
      <c r="Q106" s="2"/>
    </row>
    <row r="107" spans="1:17" ht="15.75" customHeight="1" x14ac:dyDescent="0.25">
      <c r="A107" s="2">
        <v>1608</v>
      </c>
      <c r="B107" s="2" t="str">
        <f ca="1">IFERROR(__xludf.DUMMYFUNCTION("""COMPUTED_VALUE"""),"SUMATERA SELATAN")</f>
        <v>SUMATERA SELATAN</v>
      </c>
      <c r="C107" s="2" t="str">
        <f ca="1">IFERROR(__xludf.DUMMYFUNCTION("""COMPUTED_VALUE"""),"Ogan Komering Ulu Selatan")</f>
        <v>Ogan Komering Ulu Selatan</v>
      </c>
      <c r="D107" s="2">
        <f ca="1">IFERROR(__xludf.DUMMYFUNCTION("""COMPUTED_VALUE"""),4.2)</f>
        <v>4.2</v>
      </c>
      <c r="E107" s="2">
        <f ca="1">IFERROR(__xludf.DUMMYFUNCTION("""COMPUTED_VALUE"""),2.99)</f>
        <v>2.99</v>
      </c>
      <c r="F107" s="2">
        <f ca="1">IFERROR(__xludf.DUMMYFUNCTION("""COMPUTED_VALUE"""),3.28)</f>
        <v>3.28</v>
      </c>
      <c r="G107" s="2">
        <f ca="1">IFERROR(__xludf.DUMMYFUNCTION("""COMPUTED_VALUE"""),3.23)</f>
        <v>3.23</v>
      </c>
      <c r="H107" s="2">
        <f ca="1">IFERROR(__xludf.DUMMYFUNCTION("""COMPUTED_VALUE"""),1.83)</f>
        <v>1.83</v>
      </c>
      <c r="I107" s="2">
        <f ca="1">IFERROR(__xludf.DUMMYFUNCTION("""COMPUTED_VALUE"""),1.81)</f>
        <v>1.81</v>
      </c>
      <c r="J107" s="2"/>
      <c r="K107" s="2">
        <f ca="1">IFERROR(__xludf.DUMMYFUNCTION("""COMPUTED_VALUE"""),76.7)</f>
        <v>76.7</v>
      </c>
      <c r="L107" s="2">
        <f ca="1">IFERROR(__xludf.DUMMYFUNCTION("""COMPUTED_VALUE"""),76.82)</f>
        <v>76.819999999999993</v>
      </c>
      <c r="M107" s="2">
        <f ca="1">IFERROR(__xludf.DUMMYFUNCTION("""COMPUTED_VALUE"""),71.47)</f>
        <v>71.47</v>
      </c>
      <c r="N107" s="2">
        <f ca="1">IFERROR(__xludf.DUMMYFUNCTION("""COMPUTED_VALUE"""),76.17)</f>
        <v>76.17</v>
      </c>
      <c r="O107" s="2">
        <f ca="1">IFERROR(__xludf.DUMMYFUNCTION("""COMPUTED_VALUE"""),72.99)</f>
        <v>72.989999999999995</v>
      </c>
      <c r="P107" s="2">
        <f ca="1">IFERROR(__xludf.DUMMYFUNCTION("""COMPUTED_VALUE"""),75.56)</f>
        <v>75.56</v>
      </c>
      <c r="Q107" s="2"/>
    </row>
    <row r="108" spans="1:17" ht="15.75" customHeight="1" x14ac:dyDescent="0.25">
      <c r="A108" s="2">
        <v>1609</v>
      </c>
      <c r="B108" s="2" t="str">
        <f ca="1">IFERROR(__xludf.DUMMYFUNCTION("""COMPUTED_VALUE"""),"SUMATERA SELATAN")</f>
        <v>SUMATERA SELATAN</v>
      </c>
      <c r="C108" s="2" t="str">
        <f ca="1">IFERROR(__xludf.DUMMYFUNCTION("""COMPUTED_VALUE"""),"Ogan Komering Ulu Timur")</f>
        <v>Ogan Komering Ulu Timur</v>
      </c>
      <c r="D108" s="2">
        <f ca="1">IFERROR(__xludf.DUMMYFUNCTION("""COMPUTED_VALUE"""),3.55)</f>
        <v>3.55</v>
      </c>
      <c r="E108" s="2">
        <f ca="1">IFERROR(__xludf.DUMMYFUNCTION("""COMPUTED_VALUE"""),3.46)</f>
        <v>3.46</v>
      </c>
      <c r="F108" s="2">
        <f ca="1">IFERROR(__xludf.DUMMYFUNCTION("""COMPUTED_VALUE"""),3.81)</f>
        <v>3.81</v>
      </c>
      <c r="G108" s="2">
        <f ca="1">IFERROR(__xludf.DUMMYFUNCTION("""COMPUTED_VALUE"""),3.18)</f>
        <v>3.18</v>
      </c>
      <c r="H108" s="2">
        <f ca="1">IFERROR(__xludf.DUMMYFUNCTION("""COMPUTED_VALUE"""),4.79)</f>
        <v>4.79</v>
      </c>
      <c r="I108" s="2">
        <f ca="1">IFERROR(__xludf.DUMMYFUNCTION("""COMPUTED_VALUE"""),3.96)</f>
        <v>3.96</v>
      </c>
      <c r="J108" s="2"/>
      <c r="K108" s="2">
        <f ca="1">IFERROR(__xludf.DUMMYFUNCTION("""COMPUTED_VALUE"""),70.24)</f>
        <v>70.239999999999995</v>
      </c>
      <c r="L108" s="2">
        <f ca="1">IFERROR(__xludf.DUMMYFUNCTION("""COMPUTED_VALUE"""),66.84)</f>
        <v>66.84</v>
      </c>
      <c r="M108" s="2">
        <f ca="1">IFERROR(__xludf.DUMMYFUNCTION("""COMPUTED_VALUE"""),71.7)</f>
        <v>71.7</v>
      </c>
      <c r="N108" s="2">
        <f ca="1">IFERROR(__xludf.DUMMYFUNCTION("""COMPUTED_VALUE"""),71.31)</f>
        <v>71.31</v>
      </c>
      <c r="O108" s="2">
        <f ca="1">IFERROR(__xludf.DUMMYFUNCTION("""COMPUTED_VALUE"""),67.93)</f>
        <v>67.930000000000007</v>
      </c>
      <c r="P108" s="2">
        <f ca="1">IFERROR(__xludf.DUMMYFUNCTION("""COMPUTED_VALUE"""),76.53)</f>
        <v>76.53</v>
      </c>
      <c r="Q108" s="2"/>
    </row>
    <row r="109" spans="1:17" ht="15.75" customHeight="1" x14ac:dyDescent="0.25">
      <c r="A109" s="2">
        <v>1610</v>
      </c>
      <c r="B109" s="2" t="str">
        <f ca="1">IFERROR(__xludf.DUMMYFUNCTION("""COMPUTED_VALUE"""),"SUMATERA SELATAN")</f>
        <v>SUMATERA SELATAN</v>
      </c>
      <c r="C109" s="2" t="str">
        <f ca="1">IFERROR(__xludf.DUMMYFUNCTION("""COMPUTED_VALUE"""),"Ogan Ilir")</f>
        <v>Ogan Ilir</v>
      </c>
      <c r="D109" s="2">
        <f ca="1">IFERROR(__xludf.DUMMYFUNCTION("""COMPUTED_VALUE"""),2.47)</f>
        <v>2.4700000000000002</v>
      </c>
      <c r="E109" s="2">
        <f ca="1">IFERROR(__xludf.DUMMYFUNCTION("""COMPUTED_VALUE"""),3.29)</f>
        <v>3.29</v>
      </c>
      <c r="F109" s="2">
        <f ca="1">IFERROR(__xludf.DUMMYFUNCTION("""COMPUTED_VALUE"""),4.91)</f>
        <v>4.91</v>
      </c>
      <c r="G109" s="2">
        <f ca="1">IFERROR(__xludf.DUMMYFUNCTION("""COMPUTED_VALUE"""),3.07)</f>
        <v>3.07</v>
      </c>
      <c r="H109" s="2">
        <f ca="1">IFERROR(__xludf.DUMMYFUNCTION("""COMPUTED_VALUE"""),2.15)</f>
        <v>2.15</v>
      </c>
      <c r="I109" s="2">
        <f ca="1">IFERROR(__xludf.DUMMYFUNCTION("""COMPUTED_VALUE"""),2.1)</f>
        <v>2.1</v>
      </c>
      <c r="J109" s="2"/>
      <c r="K109" s="2">
        <f ca="1">IFERROR(__xludf.DUMMYFUNCTION("""COMPUTED_VALUE"""),72.8)</f>
        <v>72.8</v>
      </c>
      <c r="L109" s="2">
        <f ca="1">IFERROR(__xludf.DUMMYFUNCTION("""COMPUTED_VALUE"""),72.61)</f>
        <v>72.61</v>
      </c>
      <c r="M109" s="2">
        <f ca="1">IFERROR(__xludf.DUMMYFUNCTION("""COMPUTED_VALUE"""),70.02)</f>
        <v>70.02</v>
      </c>
      <c r="N109" s="2">
        <f ca="1">IFERROR(__xludf.DUMMYFUNCTION("""COMPUTED_VALUE"""),68.48)</f>
        <v>68.48</v>
      </c>
      <c r="O109" s="2">
        <f ca="1">IFERROR(__xludf.DUMMYFUNCTION("""COMPUTED_VALUE"""),81.1)</f>
        <v>81.099999999999994</v>
      </c>
      <c r="P109" s="2">
        <f ca="1">IFERROR(__xludf.DUMMYFUNCTION("""COMPUTED_VALUE"""),73.38)</f>
        <v>73.38</v>
      </c>
      <c r="Q109" s="2"/>
    </row>
    <row r="110" spans="1:17" ht="15.75" customHeight="1" x14ac:dyDescent="0.25">
      <c r="A110" s="2">
        <v>1611</v>
      </c>
      <c r="B110" s="2" t="str">
        <f ca="1">IFERROR(__xludf.DUMMYFUNCTION("""COMPUTED_VALUE"""),"SUMATERA SELATAN")</f>
        <v>SUMATERA SELATAN</v>
      </c>
      <c r="C110" s="2" t="str">
        <f ca="1">IFERROR(__xludf.DUMMYFUNCTION("""COMPUTED_VALUE"""),"Empat Lawang")</f>
        <v>Empat Lawang</v>
      </c>
      <c r="D110" s="2">
        <f ca="1">IFERROR(__xludf.DUMMYFUNCTION("""COMPUTED_VALUE"""),2.29)</f>
        <v>2.29</v>
      </c>
      <c r="E110" s="2">
        <f ca="1">IFERROR(__xludf.DUMMYFUNCTION("""COMPUTED_VALUE"""),2.66)</f>
        <v>2.66</v>
      </c>
      <c r="F110" s="2">
        <f ca="1">IFERROR(__xludf.DUMMYFUNCTION("""COMPUTED_VALUE"""),3.61)</f>
        <v>3.61</v>
      </c>
      <c r="G110" s="2">
        <f ca="1">IFERROR(__xludf.DUMMYFUNCTION("""COMPUTED_VALUE"""),2.41)</f>
        <v>2.41</v>
      </c>
      <c r="H110" s="2">
        <f ca="1">IFERROR(__xludf.DUMMYFUNCTION("""COMPUTED_VALUE"""),3.59)</f>
        <v>3.59</v>
      </c>
      <c r="I110" s="2">
        <f ca="1">IFERROR(__xludf.DUMMYFUNCTION("""COMPUTED_VALUE"""),3.09)</f>
        <v>3.09</v>
      </c>
      <c r="J110" s="2"/>
      <c r="K110" s="2">
        <f ca="1">IFERROR(__xludf.DUMMYFUNCTION("""COMPUTED_VALUE"""),74.81)</f>
        <v>74.81</v>
      </c>
      <c r="L110" s="2">
        <f ca="1">IFERROR(__xludf.DUMMYFUNCTION("""COMPUTED_VALUE"""),71.72)</f>
        <v>71.72</v>
      </c>
      <c r="M110" s="2">
        <f ca="1">IFERROR(__xludf.DUMMYFUNCTION("""COMPUTED_VALUE"""),75.89)</f>
        <v>75.89</v>
      </c>
      <c r="N110" s="2">
        <f ca="1">IFERROR(__xludf.DUMMYFUNCTION("""COMPUTED_VALUE"""),72.3)</f>
        <v>72.3</v>
      </c>
      <c r="O110" s="2">
        <f ca="1">IFERROR(__xludf.DUMMYFUNCTION("""COMPUTED_VALUE"""),71.17)</f>
        <v>71.17</v>
      </c>
      <c r="P110" s="2">
        <f ca="1">IFERROR(__xludf.DUMMYFUNCTION("""COMPUTED_VALUE"""),72.41)</f>
        <v>72.41</v>
      </c>
      <c r="Q110" s="2"/>
    </row>
    <row r="111" spans="1:17" ht="15.75" customHeight="1" x14ac:dyDescent="0.25">
      <c r="A111" s="2">
        <v>1612</v>
      </c>
      <c r="B111" s="2" t="str">
        <f ca="1">IFERROR(__xludf.DUMMYFUNCTION("""COMPUTED_VALUE"""),"SUMATERA SELATAN")</f>
        <v>SUMATERA SELATAN</v>
      </c>
      <c r="C111" s="2" t="str">
        <f ca="1">IFERROR(__xludf.DUMMYFUNCTION("""COMPUTED_VALUE"""),"Penukal Abab Lematang Ilir")</f>
        <v>Penukal Abab Lematang Ilir</v>
      </c>
      <c r="D111" s="2">
        <f ca="1">IFERROR(__xludf.DUMMYFUNCTION("""COMPUTED_VALUE"""),3.83)</f>
        <v>3.83</v>
      </c>
      <c r="E111" s="2">
        <f ca="1">IFERROR(__xludf.DUMMYFUNCTION("""COMPUTED_VALUE"""),4.14)</f>
        <v>4.1399999999999997</v>
      </c>
      <c r="F111" s="2">
        <f ca="1">IFERROR(__xludf.DUMMYFUNCTION("""COMPUTED_VALUE"""),3.74)</f>
        <v>3.74</v>
      </c>
      <c r="G111" s="2">
        <f ca="1">IFERROR(__xludf.DUMMYFUNCTION("""COMPUTED_VALUE"""),3.61)</f>
        <v>3.61</v>
      </c>
      <c r="H111" s="2">
        <f ca="1">IFERROR(__xludf.DUMMYFUNCTION("""COMPUTED_VALUE"""),4.31)</f>
        <v>4.3099999999999996</v>
      </c>
      <c r="I111" s="2">
        <f ca="1">IFERROR(__xludf.DUMMYFUNCTION("""COMPUTED_VALUE"""),3.99)</f>
        <v>3.99</v>
      </c>
      <c r="J111" s="2"/>
      <c r="K111" s="2">
        <f ca="1">IFERROR(__xludf.DUMMYFUNCTION("""COMPUTED_VALUE"""),76.29)</f>
        <v>76.290000000000006</v>
      </c>
      <c r="L111" s="2">
        <f ca="1">IFERROR(__xludf.DUMMYFUNCTION("""COMPUTED_VALUE"""),73.49)</f>
        <v>73.489999999999995</v>
      </c>
      <c r="M111" s="2">
        <f ca="1">IFERROR(__xludf.DUMMYFUNCTION("""COMPUTED_VALUE"""),77.7)</f>
        <v>77.7</v>
      </c>
      <c r="N111" s="2">
        <f ca="1">IFERROR(__xludf.DUMMYFUNCTION("""COMPUTED_VALUE"""),73.13)</f>
        <v>73.13</v>
      </c>
      <c r="O111" s="2">
        <f ca="1">IFERROR(__xludf.DUMMYFUNCTION("""COMPUTED_VALUE"""),79.82)</f>
        <v>79.819999999999993</v>
      </c>
      <c r="P111" s="2">
        <f ca="1">IFERROR(__xludf.DUMMYFUNCTION("""COMPUTED_VALUE"""),79.39)</f>
        <v>79.39</v>
      </c>
      <c r="Q111" s="2"/>
    </row>
    <row r="112" spans="1:17" ht="15.75" customHeight="1" x14ac:dyDescent="0.25">
      <c r="A112" s="2">
        <v>1613</v>
      </c>
      <c r="B112" s="2" t="str">
        <f ca="1">IFERROR(__xludf.DUMMYFUNCTION("""COMPUTED_VALUE"""),"SUMATERA SELATAN")</f>
        <v>SUMATERA SELATAN</v>
      </c>
      <c r="C112" s="2" t="str">
        <f ca="1">IFERROR(__xludf.DUMMYFUNCTION("""COMPUTED_VALUE"""),"Musi Rawas Utara")</f>
        <v>Musi Rawas Utara</v>
      </c>
      <c r="D112" s="2">
        <f ca="1">IFERROR(__xludf.DUMMYFUNCTION("""COMPUTED_VALUE"""),4.19)</f>
        <v>4.1900000000000004</v>
      </c>
      <c r="E112" s="2">
        <f ca="1">IFERROR(__xludf.DUMMYFUNCTION("""COMPUTED_VALUE"""),3.81)</f>
        <v>3.81</v>
      </c>
      <c r="F112" s="2">
        <f ca="1">IFERROR(__xludf.DUMMYFUNCTION("""COMPUTED_VALUE"""),6.88)</f>
        <v>6.88</v>
      </c>
      <c r="G112" s="2">
        <f ca="1">IFERROR(__xludf.DUMMYFUNCTION("""COMPUTED_VALUE"""),6.72)</f>
        <v>6.72</v>
      </c>
      <c r="H112" s="2">
        <f ca="1">IFERROR(__xludf.DUMMYFUNCTION("""COMPUTED_VALUE"""),5.29)</f>
        <v>5.29</v>
      </c>
      <c r="I112" s="2">
        <f ca="1">IFERROR(__xludf.DUMMYFUNCTION("""COMPUTED_VALUE"""),5.11)</f>
        <v>5.1100000000000003</v>
      </c>
      <c r="J112" s="2"/>
      <c r="K112" s="2">
        <f ca="1">IFERROR(__xludf.DUMMYFUNCTION("""COMPUTED_VALUE"""),69.96)</f>
        <v>69.959999999999994</v>
      </c>
      <c r="L112" s="2">
        <f ca="1">IFERROR(__xludf.DUMMYFUNCTION("""COMPUTED_VALUE"""),70.39)</f>
        <v>70.39</v>
      </c>
      <c r="M112" s="2">
        <f ca="1">IFERROR(__xludf.DUMMYFUNCTION("""COMPUTED_VALUE"""),71.87)</f>
        <v>71.87</v>
      </c>
      <c r="N112" s="2">
        <f ca="1">IFERROR(__xludf.DUMMYFUNCTION("""COMPUTED_VALUE"""),69.69)</f>
        <v>69.69</v>
      </c>
      <c r="O112" s="2">
        <f ca="1">IFERROR(__xludf.DUMMYFUNCTION("""COMPUTED_VALUE"""),73.06)</f>
        <v>73.06</v>
      </c>
      <c r="P112" s="2">
        <f ca="1">IFERROR(__xludf.DUMMYFUNCTION("""COMPUTED_VALUE"""),70.12)</f>
        <v>70.12</v>
      </c>
      <c r="Q112" s="2"/>
    </row>
    <row r="113" spans="1:17" ht="15.75" customHeight="1" x14ac:dyDescent="0.25">
      <c r="A113" s="2">
        <v>1671</v>
      </c>
      <c r="B113" s="2" t="str">
        <f ca="1">IFERROR(__xludf.DUMMYFUNCTION("""COMPUTED_VALUE"""),"SUMATERA SELATAN")</f>
        <v>SUMATERA SELATAN</v>
      </c>
      <c r="C113" s="2" t="str">
        <f ca="1">IFERROR(__xludf.DUMMYFUNCTION("""COMPUTED_VALUE"""),"Kota Palembang")</f>
        <v>Kota Palembang</v>
      </c>
      <c r="D113" s="2">
        <f ca="1">IFERROR(__xludf.DUMMYFUNCTION("""COMPUTED_VALUE"""),7.26)</f>
        <v>7.26</v>
      </c>
      <c r="E113" s="2">
        <f ca="1">IFERROR(__xludf.DUMMYFUNCTION("""COMPUTED_VALUE"""),8.01)</f>
        <v>8.01</v>
      </c>
      <c r="F113" s="2">
        <f ca="1">IFERROR(__xludf.DUMMYFUNCTION("""COMPUTED_VALUE"""),9.86)</f>
        <v>9.86</v>
      </c>
      <c r="G113" s="2">
        <f ca="1">IFERROR(__xludf.DUMMYFUNCTION("""COMPUTED_VALUE"""),10.11)</f>
        <v>10.11</v>
      </c>
      <c r="H113" s="2">
        <f ca="1">IFERROR(__xludf.DUMMYFUNCTION("""COMPUTED_VALUE"""),8.2)</f>
        <v>8.1999999999999993</v>
      </c>
      <c r="I113" s="2">
        <f ca="1">IFERROR(__xludf.DUMMYFUNCTION("""COMPUTED_VALUE"""),7.49)</f>
        <v>7.49</v>
      </c>
      <c r="J113" s="2"/>
      <c r="K113" s="2">
        <f ca="1">IFERROR(__xludf.DUMMYFUNCTION("""COMPUTED_VALUE"""),60.42)</f>
        <v>60.42</v>
      </c>
      <c r="L113" s="2">
        <f ca="1">IFERROR(__xludf.DUMMYFUNCTION("""COMPUTED_VALUE"""),60.97)</f>
        <v>60.97</v>
      </c>
      <c r="M113" s="2">
        <f ca="1">IFERROR(__xludf.DUMMYFUNCTION("""COMPUTED_VALUE"""),65.41)</f>
        <v>65.41</v>
      </c>
      <c r="N113" s="2">
        <f ca="1">IFERROR(__xludf.DUMMYFUNCTION("""COMPUTED_VALUE"""),63.93)</f>
        <v>63.93</v>
      </c>
      <c r="O113" s="2">
        <f ca="1">IFERROR(__xludf.DUMMYFUNCTION("""COMPUTED_VALUE"""),64.48)</f>
        <v>64.48</v>
      </c>
      <c r="P113" s="2">
        <f ca="1">IFERROR(__xludf.DUMMYFUNCTION("""COMPUTED_VALUE"""),67.51)</f>
        <v>67.510000000000005</v>
      </c>
      <c r="Q113" s="2"/>
    </row>
    <row r="114" spans="1:17" ht="15.75" customHeight="1" x14ac:dyDescent="0.25">
      <c r="A114" s="2">
        <v>1672</v>
      </c>
      <c r="B114" s="2" t="str">
        <f ca="1">IFERROR(__xludf.DUMMYFUNCTION("""COMPUTED_VALUE"""),"SUMATERA SELATAN")</f>
        <v>SUMATERA SELATAN</v>
      </c>
      <c r="C114" s="2" t="str">
        <f ca="1">IFERROR(__xludf.DUMMYFUNCTION("""COMPUTED_VALUE"""),"Kota Prabumulih")</f>
        <v>Kota Prabumulih</v>
      </c>
      <c r="D114" s="2">
        <f ca="1">IFERROR(__xludf.DUMMYFUNCTION("""COMPUTED_VALUE"""),7.04)</f>
        <v>7.04</v>
      </c>
      <c r="E114" s="2">
        <f ca="1">IFERROR(__xludf.DUMMYFUNCTION("""COMPUTED_VALUE"""),6.12)</f>
        <v>6.12</v>
      </c>
      <c r="F114" s="2">
        <f ca="1">IFERROR(__xludf.DUMMYFUNCTION("""COMPUTED_VALUE"""),6.64)</f>
        <v>6.64</v>
      </c>
      <c r="G114" s="2">
        <f ca="1">IFERROR(__xludf.DUMMYFUNCTION("""COMPUTED_VALUE"""),5.86)</f>
        <v>5.86</v>
      </c>
      <c r="H114" s="2">
        <f ca="1">IFERROR(__xludf.DUMMYFUNCTION("""COMPUTED_VALUE"""),5.25)</f>
        <v>5.25</v>
      </c>
      <c r="I114" s="2">
        <f ca="1">IFERROR(__xludf.DUMMYFUNCTION("""COMPUTED_VALUE"""),5.05)</f>
        <v>5.05</v>
      </c>
      <c r="J114" s="2"/>
      <c r="K114" s="2">
        <f ca="1">IFERROR(__xludf.DUMMYFUNCTION("""COMPUTED_VALUE"""),70.16)</f>
        <v>70.16</v>
      </c>
      <c r="L114" s="2">
        <f ca="1">IFERROR(__xludf.DUMMYFUNCTION("""COMPUTED_VALUE"""),69.3)</f>
        <v>69.3</v>
      </c>
      <c r="M114" s="2">
        <f ca="1">IFERROR(__xludf.DUMMYFUNCTION("""COMPUTED_VALUE"""),69.4)</f>
        <v>69.400000000000006</v>
      </c>
      <c r="N114" s="2">
        <f ca="1">IFERROR(__xludf.DUMMYFUNCTION("""COMPUTED_VALUE"""),69.41)</f>
        <v>69.41</v>
      </c>
      <c r="O114" s="2">
        <f ca="1">IFERROR(__xludf.DUMMYFUNCTION("""COMPUTED_VALUE"""),71.72)</f>
        <v>71.72</v>
      </c>
      <c r="P114" s="2">
        <f ca="1">IFERROR(__xludf.DUMMYFUNCTION("""COMPUTED_VALUE"""),68.6)</f>
        <v>68.599999999999994</v>
      </c>
      <c r="Q114" s="2"/>
    </row>
    <row r="115" spans="1:17" ht="15.75" customHeight="1" x14ac:dyDescent="0.25">
      <c r="A115" s="2">
        <v>1673</v>
      </c>
      <c r="B115" s="2" t="str">
        <f ca="1">IFERROR(__xludf.DUMMYFUNCTION("""COMPUTED_VALUE"""),"SUMATERA SELATAN")</f>
        <v>SUMATERA SELATAN</v>
      </c>
      <c r="C115" s="2" t="str">
        <f ca="1">IFERROR(__xludf.DUMMYFUNCTION("""COMPUTED_VALUE"""),"Kota Pagar Alam")</f>
        <v>Kota Pagar Alam</v>
      </c>
      <c r="D115" s="2">
        <f ca="1">IFERROR(__xludf.DUMMYFUNCTION("""COMPUTED_VALUE"""),3.06)</f>
        <v>3.06</v>
      </c>
      <c r="E115" s="2">
        <f ca="1">IFERROR(__xludf.DUMMYFUNCTION("""COMPUTED_VALUE"""),2.48)</f>
        <v>2.48</v>
      </c>
      <c r="F115" s="2">
        <f ca="1">IFERROR(__xludf.DUMMYFUNCTION("""COMPUTED_VALUE"""),2.5)</f>
        <v>2.5</v>
      </c>
      <c r="G115" s="2">
        <f ca="1">IFERROR(__xludf.DUMMYFUNCTION("""COMPUTED_VALUE"""),1.64)</f>
        <v>1.64</v>
      </c>
      <c r="H115" s="2">
        <f ca="1">IFERROR(__xludf.DUMMYFUNCTION("""COMPUTED_VALUE"""),3.62)</f>
        <v>3.62</v>
      </c>
      <c r="I115" s="2">
        <f ca="1">IFERROR(__xludf.DUMMYFUNCTION("""COMPUTED_VALUE"""),2.71)</f>
        <v>2.71</v>
      </c>
      <c r="J115" s="2"/>
      <c r="K115" s="2">
        <f ca="1">IFERROR(__xludf.DUMMYFUNCTION("""COMPUTED_VALUE"""),71.78)</f>
        <v>71.78</v>
      </c>
      <c r="L115" s="2">
        <f ca="1">IFERROR(__xludf.DUMMYFUNCTION("""COMPUTED_VALUE"""),69.26)</f>
        <v>69.260000000000005</v>
      </c>
      <c r="M115" s="2">
        <f ca="1">IFERROR(__xludf.DUMMYFUNCTION("""COMPUTED_VALUE"""),66.35)</f>
        <v>66.349999999999994</v>
      </c>
      <c r="N115" s="2">
        <f ca="1">IFERROR(__xludf.DUMMYFUNCTION("""COMPUTED_VALUE"""),74.2)</f>
        <v>74.2</v>
      </c>
      <c r="O115" s="2">
        <f ca="1">IFERROR(__xludf.DUMMYFUNCTION("""COMPUTED_VALUE"""),73.1)</f>
        <v>73.099999999999994</v>
      </c>
      <c r="P115" s="2">
        <f ca="1">IFERROR(__xludf.DUMMYFUNCTION("""COMPUTED_VALUE"""),73.9)</f>
        <v>73.900000000000006</v>
      </c>
      <c r="Q115" s="2"/>
    </row>
    <row r="116" spans="1:17" ht="15.75" customHeight="1" x14ac:dyDescent="0.25">
      <c r="A116" s="2">
        <v>1674</v>
      </c>
      <c r="B116" s="2" t="str">
        <f ca="1">IFERROR(__xludf.DUMMYFUNCTION("""COMPUTED_VALUE"""),"SUMATERA SELATAN")</f>
        <v>SUMATERA SELATAN</v>
      </c>
      <c r="C116" s="2" t="s">
        <v>56</v>
      </c>
      <c r="D116" s="2">
        <f ca="1">IFERROR(__xludf.DUMMYFUNCTION("""COMPUTED_VALUE"""),4.59)</f>
        <v>4.59</v>
      </c>
      <c r="E116" s="2">
        <f ca="1">IFERROR(__xludf.DUMMYFUNCTION("""COMPUTED_VALUE"""),4.71)</f>
        <v>4.71</v>
      </c>
      <c r="F116" s="2">
        <f ca="1">IFERROR(__xludf.DUMMYFUNCTION("""COMPUTED_VALUE"""),7.41)</f>
        <v>7.41</v>
      </c>
      <c r="G116" s="2">
        <f ca="1">IFERROR(__xludf.DUMMYFUNCTION("""COMPUTED_VALUE"""),6.27)</f>
        <v>6.27</v>
      </c>
      <c r="H116" s="2">
        <f ca="1">IFERROR(__xludf.DUMMYFUNCTION("""COMPUTED_VALUE"""),5.94)</f>
        <v>5.94</v>
      </c>
      <c r="I116" s="2">
        <f ca="1">IFERROR(__xludf.DUMMYFUNCTION("""COMPUTED_VALUE"""),5.64)</f>
        <v>5.64</v>
      </c>
      <c r="J116" s="2"/>
      <c r="K116" s="2">
        <f ca="1">IFERROR(__xludf.DUMMYFUNCTION("""COMPUTED_VALUE"""),67.84)</f>
        <v>67.84</v>
      </c>
      <c r="L116" s="2">
        <f ca="1">IFERROR(__xludf.DUMMYFUNCTION("""COMPUTED_VALUE"""),70.65)</f>
        <v>70.650000000000006</v>
      </c>
      <c r="M116" s="2">
        <f ca="1">IFERROR(__xludf.DUMMYFUNCTION("""COMPUTED_VALUE"""),70.25)</f>
        <v>70.25</v>
      </c>
      <c r="N116" s="2">
        <f ca="1">IFERROR(__xludf.DUMMYFUNCTION("""COMPUTED_VALUE"""),73.6)</f>
        <v>73.599999999999994</v>
      </c>
      <c r="O116" s="2">
        <f ca="1">IFERROR(__xludf.DUMMYFUNCTION("""COMPUTED_VALUE"""),67.93)</f>
        <v>67.930000000000007</v>
      </c>
      <c r="P116" s="2">
        <f ca="1">IFERROR(__xludf.DUMMYFUNCTION("""COMPUTED_VALUE"""),70.88)</f>
        <v>70.88</v>
      </c>
      <c r="Q116" s="2"/>
    </row>
    <row r="117" spans="1:17" ht="15.75" customHeight="1" x14ac:dyDescent="0.25">
      <c r="A117" s="2">
        <v>1701</v>
      </c>
      <c r="B117" s="2" t="str">
        <f ca="1">IFERROR(__xludf.DUMMYFUNCTION("""COMPUTED_VALUE"""),"BENGKULU")</f>
        <v>BENGKULU</v>
      </c>
      <c r="C117" s="2" t="str">
        <f ca="1">IFERROR(__xludf.DUMMYFUNCTION("""COMPUTED_VALUE"""),"Bengkulu Selatan")</f>
        <v>Bengkulu Selatan</v>
      </c>
      <c r="D117" s="2">
        <f ca="1">IFERROR(__xludf.DUMMYFUNCTION("""COMPUTED_VALUE"""),2.91)</f>
        <v>2.91</v>
      </c>
      <c r="E117" s="2">
        <f ca="1">IFERROR(__xludf.DUMMYFUNCTION("""COMPUTED_VALUE"""),2.32)</f>
        <v>2.3199999999999998</v>
      </c>
      <c r="F117" s="2">
        <f ca="1">IFERROR(__xludf.DUMMYFUNCTION("""COMPUTED_VALUE"""),3.52)</f>
        <v>3.52</v>
      </c>
      <c r="G117" s="2">
        <f ca="1">IFERROR(__xludf.DUMMYFUNCTION("""COMPUTED_VALUE"""),2.55)</f>
        <v>2.5499999999999998</v>
      </c>
      <c r="H117" s="2">
        <f ca="1">IFERROR(__xludf.DUMMYFUNCTION("""COMPUTED_VALUE"""),3.51)</f>
        <v>3.51</v>
      </c>
      <c r="I117" s="2">
        <f ca="1">IFERROR(__xludf.DUMMYFUNCTION("""COMPUTED_VALUE"""),3.56)</f>
        <v>3.56</v>
      </c>
      <c r="J117" s="2"/>
      <c r="K117" s="2">
        <f ca="1">IFERROR(__xludf.DUMMYFUNCTION("""COMPUTED_VALUE"""),71.77)</f>
        <v>71.77</v>
      </c>
      <c r="L117" s="2">
        <f ca="1">IFERROR(__xludf.DUMMYFUNCTION("""COMPUTED_VALUE"""),70.08)</f>
        <v>70.08</v>
      </c>
      <c r="M117" s="2">
        <f ca="1">IFERROR(__xludf.DUMMYFUNCTION("""COMPUTED_VALUE"""),70.11)</f>
        <v>70.11</v>
      </c>
      <c r="N117" s="2">
        <f ca="1">IFERROR(__xludf.DUMMYFUNCTION("""COMPUTED_VALUE"""),73.95)</f>
        <v>73.95</v>
      </c>
      <c r="O117" s="2">
        <f ca="1">IFERROR(__xludf.DUMMYFUNCTION("""COMPUTED_VALUE"""),75.64)</f>
        <v>75.64</v>
      </c>
      <c r="P117" s="2">
        <f ca="1">IFERROR(__xludf.DUMMYFUNCTION("""COMPUTED_VALUE"""),75.95)</f>
        <v>75.95</v>
      </c>
      <c r="Q117" s="2"/>
    </row>
    <row r="118" spans="1:17" ht="15.75" customHeight="1" x14ac:dyDescent="0.25">
      <c r="A118" s="2">
        <v>1702</v>
      </c>
      <c r="B118" s="2" t="str">
        <f ca="1">IFERROR(__xludf.DUMMYFUNCTION("""COMPUTED_VALUE"""),"BENGKULU")</f>
        <v>BENGKULU</v>
      </c>
      <c r="C118" s="2" t="str">
        <f ca="1">IFERROR(__xludf.DUMMYFUNCTION("""COMPUTED_VALUE"""),"Rejang Lebong")</f>
        <v>Rejang Lebong</v>
      </c>
      <c r="D118" s="2">
        <f ca="1">IFERROR(__xludf.DUMMYFUNCTION("""COMPUTED_VALUE"""),1.61)</f>
        <v>1.61</v>
      </c>
      <c r="E118" s="2">
        <f ca="1">IFERROR(__xludf.DUMMYFUNCTION("""COMPUTED_VALUE"""),2.7)</f>
        <v>2.7</v>
      </c>
      <c r="F118" s="2">
        <f ca="1">IFERROR(__xludf.DUMMYFUNCTION("""COMPUTED_VALUE"""),3.7)</f>
        <v>3.7</v>
      </c>
      <c r="G118" s="2">
        <f ca="1">IFERROR(__xludf.DUMMYFUNCTION("""COMPUTED_VALUE"""),2.45)</f>
        <v>2.4500000000000002</v>
      </c>
      <c r="H118" s="2">
        <f ca="1">IFERROR(__xludf.DUMMYFUNCTION("""COMPUTED_VALUE"""),2.28)</f>
        <v>2.2799999999999998</v>
      </c>
      <c r="I118" s="2">
        <f ca="1">IFERROR(__xludf.DUMMYFUNCTION("""COMPUTED_VALUE"""),2.94)</f>
        <v>2.94</v>
      </c>
      <c r="J118" s="2"/>
      <c r="K118" s="2">
        <f ca="1">IFERROR(__xludf.DUMMYFUNCTION("""COMPUTED_VALUE"""),77.05)</f>
        <v>77.05</v>
      </c>
      <c r="L118" s="2">
        <f ca="1">IFERROR(__xludf.DUMMYFUNCTION("""COMPUTED_VALUE"""),76.48)</f>
        <v>76.48</v>
      </c>
      <c r="M118" s="2">
        <f ca="1">IFERROR(__xludf.DUMMYFUNCTION("""COMPUTED_VALUE"""),77.93)</f>
        <v>77.930000000000007</v>
      </c>
      <c r="N118" s="2">
        <f ca="1">IFERROR(__xludf.DUMMYFUNCTION("""COMPUTED_VALUE"""),76.09)</f>
        <v>76.09</v>
      </c>
      <c r="O118" s="2">
        <f ca="1">IFERROR(__xludf.DUMMYFUNCTION("""COMPUTED_VALUE"""),74.46)</f>
        <v>74.459999999999994</v>
      </c>
      <c r="P118" s="2">
        <f ca="1">IFERROR(__xludf.DUMMYFUNCTION("""COMPUTED_VALUE"""),77.86)</f>
        <v>77.86</v>
      </c>
      <c r="Q118" s="2"/>
    </row>
    <row r="119" spans="1:17" ht="15.75" customHeight="1" x14ac:dyDescent="0.25">
      <c r="A119" s="2">
        <v>1703</v>
      </c>
      <c r="B119" s="2" t="str">
        <f ca="1">IFERROR(__xludf.DUMMYFUNCTION("""COMPUTED_VALUE"""),"BENGKULU")</f>
        <v>BENGKULU</v>
      </c>
      <c r="C119" s="2" t="str">
        <f ca="1">IFERROR(__xludf.DUMMYFUNCTION("""COMPUTED_VALUE"""),"Bengkulu Utara")</f>
        <v>Bengkulu Utara</v>
      </c>
      <c r="D119" s="2">
        <f ca="1">IFERROR(__xludf.DUMMYFUNCTION("""COMPUTED_VALUE"""),2.59)</f>
        <v>2.59</v>
      </c>
      <c r="E119" s="2">
        <f ca="1">IFERROR(__xludf.DUMMYFUNCTION("""COMPUTED_VALUE"""),3.99)</f>
        <v>3.99</v>
      </c>
      <c r="F119" s="2">
        <f ca="1">IFERROR(__xludf.DUMMYFUNCTION("""COMPUTED_VALUE"""),3.82)</f>
        <v>3.82</v>
      </c>
      <c r="G119" s="2">
        <f ca="1">IFERROR(__xludf.DUMMYFUNCTION("""COMPUTED_VALUE"""),3.51)</f>
        <v>3.51</v>
      </c>
      <c r="H119" s="2">
        <f ca="1">IFERROR(__xludf.DUMMYFUNCTION("""COMPUTED_VALUE"""),4.16)</f>
        <v>4.16</v>
      </c>
      <c r="I119" s="2">
        <f ca="1">IFERROR(__xludf.DUMMYFUNCTION("""COMPUTED_VALUE"""),3.33)</f>
        <v>3.33</v>
      </c>
      <c r="J119" s="2"/>
      <c r="K119" s="2">
        <f ca="1">IFERROR(__xludf.DUMMYFUNCTION("""COMPUTED_VALUE"""),69.07)</f>
        <v>69.069999999999993</v>
      </c>
      <c r="L119" s="2">
        <f ca="1">IFERROR(__xludf.DUMMYFUNCTION("""COMPUTED_VALUE"""),66.22)</f>
        <v>66.22</v>
      </c>
      <c r="M119" s="2">
        <f ca="1">IFERROR(__xludf.DUMMYFUNCTION("""COMPUTED_VALUE"""),72)</f>
        <v>72</v>
      </c>
      <c r="N119" s="2">
        <f ca="1">IFERROR(__xludf.DUMMYFUNCTION("""COMPUTED_VALUE"""),67.62)</f>
        <v>67.62</v>
      </c>
      <c r="O119" s="2">
        <f ca="1">IFERROR(__xludf.DUMMYFUNCTION("""COMPUTED_VALUE"""),67.72)</f>
        <v>67.72</v>
      </c>
      <c r="P119" s="2">
        <f ca="1">IFERROR(__xludf.DUMMYFUNCTION("""COMPUTED_VALUE"""),68.6)</f>
        <v>68.599999999999994</v>
      </c>
      <c r="Q119" s="2"/>
    </row>
    <row r="120" spans="1:17" ht="15.75" customHeight="1" x14ac:dyDescent="0.25">
      <c r="A120" s="2">
        <v>1704</v>
      </c>
      <c r="B120" s="2" t="str">
        <f ca="1">IFERROR(__xludf.DUMMYFUNCTION("""COMPUTED_VALUE"""),"BENGKULU")</f>
        <v>BENGKULU</v>
      </c>
      <c r="C120" s="2" t="str">
        <f ca="1">IFERROR(__xludf.DUMMYFUNCTION("""COMPUTED_VALUE"""),"Kaur")</f>
        <v>Kaur</v>
      </c>
      <c r="D120" s="2">
        <f ca="1">IFERROR(__xludf.DUMMYFUNCTION("""COMPUTED_VALUE"""),2.69)</f>
        <v>2.69</v>
      </c>
      <c r="E120" s="2">
        <f ca="1">IFERROR(__xludf.DUMMYFUNCTION("""COMPUTED_VALUE"""),2.34)</f>
        <v>2.34</v>
      </c>
      <c r="F120" s="2">
        <f ca="1">IFERROR(__xludf.DUMMYFUNCTION("""COMPUTED_VALUE"""),2.73)</f>
        <v>2.73</v>
      </c>
      <c r="G120" s="2">
        <f ca="1">IFERROR(__xludf.DUMMYFUNCTION("""COMPUTED_VALUE"""),3.45)</f>
        <v>3.45</v>
      </c>
      <c r="H120" s="2">
        <f ca="1">IFERROR(__xludf.DUMMYFUNCTION("""COMPUTED_VALUE"""),3.83)</f>
        <v>3.83</v>
      </c>
      <c r="I120" s="2">
        <f ca="1">IFERROR(__xludf.DUMMYFUNCTION("""COMPUTED_VALUE"""),3.81)</f>
        <v>3.81</v>
      </c>
      <c r="J120" s="2"/>
      <c r="K120" s="2">
        <f ca="1">IFERROR(__xludf.DUMMYFUNCTION("""COMPUTED_VALUE"""),73.63)</f>
        <v>73.63</v>
      </c>
      <c r="L120" s="2">
        <f ca="1">IFERROR(__xludf.DUMMYFUNCTION("""COMPUTED_VALUE"""),72.2)</f>
        <v>72.2</v>
      </c>
      <c r="M120" s="2">
        <f ca="1">IFERROR(__xludf.DUMMYFUNCTION("""COMPUTED_VALUE"""),69.54)</f>
        <v>69.540000000000006</v>
      </c>
      <c r="N120" s="2">
        <f ca="1">IFERROR(__xludf.DUMMYFUNCTION("""COMPUTED_VALUE"""),69.28)</f>
        <v>69.28</v>
      </c>
      <c r="O120" s="2">
        <f ca="1">IFERROR(__xludf.DUMMYFUNCTION("""COMPUTED_VALUE"""),72.22)</f>
        <v>72.22</v>
      </c>
      <c r="P120" s="2">
        <f ca="1">IFERROR(__xludf.DUMMYFUNCTION("""COMPUTED_VALUE"""),68.44)</f>
        <v>68.44</v>
      </c>
      <c r="Q120" s="2"/>
    </row>
    <row r="121" spans="1:17" ht="15.75" customHeight="1" x14ac:dyDescent="0.25">
      <c r="A121" s="2">
        <v>1705</v>
      </c>
      <c r="B121" s="2" t="str">
        <f ca="1">IFERROR(__xludf.DUMMYFUNCTION("""COMPUTED_VALUE"""),"BENGKULU")</f>
        <v>BENGKULU</v>
      </c>
      <c r="C121" s="2" t="str">
        <f ca="1">IFERROR(__xludf.DUMMYFUNCTION("""COMPUTED_VALUE"""),"Seluma")</f>
        <v>Seluma</v>
      </c>
      <c r="D121" s="2">
        <f ca="1">IFERROR(__xludf.DUMMYFUNCTION("""COMPUTED_VALUE"""),2.83)</f>
        <v>2.83</v>
      </c>
      <c r="E121" s="2">
        <f ca="1">IFERROR(__xludf.DUMMYFUNCTION("""COMPUTED_VALUE"""),2.25)</f>
        <v>2.25</v>
      </c>
      <c r="F121" s="2">
        <f ca="1">IFERROR(__xludf.DUMMYFUNCTION("""COMPUTED_VALUE"""),3.04)</f>
        <v>3.04</v>
      </c>
      <c r="G121" s="2">
        <f ca="1">IFERROR(__xludf.DUMMYFUNCTION("""COMPUTED_VALUE"""),3.44)</f>
        <v>3.44</v>
      </c>
      <c r="H121" s="2">
        <f ca="1">IFERROR(__xludf.DUMMYFUNCTION("""COMPUTED_VALUE"""),1.74)</f>
        <v>1.74</v>
      </c>
      <c r="I121" s="2">
        <f ca="1">IFERROR(__xludf.DUMMYFUNCTION("""COMPUTED_VALUE"""),2.68)</f>
        <v>2.68</v>
      </c>
      <c r="J121" s="2"/>
      <c r="K121" s="2">
        <f ca="1">IFERROR(__xludf.DUMMYFUNCTION("""COMPUTED_VALUE"""),71.74)</f>
        <v>71.739999999999995</v>
      </c>
      <c r="L121" s="2">
        <f ca="1">IFERROR(__xludf.DUMMYFUNCTION("""COMPUTED_VALUE"""),74.1)</f>
        <v>74.099999999999994</v>
      </c>
      <c r="M121" s="2">
        <f ca="1">IFERROR(__xludf.DUMMYFUNCTION("""COMPUTED_VALUE"""),76.45)</f>
        <v>76.45</v>
      </c>
      <c r="N121" s="2">
        <f ca="1">IFERROR(__xludf.DUMMYFUNCTION("""COMPUTED_VALUE"""),70.13)</f>
        <v>70.13</v>
      </c>
      <c r="O121" s="2">
        <f ca="1">IFERROR(__xludf.DUMMYFUNCTION("""COMPUTED_VALUE"""),70.57)</f>
        <v>70.569999999999993</v>
      </c>
      <c r="P121" s="2">
        <f ca="1">IFERROR(__xludf.DUMMYFUNCTION("""COMPUTED_VALUE"""),73.44)</f>
        <v>73.44</v>
      </c>
      <c r="Q121" s="2"/>
    </row>
    <row r="122" spans="1:17" ht="15.75" customHeight="1" x14ac:dyDescent="0.25">
      <c r="A122" s="2">
        <v>1706</v>
      </c>
      <c r="B122" s="2" t="str">
        <f ca="1">IFERROR(__xludf.DUMMYFUNCTION("""COMPUTED_VALUE"""),"BENGKULU")</f>
        <v>BENGKULU</v>
      </c>
      <c r="C122" s="2" t="s">
        <v>73</v>
      </c>
      <c r="D122" s="2">
        <f ca="1">IFERROR(__xludf.DUMMYFUNCTION("""COMPUTED_VALUE"""),4.73)</f>
        <v>4.7300000000000004</v>
      </c>
      <c r="E122" s="2">
        <f ca="1">IFERROR(__xludf.DUMMYFUNCTION("""COMPUTED_VALUE"""),3.84)</f>
        <v>3.84</v>
      </c>
      <c r="F122" s="2">
        <f ca="1">IFERROR(__xludf.DUMMYFUNCTION("""COMPUTED_VALUE"""),3.59)</f>
        <v>3.59</v>
      </c>
      <c r="G122" s="2">
        <f ca="1">IFERROR(__xludf.DUMMYFUNCTION("""COMPUTED_VALUE"""),3.68)</f>
        <v>3.68</v>
      </c>
      <c r="H122" s="2">
        <f ca="1">IFERROR(__xludf.DUMMYFUNCTION("""COMPUTED_VALUE"""),3.07)</f>
        <v>3.07</v>
      </c>
      <c r="I122" s="2">
        <f ca="1">IFERROR(__xludf.DUMMYFUNCTION("""COMPUTED_VALUE"""),3.14)</f>
        <v>3.14</v>
      </c>
      <c r="J122" s="2"/>
      <c r="K122" s="2">
        <f ca="1">IFERROR(__xludf.DUMMYFUNCTION("""COMPUTED_VALUE"""),63.82)</f>
        <v>63.82</v>
      </c>
      <c r="L122" s="2">
        <f ca="1">IFERROR(__xludf.DUMMYFUNCTION("""COMPUTED_VALUE"""),65.31)</f>
        <v>65.31</v>
      </c>
      <c r="M122" s="2">
        <f ca="1">IFERROR(__xludf.DUMMYFUNCTION("""COMPUTED_VALUE"""),65.68)</f>
        <v>65.680000000000007</v>
      </c>
      <c r="N122" s="2">
        <f ca="1">IFERROR(__xludf.DUMMYFUNCTION("""COMPUTED_VALUE"""),64.11)</f>
        <v>64.11</v>
      </c>
      <c r="O122" s="2">
        <f ca="1">IFERROR(__xludf.DUMMYFUNCTION("""COMPUTED_VALUE"""),62.72)</f>
        <v>62.72</v>
      </c>
      <c r="P122" s="2">
        <f ca="1">IFERROR(__xludf.DUMMYFUNCTION("""COMPUTED_VALUE"""),67.16)</f>
        <v>67.16</v>
      </c>
      <c r="Q122" s="2"/>
    </row>
    <row r="123" spans="1:17" ht="15.75" customHeight="1" x14ac:dyDescent="0.25">
      <c r="A123" s="2">
        <v>1707</v>
      </c>
      <c r="B123" s="2" t="str">
        <f ca="1">IFERROR(__xludf.DUMMYFUNCTION("""COMPUTED_VALUE"""),"BENGKULU")</f>
        <v>BENGKULU</v>
      </c>
      <c r="C123" s="2" t="str">
        <f ca="1">IFERROR(__xludf.DUMMYFUNCTION("""COMPUTED_VALUE"""),"Lebong")</f>
        <v>Lebong</v>
      </c>
      <c r="D123" s="2">
        <f ca="1">IFERROR(__xludf.DUMMYFUNCTION("""COMPUTED_VALUE"""),6.03)</f>
        <v>6.03</v>
      </c>
      <c r="E123" s="2">
        <f ca="1">IFERROR(__xludf.DUMMYFUNCTION("""COMPUTED_VALUE"""),3.87)</f>
        <v>3.87</v>
      </c>
      <c r="F123" s="2">
        <f ca="1">IFERROR(__xludf.DUMMYFUNCTION("""COMPUTED_VALUE"""),3.92)</f>
        <v>3.92</v>
      </c>
      <c r="G123" s="2">
        <f ca="1">IFERROR(__xludf.DUMMYFUNCTION("""COMPUTED_VALUE"""),3.18)</f>
        <v>3.18</v>
      </c>
      <c r="H123" s="2">
        <f ca="1">IFERROR(__xludf.DUMMYFUNCTION("""COMPUTED_VALUE"""),3.16)</f>
        <v>3.16</v>
      </c>
      <c r="I123" s="2">
        <f ca="1">IFERROR(__xludf.DUMMYFUNCTION("""COMPUTED_VALUE"""),2.72)</f>
        <v>2.72</v>
      </c>
      <c r="J123" s="2"/>
      <c r="K123" s="2">
        <f ca="1">IFERROR(__xludf.DUMMYFUNCTION("""COMPUTED_VALUE"""),70.86)</f>
        <v>70.86</v>
      </c>
      <c r="L123" s="2">
        <f ca="1">IFERROR(__xludf.DUMMYFUNCTION("""COMPUTED_VALUE"""),74.75)</f>
        <v>74.75</v>
      </c>
      <c r="M123" s="2">
        <f ca="1">IFERROR(__xludf.DUMMYFUNCTION("""COMPUTED_VALUE"""),74.38)</f>
        <v>74.38</v>
      </c>
      <c r="N123" s="2">
        <f ca="1">IFERROR(__xludf.DUMMYFUNCTION("""COMPUTED_VALUE"""),72.01)</f>
        <v>72.010000000000005</v>
      </c>
      <c r="O123" s="2">
        <f ca="1">IFERROR(__xludf.DUMMYFUNCTION("""COMPUTED_VALUE"""),72.8)</f>
        <v>72.8</v>
      </c>
      <c r="P123" s="2">
        <f ca="1">IFERROR(__xludf.DUMMYFUNCTION("""COMPUTED_VALUE"""),70.23)</f>
        <v>70.23</v>
      </c>
      <c r="Q123" s="2"/>
    </row>
    <row r="124" spans="1:17" ht="15.75" customHeight="1" x14ac:dyDescent="0.25">
      <c r="A124" s="2">
        <v>1708</v>
      </c>
      <c r="B124" s="2" t="str">
        <f ca="1">IFERROR(__xludf.DUMMYFUNCTION("""COMPUTED_VALUE"""),"BENGKULU")</f>
        <v>BENGKULU</v>
      </c>
      <c r="C124" s="2" t="str">
        <f ca="1">IFERROR(__xludf.DUMMYFUNCTION("""COMPUTED_VALUE"""),"Kepahiang")</f>
        <v>Kepahiang</v>
      </c>
      <c r="D124" s="2">
        <f ca="1">IFERROR(__xludf.DUMMYFUNCTION("""COMPUTED_VALUE"""),2.97)</f>
        <v>2.97</v>
      </c>
      <c r="E124" s="2">
        <f ca="1">IFERROR(__xludf.DUMMYFUNCTION("""COMPUTED_VALUE"""),2.17)</f>
        <v>2.17</v>
      </c>
      <c r="F124" s="2">
        <f ca="1">IFERROR(__xludf.DUMMYFUNCTION("""COMPUTED_VALUE"""),2.52)</f>
        <v>2.52</v>
      </c>
      <c r="G124" s="2">
        <f ca="1">IFERROR(__xludf.DUMMYFUNCTION("""COMPUTED_VALUE"""),1.89)</f>
        <v>1.89</v>
      </c>
      <c r="H124" s="2">
        <f ca="1">IFERROR(__xludf.DUMMYFUNCTION("""COMPUTED_VALUE"""),2.92)</f>
        <v>2.92</v>
      </c>
      <c r="I124" s="2">
        <f ca="1">IFERROR(__xludf.DUMMYFUNCTION("""COMPUTED_VALUE"""),2.41)</f>
        <v>2.41</v>
      </c>
      <c r="J124" s="2"/>
      <c r="K124" s="2">
        <f ca="1">IFERROR(__xludf.DUMMYFUNCTION("""COMPUTED_VALUE"""),75.03)</f>
        <v>75.03</v>
      </c>
      <c r="L124" s="2">
        <f ca="1">IFERROR(__xludf.DUMMYFUNCTION("""COMPUTED_VALUE"""),75.83)</f>
        <v>75.83</v>
      </c>
      <c r="M124" s="2">
        <f ca="1">IFERROR(__xludf.DUMMYFUNCTION("""COMPUTED_VALUE"""),78.99)</f>
        <v>78.989999999999995</v>
      </c>
      <c r="N124" s="2">
        <f ca="1">IFERROR(__xludf.DUMMYFUNCTION("""COMPUTED_VALUE"""),75.59)</f>
        <v>75.59</v>
      </c>
      <c r="O124" s="2">
        <f ca="1">IFERROR(__xludf.DUMMYFUNCTION("""COMPUTED_VALUE"""),74.47)</f>
        <v>74.47</v>
      </c>
      <c r="P124" s="2">
        <f ca="1">IFERROR(__xludf.DUMMYFUNCTION("""COMPUTED_VALUE"""),75.73)</f>
        <v>75.73</v>
      </c>
      <c r="Q124" s="2"/>
    </row>
    <row r="125" spans="1:17" ht="15.75" customHeight="1" x14ac:dyDescent="0.25">
      <c r="A125" s="2">
        <v>1709</v>
      </c>
      <c r="B125" s="2" t="str">
        <f ca="1">IFERROR(__xludf.DUMMYFUNCTION("""COMPUTED_VALUE"""),"BENGKULU")</f>
        <v>BENGKULU</v>
      </c>
      <c r="C125" s="2" t="str">
        <f ca="1">IFERROR(__xludf.DUMMYFUNCTION("""COMPUTED_VALUE"""),"Bengkulu Tengah")</f>
        <v>Bengkulu Tengah</v>
      </c>
      <c r="D125" s="2">
        <f ca="1">IFERROR(__xludf.DUMMYFUNCTION("""COMPUTED_VALUE"""),3.4)</f>
        <v>3.4</v>
      </c>
      <c r="E125" s="2">
        <f ca="1">IFERROR(__xludf.DUMMYFUNCTION("""COMPUTED_VALUE"""),4.4)</f>
        <v>4.4000000000000004</v>
      </c>
      <c r="F125" s="2">
        <f ca="1">IFERROR(__xludf.DUMMYFUNCTION("""COMPUTED_VALUE"""),4.45)</f>
        <v>4.45</v>
      </c>
      <c r="G125" s="2">
        <f ca="1">IFERROR(__xludf.DUMMYFUNCTION("""COMPUTED_VALUE"""),4.07)</f>
        <v>4.07</v>
      </c>
      <c r="H125" s="2">
        <f ca="1">IFERROR(__xludf.DUMMYFUNCTION("""COMPUTED_VALUE"""),2.48)</f>
        <v>2.48</v>
      </c>
      <c r="I125" s="2">
        <f ca="1">IFERROR(__xludf.DUMMYFUNCTION("""COMPUTED_VALUE"""),3.2)</f>
        <v>3.2</v>
      </c>
      <c r="J125" s="2"/>
      <c r="K125" s="2">
        <f ca="1">IFERROR(__xludf.DUMMYFUNCTION("""COMPUTED_VALUE"""),71.93)</f>
        <v>71.930000000000007</v>
      </c>
      <c r="L125" s="2">
        <f ca="1">IFERROR(__xludf.DUMMYFUNCTION("""COMPUTED_VALUE"""),67.73)</f>
        <v>67.73</v>
      </c>
      <c r="M125" s="2">
        <f ca="1">IFERROR(__xludf.DUMMYFUNCTION("""COMPUTED_VALUE"""),69.71)</f>
        <v>69.709999999999994</v>
      </c>
      <c r="N125" s="2">
        <f ca="1">IFERROR(__xludf.DUMMYFUNCTION("""COMPUTED_VALUE"""),67.32)</f>
        <v>67.319999999999993</v>
      </c>
      <c r="O125" s="2">
        <f ca="1">IFERROR(__xludf.DUMMYFUNCTION("""COMPUTED_VALUE"""),65.16)</f>
        <v>65.16</v>
      </c>
      <c r="P125" s="2">
        <f ca="1">IFERROR(__xludf.DUMMYFUNCTION("""COMPUTED_VALUE"""),64.96)</f>
        <v>64.959999999999994</v>
      </c>
      <c r="Q125" s="2"/>
    </row>
    <row r="126" spans="1:17" ht="15.75" customHeight="1" x14ac:dyDescent="0.25">
      <c r="A126" s="2">
        <v>1771</v>
      </c>
      <c r="B126" s="2" t="str">
        <f ca="1">IFERROR(__xludf.DUMMYFUNCTION("""COMPUTED_VALUE"""),"BENGKULU")</f>
        <v>BENGKULU</v>
      </c>
      <c r="C126" s="2" t="str">
        <f ca="1">IFERROR(__xludf.DUMMYFUNCTION("""COMPUTED_VALUE"""),"Kota Bengkulu")</f>
        <v>Kota Bengkulu</v>
      </c>
      <c r="D126" s="2">
        <f ca="1">IFERROR(__xludf.DUMMYFUNCTION("""COMPUTED_VALUE"""),4.86)</f>
        <v>4.8600000000000003</v>
      </c>
      <c r="E126" s="2">
        <f ca="1">IFERROR(__xludf.DUMMYFUNCTION("""COMPUTED_VALUE"""),4.16)</f>
        <v>4.16</v>
      </c>
      <c r="F126" s="2">
        <f ca="1">IFERROR(__xludf.DUMMYFUNCTION("""COMPUTED_VALUE"""),6.82)</f>
        <v>6.82</v>
      </c>
      <c r="G126" s="2">
        <f ca="1">IFERROR(__xludf.DUMMYFUNCTION("""COMPUTED_VALUE"""),6.35)</f>
        <v>6.35</v>
      </c>
      <c r="H126" s="2">
        <f ca="1">IFERROR(__xludf.DUMMYFUNCTION("""COMPUTED_VALUE"""),6.15)</f>
        <v>6.15</v>
      </c>
      <c r="I126" s="2">
        <f ca="1">IFERROR(__xludf.DUMMYFUNCTION("""COMPUTED_VALUE"""),5.04)</f>
        <v>5.04</v>
      </c>
      <c r="J126" s="2"/>
      <c r="K126" s="2">
        <f ca="1">IFERROR(__xludf.DUMMYFUNCTION("""COMPUTED_VALUE"""),64.4)</f>
        <v>64.400000000000006</v>
      </c>
      <c r="L126" s="2">
        <f ca="1">IFERROR(__xludf.DUMMYFUNCTION("""COMPUTED_VALUE"""),65.22)</f>
        <v>65.22</v>
      </c>
      <c r="M126" s="2">
        <f ca="1">IFERROR(__xludf.DUMMYFUNCTION("""COMPUTED_VALUE"""),65.99)</f>
        <v>65.989999999999995</v>
      </c>
      <c r="N126" s="2">
        <f ca="1">IFERROR(__xludf.DUMMYFUNCTION("""COMPUTED_VALUE"""),65.42)</f>
        <v>65.42</v>
      </c>
      <c r="O126" s="2">
        <f ca="1">IFERROR(__xludf.DUMMYFUNCTION("""COMPUTED_VALUE"""),66.29)</f>
        <v>66.290000000000006</v>
      </c>
      <c r="P126" s="2">
        <f ca="1">IFERROR(__xludf.DUMMYFUNCTION("""COMPUTED_VALUE"""),66.61)</f>
        <v>66.61</v>
      </c>
      <c r="Q126" s="2"/>
    </row>
    <row r="127" spans="1:17" ht="15.75" customHeight="1" x14ac:dyDescent="0.25">
      <c r="A127" s="2">
        <v>1801</v>
      </c>
      <c r="B127" s="2" t="str">
        <f ca="1">IFERROR(__xludf.DUMMYFUNCTION("""COMPUTED_VALUE"""),"LAMPUNG")</f>
        <v>LAMPUNG</v>
      </c>
      <c r="C127" s="2" t="str">
        <f ca="1">IFERROR(__xludf.DUMMYFUNCTION("""COMPUTED_VALUE"""),"Lampung Barat")</f>
        <v>Lampung Barat</v>
      </c>
      <c r="D127" s="2">
        <f ca="1">IFERROR(__xludf.DUMMYFUNCTION("""COMPUTED_VALUE"""),2.74)</f>
        <v>2.74</v>
      </c>
      <c r="E127" s="2">
        <f ca="1">IFERROR(__xludf.DUMMYFUNCTION("""COMPUTED_VALUE"""),1.66)</f>
        <v>1.66</v>
      </c>
      <c r="F127" s="2">
        <f ca="1">IFERROR(__xludf.DUMMYFUNCTION("""COMPUTED_VALUE"""),2.13)</f>
        <v>2.13</v>
      </c>
      <c r="G127" s="2">
        <f ca="1">IFERROR(__xludf.DUMMYFUNCTION("""COMPUTED_VALUE"""),2.83)</f>
        <v>2.83</v>
      </c>
      <c r="H127" s="2">
        <f ca="1">IFERROR(__xludf.DUMMYFUNCTION("""COMPUTED_VALUE"""),2.1)</f>
        <v>2.1</v>
      </c>
      <c r="I127" s="2">
        <f ca="1">IFERROR(__xludf.DUMMYFUNCTION("""COMPUTED_VALUE"""),2.25)</f>
        <v>2.25</v>
      </c>
      <c r="J127" s="2">
        <f ca="1">IFERROR(__xludf.DUMMYFUNCTION("""COMPUTED_VALUE"""),2.09)</f>
        <v>2.09</v>
      </c>
      <c r="K127" s="2">
        <f ca="1">IFERROR(__xludf.DUMMYFUNCTION("""COMPUTED_VALUE"""),80.07)</f>
        <v>80.069999999999993</v>
      </c>
      <c r="L127" s="2">
        <f ca="1">IFERROR(__xludf.DUMMYFUNCTION("""COMPUTED_VALUE"""),79.51)</f>
        <v>79.510000000000005</v>
      </c>
      <c r="M127" s="2">
        <f ca="1">IFERROR(__xludf.DUMMYFUNCTION("""COMPUTED_VALUE"""),83.48)</f>
        <v>83.48</v>
      </c>
      <c r="N127" s="2">
        <f ca="1">IFERROR(__xludf.DUMMYFUNCTION("""COMPUTED_VALUE"""),83.23)</f>
        <v>83.23</v>
      </c>
      <c r="O127" s="2">
        <f ca="1">IFERROR(__xludf.DUMMYFUNCTION("""COMPUTED_VALUE"""),83.17)</f>
        <v>83.17</v>
      </c>
      <c r="P127" s="2">
        <f ca="1">IFERROR(__xludf.DUMMYFUNCTION("""COMPUTED_VALUE"""),82.01)</f>
        <v>82.01</v>
      </c>
      <c r="Q127" s="2">
        <f ca="1">IFERROR(__xludf.DUMMYFUNCTION("""COMPUTED_VALUE"""),82.83)</f>
        <v>82.83</v>
      </c>
    </row>
    <row r="128" spans="1:17" ht="15.75" customHeight="1" x14ac:dyDescent="0.25">
      <c r="A128" s="2">
        <v>1802</v>
      </c>
      <c r="B128" s="2" t="str">
        <f ca="1">IFERROR(__xludf.DUMMYFUNCTION("""COMPUTED_VALUE"""),"LAMPUNG")</f>
        <v>LAMPUNG</v>
      </c>
      <c r="C128" s="2" t="str">
        <f ca="1">IFERROR(__xludf.DUMMYFUNCTION("""COMPUTED_VALUE"""),"Tanggamus")</f>
        <v>Tanggamus</v>
      </c>
      <c r="D128" s="2">
        <f ca="1">IFERROR(__xludf.DUMMYFUNCTION("""COMPUTED_VALUE"""),2.21)</f>
        <v>2.21</v>
      </c>
      <c r="E128" s="2">
        <f ca="1">IFERROR(__xludf.DUMMYFUNCTION("""COMPUTED_VALUE"""),2.96)</f>
        <v>2.96</v>
      </c>
      <c r="F128" s="2">
        <f ca="1">IFERROR(__xludf.DUMMYFUNCTION("""COMPUTED_VALUE"""),2.96)</f>
        <v>2.96</v>
      </c>
      <c r="G128" s="2">
        <f ca="1">IFERROR(__xludf.DUMMYFUNCTION("""COMPUTED_VALUE"""),2.93)</f>
        <v>2.93</v>
      </c>
      <c r="H128" s="2">
        <f ca="1">IFERROR(__xludf.DUMMYFUNCTION("""COMPUTED_VALUE"""),3.7)</f>
        <v>3.7</v>
      </c>
      <c r="I128" s="2">
        <f ca="1">IFERROR(__xludf.DUMMYFUNCTION("""COMPUTED_VALUE"""),3.35)</f>
        <v>3.35</v>
      </c>
      <c r="J128" s="2">
        <f ca="1">IFERROR(__xludf.DUMMYFUNCTION("""COMPUTED_VALUE"""),3.19)</f>
        <v>3.19</v>
      </c>
      <c r="K128" s="2">
        <f ca="1">IFERROR(__xludf.DUMMYFUNCTION("""COMPUTED_VALUE"""),75.58)</f>
        <v>75.58</v>
      </c>
      <c r="L128" s="2">
        <f ca="1">IFERROR(__xludf.DUMMYFUNCTION("""COMPUTED_VALUE"""),68.78)</f>
        <v>68.78</v>
      </c>
      <c r="M128" s="2">
        <f ca="1">IFERROR(__xludf.DUMMYFUNCTION("""COMPUTED_VALUE"""),59.72)</f>
        <v>59.72</v>
      </c>
      <c r="N128" s="2">
        <f ca="1">IFERROR(__xludf.DUMMYFUNCTION("""COMPUTED_VALUE"""),68.76)</f>
        <v>68.760000000000005</v>
      </c>
      <c r="O128" s="2">
        <f ca="1">IFERROR(__xludf.DUMMYFUNCTION("""COMPUTED_VALUE"""),68.91)</f>
        <v>68.91</v>
      </c>
      <c r="P128" s="2">
        <f ca="1">IFERROR(__xludf.DUMMYFUNCTION("""COMPUTED_VALUE"""),70.6)</f>
        <v>70.599999999999994</v>
      </c>
      <c r="Q128" s="2">
        <f ca="1">IFERROR(__xludf.DUMMYFUNCTION("""COMPUTED_VALUE"""),70.75)</f>
        <v>70.75</v>
      </c>
    </row>
    <row r="129" spans="1:17" ht="15.75" customHeight="1" x14ac:dyDescent="0.25">
      <c r="A129" s="2">
        <v>1803</v>
      </c>
      <c r="B129" s="2" t="str">
        <f ca="1">IFERROR(__xludf.DUMMYFUNCTION("""COMPUTED_VALUE"""),"LAMPUNG")</f>
        <v>LAMPUNG</v>
      </c>
      <c r="C129" s="2" t="str">
        <f ca="1">IFERROR(__xludf.DUMMYFUNCTION("""COMPUTED_VALUE"""),"Lampung Selatan")</f>
        <v>Lampung Selatan</v>
      </c>
      <c r="D129" s="2">
        <f ca="1">IFERROR(__xludf.DUMMYFUNCTION("""COMPUTED_VALUE"""),4.49)</f>
        <v>4.49</v>
      </c>
      <c r="E129" s="2">
        <f ca="1">IFERROR(__xludf.DUMMYFUNCTION("""COMPUTED_VALUE"""),4.68)</f>
        <v>4.68</v>
      </c>
      <c r="F129" s="2">
        <f ca="1">IFERROR(__xludf.DUMMYFUNCTION("""COMPUTED_VALUE"""),5.19)</f>
        <v>5.19</v>
      </c>
      <c r="G129" s="2">
        <f ca="1">IFERROR(__xludf.DUMMYFUNCTION("""COMPUTED_VALUE"""),5.27)</f>
        <v>5.27</v>
      </c>
      <c r="H129" s="2">
        <f ca="1">IFERROR(__xludf.DUMMYFUNCTION("""COMPUTED_VALUE"""),5.31)</f>
        <v>5.31</v>
      </c>
      <c r="I129" s="2">
        <f ca="1">IFERROR(__xludf.DUMMYFUNCTION("""COMPUTED_VALUE"""),4.95)</f>
        <v>4.95</v>
      </c>
      <c r="J129" s="2">
        <f ca="1">IFERROR(__xludf.DUMMYFUNCTION("""COMPUTED_VALUE"""),4.84)</f>
        <v>4.84</v>
      </c>
      <c r="K129" s="2">
        <f ca="1">IFERROR(__xludf.DUMMYFUNCTION("""COMPUTED_VALUE"""),66.23)</f>
        <v>66.23</v>
      </c>
      <c r="L129" s="2">
        <f ca="1">IFERROR(__xludf.DUMMYFUNCTION("""COMPUTED_VALUE"""),64.49)</f>
        <v>64.489999999999995</v>
      </c>
      <c r="M129" s="2">
        <f ca="1">IFERROR(__xludf.DUMMYFUNCTION("""COMPUTED_VALUE"""),68.55)</f>
        <v>68.55</v>
      </c>
      <c r="N129" s="2">
        <f ca="1">IFERROR(__xludf.DUMMYFUNCTION("""COMPUTED_VALUE"""),66.05)</f>
        <v>66.05</v>
      </c>
      <c r="O129" s="2">
        <f ca="1">IFERROR(__xludf.DUMMYFUNCTION("""COMPUTED_VALUE"""),65.8)</f>
        <v>65.8</v>
      </c>
      <c r="P129" s="2">
        <f ca="1">IFERROR(__xludf.DUMMYFUNCTION("""COMPUTED_VALUE"""),66.43)</f>
        <v>66.430000000000007</v>
      </c>
      <c r="Q129" s="2">
        <f ca="1">IFERROR(__xludf.DUMMYFUNCTION("""COMPUTED_VALUE"""),67.34)</f>
        <v>67.34</v>
      </c>
    </row>
    <row r="130" spans="1:17" ht="15.75" customHeight="1" x14ac:dyDescent="0.25">
      <c r="A130" s="2">
        <v>1804</v>
      </c>
      <c r="B130" s="2" t="str">
        <f ca="1">IFERROR(__xludf.DUMMYFUNCTION("""COMPUTED_VALUE"""),"LAMPUNG")</f>
        <v>LAMPUNG</v>
      </c>
      <c r="C130" s="2" t="str">
        <f ca="1">IFERROR(__xludf.DUMMYFUNCTION("""COMPUTED_VALUE"""),"Lampung Timur")</f>
        <v>Lampung Timur</v>
      </c>
      <c r="D130" s="2">
        <f ca="1">IFERROR(__xludf.DUMMYFUNCTION("""COMPUTED_VALUE"""),3.8)</f>
        <v>3.8</v>
      </c>
      <c r="E130" s="2">
        <f ca="1">IFERROR(__xludf.DUMMYFUNCTION("""COMPUTED_VALUE"""),2.87)</f>
        <v>2.87</v>
      </c>
      <c r="F130" s="2">
        <f ca="1">IFERROR(__xludf.DUMMYFUNCTION("""COMPUTED_VALUE"""),2.64)</f>
        <v>2.64</v>
      </c>
      <c r="G130" s="2">
        <f ca="1">IFERROR(__xludf.DUMMYFUNCTION("""COMPUTED_VALUE"""),3.05)</f>
        <v>3.05</v>
      </c>
      <c r="H130" s="2">
        <f ca="1">IFERROR(__xludf.DUMMYFUNCTION("""COMPUTED_VALUE"""),3.3)</f>
        <v>3.3</v>
      </c>
      <c r="I130" s="2">
        <f ca="1">IFERROR(__xludf.DUMMYFUNCTION("""COMPUTED_VALUE"""),3.09)</f>
        <v>3.09</v>
      </c>
      <c r="J130" s="2">
        <f ca="1">IFERROR(__xludf.DUMMYFUNCTION("""COMPUTED_VALUE"""),3.02)</f>
        <v>3.02</v>
      </c>
      <c r="K130" s="2">
        <f ca="1">IFERROR(__xludf.DUMMYFUNCTION("""COMPUTED_VALUE"""),67.97)</f>
        <v>67.97</v>
      </c>
      <c r="L130" s="2">
        <f ca="1">IFERROR(__xludf.DUMMYFUNCTION("""COMPUTED_VALUE"""),68.72)</f>
        <v>68.72</v>
      </c>
      <c r="M130" s="2">
        <f ca="1">IFERROR(__xludf.DUMMYFUNCTION("""COMPUTED_VALUE"""),72.32)</f>
        <v>72.319999999999993</v>
      </c>
      <c r="N130" s="2">
        <f ca="1">IFERROR(__xludf.DUMMYFUNCTION("""COMPUTED_VALUE"""),68.67)</f>
        <v>68.67</v>
      </c>
      <c r="O130" s="2">
        <f ca="1">IFERROR(__xludf.DUMMYFUNCTION("""COMPUTED_VALUE"""),69.04)</f>
        <v>69.040000000000006</v>
      </c>
      <c r="P130" s="2">
        <f ca="1">IFERROR(__xludf.DUMMYFUNCTION("""COMPUTED_VALUE"""),68.74)</f>
        <v>68.739999999999995</v>
      </c>
      <c r="Q130" s="2">
        <f ca="1">IFERROR(__xludf.DUMMYFUNCTION("""COMPUTED_VALUE"""),68.91)</f>
        <v>68.91</v>
      </c>
    </row>
    <row r="131" spans="1:17" ht="15.75" customHeight="1" x14ac:dyDescent="0.25">
      <c r="A131" s="2">
        <v>1805</v>
      </c>
      <c r="B131" s="2" t="str">
        <f ca="1">IFERROR(__xludf.DUMMYFUNCTION("""COMPUTED_VALUE"""),"LAMPUNG")</f>
        <v>LAMPUNG</v>
      </c>
      <c r="C131" s="2" t="str">
        <f ca="1">IFERROR(__xludf.DUMMYFUNCTION("""COMPUTED_VALUE"""),"Lampung Tengah")</f>
        <v>Lampung Tengah</v>
      </c>
      <c r="D131" s="2">
        <f ca="1">IFERROR(__xludf.DUMMYFUNCTION("""COMPUTED_VALUE"""),2.51)</f>
        <v>2.5099999999999998</v>
      </c>
      <c r="E131" s="2">
        <f ca="1">IFERROR(__xludf.DUMMYFUNCTION("""COMPUTED_VALUE"""),2.61)</f>
        <v>2.61</v>
      </c>
      <c r="F131" s="2">
        <f ca="1">IFERROR(__xludf.DUMMYFUNCTION("""COMPUTED_VALUE"""),4.22)</f>
        <v>4.22</v>
      </c>
      <c r="G131" s="2">
        <f ca="1">IFERROR(__xludf.DUMMYFUNCTION("""COMPUTED_VALUE"""),4.31)</f>
        <v>4.3099999999999996</v>
      </c>
      <c r="H131" s="2">
        <f ca="1">IFERROR(__xludf.DUMMYFUNCTION("""COMPUTED_VALUE"""),3.56)</f>
        <v>3.56</v>
      </c>
      <c r="I131" s="2">
        <f ca="1">IFERROR(__xludf.DUMMYFUNCTION("""COMPUTED_VALUE"""),3.25)</f>
        <v>3.25</v>
      </c>
      <c r="J131" s="2">
        <f ca="1">IFERROR(__xludf.DUMMYFUNCTION("""COMPUTED_VALUE"""),3.33)</f>
        <v>3.33</v>
      </c>
      <c r="K131" s="2">
        <f ca="1">IFERROR(__xludf.DUMMYFUNCTION("""COMPUTED_VALUE"""),73.55)</f>
        <v>73.55</v>
      </c>
      <c r="L131" s="2">
        <f ca="1">IFERROR(__xludf.DUMMYFUNCTION("""COMPUTED_VALUE"""),71.89)</f>
        <v>71.89</v>
      </c>
      <c r="M131" s="2">
        <f ca="1">IFERROR(__xludf.DUMMYFUNCTION("""COMPUTED_VALUE"""),73.05)</f>
        <v>73.05</v>
      </c>
      <c r="N131" s="2">
        <f ca="1">IFERROR(__xludf.DUMMYFUNCTION("""COMPUTED_VALUE"""),72.26)</f>
        <v>72.260000000000005</v>
      </c>
      <c r="O131" s="2">
        <f ca="1">IFERROR(__xludf.DUMMYFUNCTION("""COMPUTED_VALUE"""),76.75)</f>
        <v>76.75</v>
      </c>
      <c r="P131" s="2">
        <f ca="1">IFERROR(__xludf.DUMMYFUNCTION("""COMPUTED_VALUE"""),73.32)</f>
        <v>73.319999999999993</v>
      </c>
      <c r="Q131" s="2">
        <f ca="1">IFERROR(__xludf.DUMMYFUNCTION("""COMPUTED_VALUE"""),73.51)</f>
        <v>73.510000000000005</v>
      </c>
    </row>
    <row r="132" spans="1:17" ht="15.75" customHeight="1" x14ac:dyDescent="0.25">
      <c r="A132" s="2">
        <v>1806</v>
      </c>
      <c r="B132" s="2" t="str">
        <f ca="1">IFERROR(__xludf.DUMMYFUNCTION("""COMPUTED_VALUE"""),"LAMPUNG")</f>
        <v>LAMPUNG</v>
      </c>
      <c r="C132" s="2" t="str">
        <f ca="1">IFERROR(__xludf.DUMMYFUNCTION("""COMPUTED_VALUE"""),"Lampung Utara")</f>
        <v>Lampung Utara</v>
      </c>
      <c r="D132" s="2">
        <f ca="1">IFERROR(__xludf.DUMMYFUNCTION("""COMPUTED_VALUE"""),4.83)</f>
        <v>4.83</v>
      </c>
      <c r="E132" s="2">
        <f ca="1">IFERROR(__xludf.DUMMYFUNCTION("""COMPUTED_VALUE"""),5.11)</f>
        <v>5.1100000000000003</v>
      </c>
      <c r="F132" s="2">
        <f ca="1">IFERROR(__xludf.DUMMYFUNCTION("""COMPUTED_VALUE"""),5.34)</f>
        <v>5.34</v>
      </c>
      <c r="G132" s="2">
        <f ca="1">IFERROR(__xludf.DUMMYFUNCTION("""COMPUTED_VALUE"""),6.14)</f>
        <v>6.14</v>
      </c>
      <c r="H132" s="2">
        <f ca="1">IFERROR(__xludf.DUMMYFUNCTION("""COMPUTED_VALUE"""),6.15)</f>
        <v>6.15</v>
      </c>
      <c r="I132" s="2">
        <f ca="1">IFERROR(__xludf.DUMMYFUNCTION("""COMPUTED_VALUE"""),5.73)</f>
        <v>5.73</v>
      </c>
      <c r="J132" s="2">
        <f ca="1">IFERROR(__xludf.DUMMYFUNCTION("""COMPUTED_VALUE"""),5.85)</f>
        <v>5.85</v>
      </c>
      <c r="K132" s="2">
        <f ca="1">IFERROR(__xludf.DUMMYFUNCTION("""COMPUTED_VALUE"""),68.48)</f>
        <v>68.48</v>
      </c>
      <c r="L132" s="2">
        <f ca="1">IFERROR(__xludf.DUMMYFUNCTION("""COMPUTED_VALUE"""),68.28)</f>
        <v>68.28</v>
      </c>
      <c r="M132" s="2">
        <f ca="1">IFERROR(__xludf.DUMMYFUNCTION("""COMPUTED_VALUE"""),68.12)</f>
        <v>68.12</v>
      </c>
      <c r="N132" s="2">
        <f ca="1">IFERROR(__xludf.DUMMYFUNCTION("""COMPUTED_VALUE"""),66.7)</f>
        <v>66.7</v>
      </c>
      <c r="O132" s="2">
        <f ca="1">IFERROR(__xludf.DUMMYFUNCTION("""COMPUTED_VALUE"""),63.96)</f>
        <v>63.96</v>
      </c>
      <c r="P132" s="2">
        <f ca="1">IFERROR(__xludf.DUMMYFUNCTION("""COMPUTED_VALUE"""),65.5)</f>
        <v>65.5</v>
      </c>
      <c r="Q132" s="2">
        <f ca="1">IFERROR(__xludf.DUMMYFUNCTION("""COMPUTED_VALUE"""),66.55)</f>
        <v>66.55</v>
      </c>
    </row>
    <row r="133" spans="1:17" ht="15.75" customHeight="1" x14ac:dyDescent="0.25">
      <c r="A133" s="2">
        <v>1807</v>
      </c>
      <c r="B133" s="2" t="str">
        <f ca="1">IFERROR(__xludf.DUMMYFUNCTION("""COMPUTED_VALUE"""),"LAMPUNG")</f>
        <v>LAMPUNG</v>
      </c>
      <c r="C133" s="2" t="str">
        <f ca="1">IFERROR(__xludf.DUMMYFUNCTION("""COMPUTED_VALUE"""),"Way Kanan")</f>
        <v>Way Kanan</v>
      </c>
      <c r="D133" s="2">
        <f ca="1">IFERROR(__xludf.DUMMYFUNCTION("""COMPUTED_VALUE"""),4.42)</f>
        <v>4.42</v>
      </c>
      <c r="E133" s="2">
        <f ca="1">IFERROR(__xludf.DUMMYFUNCTION("""COMPUTED_VALUE"""),3.59)</f>
        <v>3.59</v>
      </c>
      <c r="F133" s="2">
        <f ca="1">IFERROR(__xludf.DUMMYFUNCTION("""COMPUTED_VALUE"""),3.56)</f>
        <v>3.56</v>
      </c>
      <c r="G133" s="2">
        <f ca="1">IFERROR(__xludf.DUMMYFUNCTION("""COMPUTED_VALUE"""),3.36)</f>
        <v>3.36</v>
      </c>
      <c r="H133" s="2">
        <f ca="1">IFERROR(__xludf.DUMMYFUNCTION("""COMPUTED_VALUE"""),3.28)</f>
        <v>3.28</v>
      </c>
      <c r="I133" s="2">
        <f ca="1">IFERROR(__xludf.DUMMYFUNCTION("""COMPUTED_VALUE"""),3.07)</f>
        <v>3.07</v>
      </c>
      <c r="J133" s="2">
        <f ca="1">IFERROR(__xludf.DUMMYFUNCTION("""COMPUTED_VALUE"""),3.27)</f>
        <v>3.27</v>
      </c>
      <c r="K133" s="2">
        <f ca="1">IFERROR(__xludf.DUMMYFUNCTION("""COMPUTED_VALUE"""),72.14)</f>
        <v>72.14</v>
      </c>
      <c r="L133" s="2">
        <f ca="1">IFERROR(__xludf.DUMMYFUNCTION("""COMPUTED_VALUE"""),76.2)</f>
        <v>76.2</v>
      </c>
      <c r="M133" s="2">
        <f ca="1">IFERROR(__xludf.DUMMYFUNCTION("""COMPUTED_VALUE"""),75.22)</f>
        <v>75.22</v>
      </c>
      <c r="N133" s="2">
        <f ca="1">IFERROR(__xludf.DUMMYFUNCTION("""COMPUTED_VALUE"""),74.78)</f>
        <v>74.78</v>
      </c>
      <c r="O133" s="2">
        <f ca="1">IFERROR(__xludf.DUMMYFUNCTION("""COMPUTED_VALUE"""),71.86)</f>
        <v>71.86</v>
      </c>
      <c r="P133" s="2">
        <f ca="1">IFERROR(__xludf.DUMMYFUNCTION("""COMPUTED_VALUE"""),73.32)</f>
        <v>73.319999999999993</v>
      </c>
      <c r="Q133" s="2">
        <f ca="1">IFERROR(__xludf.DUMMYFUNCTION("""COMPUTED_VALUE"""),73.71)</f>
        <v>73.709999999999994</v>
      </c>
    </row>
    <row r="134" spans="1:17" ht="15.75" customHeight="1" x14ac:dyDescent="0.25">
      <c r="A134" s="2">
        <v>1808</v>
      </c>
      <c r="B134" s="2" t="str">
        <f ca="1">IFERROR(__xludf.DUMMYFUNCTION("""COMPUTED_VALUE"""),"LAMPUNG")</f>
        <v>LAMPUNG</v>
      </c>
      <c r="C134" s="2" t="str">
        <f ca="1">IFERROR(__xludf.DUMMYFUNCTION("""COMPUTED_VALUE"""),"Tulang Bawang")</f>
        <v>Tulang Bawang</v>
      </c>
      <c r="D134" s="2">
        <f ca="1">IFERROR(__xludf.DUMMYFUNCTION("""COMPUTED_VALUE"""),3.52)</f>
        <v>3.52</v>
      </c>
      <c r="E134" s="2">
        <f ca="1">IFERROR(__xludf.DUMMYFUNCTION("""COMPUTED_VALUE"""),4.01)</f>
        <v>4.01</v>
      </c>
      <c r="F134" s="2">
        <f ca="1">IFERROR(__xludf.DUMMYFUNCTION("""COMPUTED_VALUE"""),4.84)</f>
        <v>4.84</v>
      </c>
      <c r="G134" s="2">
        <f ca="1">IFERROR(__xludf.DUMMYFUNCTION("""COMPUTED_VALUE"""),4.1)</f>
        <v>4.0999999999999996</v>
      </c>
      <c r="H134" s="2">
        <f ca="1">IFERROR(__xludf.DUMMYFUNCTION("""COMPUTED_VALUE"""),3.52)</f>
        <v>3.52</v>
      </c>
      <c r="I134" s="2">
        <f ca="1">IFERROR(__xludf.DUMMYFUNCTION("""COMPUTED_VALUE"""),3.46)</f>
        <v>3.46</v>
      </c>
      <c r="J134" s="2">
        <f ca="1">IFERROR(__xludf.DUMMYFUNCTION("""COMPUTED_VALUE"""),3.23)</f>
        <v>3.23</v>
      </c>
      <c r="K134" s="2">
        <f ca="1">IFERROR(__xludf.DUMMYFUNCTION("""COMPUTED_VALUE"""),69.25)</f>
        <v>69.25</v>
      </c>
      <c r="L134" s="2">
        <f ca="1">IFERROR(__xludf.DUMMYFUNCTION("""COMPUTED_VALUE"""),68.29)</f>
        <v>68.290000000000006</v>
      </c>
      <c r="M134" s="2">
        <f ca="1">IFERROR(__xludf.DUMMYFUNCTION("""COMPUTED_VALUE"""),69.83)</f>
        <v>69.83</v>
      </c>
      <c r="N134" s="2">
        <f ca="1">IFERROR(__xludf.DUMMYFUNCTION("""COMPUTED_VALUE"""),68.32)</f>
        <v>68.319999999999993</v>
      </c>
      <c r="O134" s="2">
        <f ca="1">IFERROR(__xludf.DUMMYFUNCTION("""COMPUTED_VALUE"""),65.84)</f>
        <v>65.84</v>
      </c>
      <c r="P134" s="2">
        <f ca="1">IFERROR(__xludf.DUMMYFUNCTION("""COMPUTED_VALUE"""),71.47)</f>
        <v>71.47</v>
      </c>
      <c r="Q134" s="2">
        <f ca="1">IFERROR(__xludf.DUMMYFUNCTION("""COMPUTED_VALUE"""),71.53)</f>
        <v>71.53</v>
      </c>
    </row>
    <row r="135" spans="1:17" ht="15.75" customHeight="1" x14ac:dyDescent="0.25">
      <c r="A135" s="2">
        <v>1809</v>
      </c>
      <c r="B135" s="2" t="str">
        <f ca="1">IFERROR(__xludf.DUMMYFUNCTION("""COMPUTED_VALUE"""),"LAMPUNG")</f>
        <v>LAMPUNG</v>
      </c>
      <c r="C135" s="2" t="str">
        <f ca="1">IFERROR(__xludf.DUMMYFUNCTION("""COMPUTED_VALUE"""),"Pesawaran")</f>
        <v>Pesawaran</v>
      </c>
      <c r="D135" s="2">
        <f ca="1">IFERROR(__xludf.DUMMYFUNCTION("""COMPUTED_VALUE"""),4.63)</f>
        <v>4.63</v>
      </c>
      <c r="E135" s="2">
        <f ca="1">IFERROR(__xludf.DUMMYFUNCTION("""COMPUTED_VALUE"""),4.41)</f>
        <v>4.41</v>
      </c>
      <c r="F135" s="2">
        <f ca="1">IFERROR(__xludf.DUMMYFUNCTION("""COMPUTED_VALUE"""),4.64)</f>
        <v>4.6399999999999997</v>
      </c>
      <c r="G135" s="2">
        <f ca="1">IFERROR(__xludf.DUMMYFUNCTION("""COMPUTED_VALUE"""),4.19)</f>
        <v>4.1900000000000004</v>
      </c>
      <c r="H135" s="2">
        <f ca="1">IFERROR(__xludf.DUMMYFUNCTION("""COMPUTED_VALUE"""),5.06)</f>
        <v>5.0599999999999996</v>
      </c>
      <c r="I135" s="2">
        <f ca="1">IFERROR(__xludf.DUMMYFUNCTION("""COMPUTED_VALUE"""),4.76)</f>
        <v>4.76</v>
      </c>
      <c r="J135" s="2">
        <f ca="1">IFERROR(__xludf.DUMMYFUNCTION("""COMPUTED_VALUE"""),4.36)</f>
        <v>4.3600000000000003</v>
      </c>
      <c r="K135" s="2">
        <f ca="1">IFERROR(__xludf.DUMMYFUNCTION("""COMPUTED_VALUE"""),68.3)</f>
        <v>68.3</v>
      </c>
      <c r="L135" s="2">
        <f ca="1">IFERROR(__xludf.DUMMYFUNCTION("""COMPUTED_VALUE"""),67.75)</f>
        <v>67.75</v>
      </c>
      <c r="M135" s="2">
        <f ca="1">IFERROR(__xludf.DUMMYFUNCTION("""COMPUTED_VALUE"""),69.49)</f>
        <v>69.489999999999995</v>
      </c>
      <c r="N135" s="2">
        <f ca="1">IFERROR(__xludf.DUMMYFUNCTION("""COMPUTED_VALUE"""),65.42)</f>
        <v>65.42</v>
      </c>
      <c r="O135" s="2">
        <f ca="1">IFERROR(__xludf.DUMMYFUNCTION("""COMPUTED_VALUE"""),71.27)</f>
        <v>71.27</v>
      </c>
      <c r="P135" s="2">
        <f ca="1">IFERROR(__xludf.DUMMYFUNCTION("""COMPUTED_VALUE"""),70.45)</f>
        <v>70.45</v>
      </c>
      <c r="Q135" s="2">
        <f ca="1">IFERROR(__xludf.DUMMYFUNCTION("""COMPUTED_VALUE"""),70.69)</f>
        <v>70.69</v>
      </c>
    </row>
    <row r="136" spans="1:17" ht="15.75" customHeight="1" x14ac:dyDescent="0.25">
      <c r="A136" s="2">
        <v>1810</v>
      </c>
      <c r="B136" s="2" t="str">
        <f ca="1">IFERROR(__xludf.DUMMYFUNCTION("""COMPUTED_VALUE"""),"LAMPUNG")</f>
        <v>LAMPUNG</v>
      </c>
      <c r="C136" s="2" t="str">
        <f ca="1">IFERROR(__xludf.DUMMYFUNCTION("""COMPUTED_VALUE"""),"Pringsewu")</f>
        <v>Pringsewu</v>
      </c>
      <c r="D136" s="2">
        <f ca="1">IFERROR(__xludf.DUMMYFUNCTION("""COMPUTED_VALUE"""),4.13)</f>
        <v>4.13</v>
      </c>
      <c r="E136" s="2">
        <f ca="1">IFERROR(__xludf.DUMMYFUNCTION("""COMPUTED_VALUE"""),4.92)</f>
        <v>4.92</v>
      </c>
      <c r="F136" s="2">
        <f ca="1">IFERROR(__xludf.DUMMYFUNCTION("""COMPUTED_VALUE"""),5.77)</f>
        <v>5.77</v>
      </c>
      <c r="G136" s="2">
        <f ca="1">IFERROR(__xludf.DUMMYFUNCTION("""COMPUTED_VALUE"""),4.85)</f>
        <v>4.8499999999999996</v>
      </c>
      <c r="H136" s="2">
        <f ca="1">IFERROR(__xludf.DUMMYFUNCTION("""COMPUTED_VALUE"""),4.77)</f>
        <v>4.7699999999999996</v>
      </c>
      <c r="I136" s="2">
        <f ca="1">IFERROR(__xludf.DUMMYFUNCTION("""COMPUTED_VALUE"""),4.66)</f>
        <v>4.66</v>
      </c>
      <c r="J136" s="2">
        <f ca="1">IFERROR(__xludf.DUMMYFUNCTION("""COMPUTED_VALUE"""),4.39)</f>
        <v>4.3899999999999997</v>
      </c>
      <c r="K136" s="2">
        <f ca="1">IFERROR(__xludf.DUMMYFUNCTION("""COMPUTED_VALUE"""),67.94)</f>
        <v>67.94</v>
      </c>
      <c r="L136" s="2">
        <f ca="1">IFERROR(__xludf.DUMMYFUNCTION("""COMPUTED_VALUE"""),68.59)</f>
        <v>68.59</v>
      </c>
      <c r="M136" s="2">
        <f ca="1">IFERROR(__xludf.DUMMYFUNCTION("""COMPUTED_VALUE"""),68.69)</f>
        <v>68.69</v>
      </c>
      <c r="N136" s="2">
        <f ca="1">IFERROR(__xludf.DUMMYFUNCTION("""COMPUTED_VALUE"""),67.03)</f>
        <v>67.03</v>
      </c>
      <c r="O136" s="2">
        <f ca="1">IFERROR(__xludf.DUMMYFUNCTION("""COMPUTED_VALUE"""),73.17)</f>
        <v>73.17</v>
      </c>
      <c r="P136" s="2">
        <f ca="1">IFERROR(__xludf.DUMMYFUNCTION("""COMPUTED_VALUE"""),73.29)</f>
        <v>73.290000000000006</v>
      </c>
      <c r="Q136" s="2">
        <f ca="1">IFERROR(__xludf.DUMMYFUNCTION("""COMPUTED_VALUE"""),73.55)</f>
        <v>73.55</v>
      </c>
    </row>
    <row r="137" spans="1:17" ht="15.75" customHeight="1" x14ac:dyDescent="0.25">
      <c r="A137" s="2">
        <v>1811</v>
      </c>
      <c r="B137" s="2" t="str">
        <f ca="1">IFERROR(__xludf.DUMMYFUNCTION("""COMPUTED_VALUE"""),"LAMPUNG")</f>
        <v>LAMPUNG</v>
      </c>
      <c r="C137" s="2" t="str">
        <f ca="1">IFERROR(__xludf.DUMMYFUNCTION("""COMPUTED_VALUE"""),"Mesuji")</f>
        <v>Mesuji</v>
      </c>
      <c r="D137" s="2">
        <f ca="1">IFERROR(__xludf.DUMMYFUNCTION("""COMPUTED_VALUE"""),3.76)</f>
        <v>3.76</v>
      </c>
      <c r="E137" s="2">
        <f ca="1">IFERROR(__xludf.DUMMYFUNCTION("""COMPUTED_VALUE"""),3.61)</f>
        <v>3.61</v>
      </c>
      <c r="F137" s="2">
        <f ca="1">IFERROR(__xludf.DUMMYFUNCTION("""COMPUTED_VALUE"""),3.71)</f>
        <v>3.71</v>
      </c>
      <c r="G137" s="2">
        <f ca="1">IFERROR(__xludf.DUMMYFUNCTION("""COMPUTED_VALUE"""),3.42)</f>
        <v>3.42</v>
      </c>
      <c r="H137" s="2">
        <f ca="1">IFERROR(__xludf.DUMMYFUNCTION("""COMPUTED_VALUE"""),3.22)</f>
        <v>3.22</v>
      </c>
      <c r="I137" s="2">
        <f ca="1">IFERROR(__xludf.DUMMYFUNCTION("""COMPUTED_VALUE"""),2.46)</f>
        <v>2.46</v>
      </c>
      <c r="J137" s="2">
        <f ca="1">IFERROR(__xludf.DUMMYFUNCTION("""COMPUTED_VALUE"""),2.85)</f>
        <v>2.85</v>
      </c>
      <c r="K137" s="2">
        <f ca="1">IFERROR(__xludf.DUMMYFUNCTION("""COMPUTED_VALUE"""),64.74)</f>
        <v>64.739999999999995</v>
      </c>
      <c r="L137" s="2">
        <f ca="1">IFERROR(__xludf.DUMMYFUNCTION("""COMPUTED_VALUE"""),68.51)</f>
        <v>68.510000000000005</v>
      </c>
      <c r="M137" s="2">
        <f ca="1">IFERROR(__xludf.DUMMYFUNCTION("""COMPUTED_VALUE"""),70.51)</f>
        <v>70.510000000000005</v>
      </c>
      <c r="N137" s="2">
        <f ca="1">IFERROR(__xludf.DUMMYFUNCTION("""COMPUTED_VALUE"""),69.21)</f>
        <v>69.209999999999994</v>
      </c>
      <c r="O137" s="2">
        <f ca="1">IFERROR(__xludf.DUMMYFUNCTION("""COMPUTED_VALUE"""),70.45)</f>
        <v>70.45</v>
      </c>
      <c r="P137" s="2">
        <f ca="1">IFERROR(__xludf.DUMMYFUNCTION("""COMPUTED_VALUE"""),70.15)</f>
        <v>70.150000000000006</v>
      </c>
      <c r="Q137" s="2">
        <f ca="1">IFERROR(__xludf.DUMMYFUNCTION("""COMPUTED_VALUE"""),70.2)</f>
        <v>70.2</v>
      </c>
    </row>
    <row r="138" spans="1:17" ht="15.75" customHeight="1" x14ac:dyDescent="0.25">
      <c r="A138" s="2">
        <v>1812</v>
      </c>
      <c r="B138" s="2" t="str">
        <f ca="1">IFERROR(__xludf.DUMMYFUNCTION("""COMPUTED_VALUE"""),"LAMPUNG")</f>
        <v>LAMPUNG</v>
      </c>
      <c r="C138" s="2" t="str">
        <f ca="1">IFERROR(__xludf.DUMMYFUNCTION("""COMPUTED_VALUE"""),"Tulang Bawang Barat")</f>
        <v>Tulang Bawang Barat</v>
      </c>
      <c r="D138" s="2">
        <f ca="1">IFERROR(__xludf.DUMMYFUNCTION("""COMPUTED_VALUE"""),2.95)</f>
        <v>2.95</v>
      </c>
      <c r="E138" s="2">
        <f ca="1">IFERROR(__xludf.DUMMYFUNCTION("""COMPUTED_VALUE"""),3.57)</f>
        <v>3.57</v>
      </c>
      <c r="F138" s="2">
        <f ca="1">IFERROR(__xludf.DUMMYFUNCTION("""COMPUTED_VALUE"""),3.46)</f>
        <v>3.46</v>
      </c>
      <c r="G138" s="2">
        <f ca="1">IFERROR(__xludf.DUMMYFUNCTION("""COMPUTED_VALUE"""),3.35)</f>
        <v>3.35</v>
      </c>
      <c r="H138" s="2">
        <f ca="1">IFERROR(__xludf.DUMMYFUNCTION("""COMPUTED_VALUE"""),4.12)</f>
        <v>4.12</v>
      </c>
      <c r="I138" s="2">
        <f ca="1">IFERROR(__xludf.DUMMYFUNCTION("""COMPUTED_VALUE"""),3.89)</f>
        <v>3.89</v>
      </c>
      <c r="J138" s="2">
        <f ca="1">IFERROR(__xludf.DUMMYFUNCTION("""COMPUTED_VALUE"""),4.12)</f>
        <v>4.12</v>
      </c>
      <c r="K138" s="2">
        <f ca="1">IFERROR(__xludf.DUMMYFUNCTION("""COMPUTED_VALUE"""),70.21)</f>
        <v>70.209999999999994</v>
      </c>
      <c r="L138" s="2">
        <f ca="1">IFERROR(__xludf.DUMMYFUNCTION("""COMPUTED_VALUE"""),70.6)</f>
        <v>70.599999999999994</v>
      </c>
      <c r="M138" s="2">
        <f ca="1">IFERROR(__xludf.DUMMYFUNCTION("""COMPUTED_VALUE"""),71.58)</f>
        <v>71.58</v>
      </c>
      <c r="N138" s="2">
        <f ca="1">IFERROR(__xludf.DUMMYFUNCTION("""COMPUTED_VALUE"""),72.32)</f>
        <v>72.319999999999993</v>
      </c>
      <c r="O138" s="2">
        <f ca="1">IFERROR(__xludf.DUMMYFUNCTION("""COMPUTED_VALUE"""),70.21)</f>
        <v>70.209999999999994</v>
      </c>
      <c r="P138" s="2">
        <f ca="1">IFERROR(__xludf.DUMMYFUNCTION("""COMPUTED_VALUE"""),70.77)</f>
        <v>70.77</v>
      </c>
      <c r="Q138" s="2">
        <f ca="1">IFERROR(__xludf.DUMMYFUNCTION("""COMPUTED_VALUE"""),70.9)</f>
        <v>70.900000000000006</v>
      </c>
    </row>
    <row r="139" spans="1:17" ht="15.75" customHeight="1" x14ac:dyDescent="0.25">
      <c r="A139" s="2">
        <v>1813</v>
      </c>
      <c r="B139" s="2" t="str">
        <f ca="1">IFERROR(__xludf.DUMMYFUNCTION("""COMPUTED_VALUE"""),"LAMPUNG")</f>
        <v>LAMPUNG</v>
      </c>
      <c r="C139" s="2" t="str">
        <f ca="1">IFERROR(__xludf.DUMMYFUNCTION("""COMPUTED_VALUE"""),"Pesisir Barat")</f>
        <v>Pesisir Barat</v>
      </c>
      <c r="D139" s="2">
        <f ca="1">IFERROR(__xludf.DUMMYFUNCTION("""COMPUTED_VALUE"""),1.87)</f>
        <v>1.87</v>
      </c>
      <c r="E139" s="2">
        <f ca="1">IFERROR(__xludf.DUMMYFUNCTION("""COMPUTED_VALUE"""),3.25)</f>
        <v>3.25</v>
      </c>
      <c r="F139" s="2">
        <f ca="1">IFERROR(__xludf.DUMMYFUNCTION("""COMPUTED_VALUE"""),3.41)</f>
        <v>3.41</v>
      </c>
      <c r="G139" s="2">
        <f ca="1">IFERROR(__xludf.DUMMYFUNCTION("""COMPUTED_VALUE"""),3.08)</f>
        <v>3.08</v>
      </c>
      <c r="H139" s="2">
        <f ca="1">IFERROR(__xludf.DUMMYFUNCTION("""COMPUTED_VALUE"""),3.73)</f>
        <v>3.73</v>
      </c>
      <c r="I139" s="2">
        <f ca="1">IFERROR(__xludf.DUMMYFUNCTION("""COMPUTED_VALUE"""),3.47)</f>
        <v>3.47</v>
      </c>
      <c r="J139" s="2">
        <f ca="1">IFERROR(__xludf.DUMMYFUNCTION("""COMPUTED_VALUE"""),3.04)</f>
        <v>3.04</v>
      </c>
      <c r="K139" s="2">
        <f ca="1">IFERROR(__xludf.DUMMYFUNCTION("""COMPUTED_VALUE"""),67.62)</f>
        <v>67.62</v>
      </c>
      <c r="L139" s="2">
        <f ca="1">IFERROR(__xludf.DUMMYFUNCTION("""COMPUTED_VALUE"""),70.89)</f>
        <v>70.89</v>
      </c>
      <c r="M139" s="2">
        <f ca="1">IFERROR(__xludf.DUMMYFUNCTION("""COMPUTED_VALUE"""),70.54)</f>
        <v>70.540000000000006</v>
      </c>
      <c r="N139" s="2">
        <f ca="1">IFERROR(__xludf.DUMMYFUNCTION("""COMPUTED_VALUE"""),74.62)</f>
        <v>74.62</v>
      </c>
      <c r="O139" s="2">
        <f ca="1">IFERROR(__xludf.DUMMYFUNCTION("""COMPUTED_VALUE"""),71.27)</f>
        <v>71.27</v>
      </c>
      <c r="P139" s="2">
        <f ca="1">IFERROR(__xludf.DUMMYFUNCTION("""COMPUTED_VALUE"""),71.91)</f>
        <v>71.91</v>
      </c>
      <c r="Q139" s="2">
        <f ca="1">IFERROR(__xludf.DUMMYFUNCTION("""COMPUTED_VALUE"""),72.41)</f>
        <v>72.41</v>
      </c>
    </row>
    <row r="140" spans="1:17" ht="15.75" customHeight="1" x14ac:dyDescent="0.25">
      <c r="A140" s="2">
        <v>1871</v>
      </c>
      <c r="B140" s="2" t="str">
        <f ca="1">IFERROR(__xludf.DUMMYFUNCTION("""COMPUTED_VALUE"""),"LAMPUNG")</f>
        <v>LAMPUNG</v>
      </c>
      <c r="C140" s="10" t="s">
        <v>83</v>
      </c>
      <c r="D140" s="2">
        <f ca="1">IFERROR(__xludf.DUMMYFUNCTION("""COMPUTED_VALUE"""),7.27)</f>
        <v>7.27</v>
      </c>
      <c r="E140" s="2">
        <f ca="1">IFERROR(__xludf.DUMMYFUNCTION("""COMPUTED_VALUE"""),7.15)</f>
        <v>7.15</v>
      </c>
      <c r="F140" s="2">
        <f ca="1">IFERROR(__xludf.DUMMYFUNCTION("""COMPUTED_VALUE"""),8.79)</f>
        <v>8.7899999999999991</v>
      </c>
      <c r="G140" s="2">
        <f ca="1">IFERROR(__xludf.DUMMYFUNCTION("""COMPUTED_VALUE"""),8.85)</f>
        <v>8.85</v>
      </c>
      <c r="H140" s="2">
        <f ca="1">IFERROR(__xludf.DUMMYFUNCTION("""COMPUTED_VALUE"""),7.91)</f>
        <v>7.91</v>
      </c>
      <c r="I140" s="2">
        <f ca="1">IFERROR(__xludf.DUMMYFUNCTION("""COMPUTED_VALUE"""),7.43)</f>
        <v>7.43</v>
      </c>
      <c r="J140" s="2">
        <f ca="1">IFERROR(__xludf.DUMMYFUNCTION("""COMPUTED_VALUE"""),7.44)</f>
        <v>7.44</v>
      </c>
      <c r="K140" s="2">
        <f ca="1">IFERROR(__xludf.DUMMYFUNCTION("""COMPUTED_VALUE"""),65.92)</f>
        <v>65.92</v>
      </c>
      <c r="L140" s="2">
        <f ca="1">IFERROR(__xludf.DUMMYFUNCTION("""COMPUTED_VALUE"""),65.53)</f>
        <v>65.53</v>
      </c>
      <c r="M140" s="2">
        <f ca="1">IFERROR(__xludf.DUMMYFUNCTION("""COMPUTED_VALUE"""),67.79)</f>
        <v>67.790000000000006</v>
      </c>
      <c r="N140" s="2">
        <f ca="1">IFERROR(__xludf.DUMMYFUNCTION("""COMPUTED_VALUE"""),67.18)</f>
        <v>67.180000000000007</v>
      </c>
      <c r="O140" s="2">
        <f ca="1">IFERROR(__xludf.DUMMYFUNCTION("""COMPUTED_VALUE"""),66.7)</f>
        <v>66.7</v>
      </c>
      <c r="P140" s="2">
        <f ca="1">IFERROR(__xludf.DUMMYFUNCTION("""COMPUTED_VALUE"""),66.05)</f>
        <v>66.05</v>
      </c>
      <c r="Q140" s="2">
        <f ca="1">IFERROR(__xludf.DUMMYFUNCTION("""COMPUTED_VALUE"""),66.25)</f>
        <v>66.25</v>
      </c>
    </row>
    <row r="141" spans="1:17" ht="15.75" customHeight="1" x14ac:dyDescent="0.25">
      <c r="A141" s="2">
        <v>1872</v>
      </c>
      <c r="B141" s="2" t="str">
        <f ca="1">IFERROR(__xludf.DUMMYFUNCTION("""COMPUTED_VALUE"""),"LAMPUNG")</f>
        <v>LAMPUNG</v>
      </c>
      <c r="C141" s="10" t="s">
        <v>82</v>
      </c>
      <c r="D141" s="2">
        <f ca="1">IFERROR(__xludf.DUMMYFUNCTION("""COMPUTED_VALUE"""),5.79)</f>
        <v>5.79</v>
      </c>
      <c r="E141" s="2">
        <f ca="1">IFERROR(__xludf.DUMMYFUNCTION("""COMPUTED_VALUE"""),5.12)</f>
        <v>5.12</v>
      </c>
      <c r="F141" s="2">
        <f ca="1">IFERROR(__xludf.DUMMYFUNCTION("""COMPUTED_VALUE"""),5.4)</f>
        <v>5.4</v>
      </c>
      <c r="G141" s="2">
        <f ca="1">IFERROR(__xludf.DUMMYFUNCTION("""COMPUTED_VALUE"""),5)</f>
        <v>5</v>
      </c>
      <c r="H141" s="2">
        <f ca="1">IFERROR(__xludf.DUMMYFUNCTION("""COMPUTED_VALUE"""),4.34)</f>
        <v>4.34</v>
      </c>
      <c r="I141" s="2">
        <f ca="1">IFERROR(__xludf.DUMMYFUNCTION("""COMPUTED_VALUE"""),3.6)</f>
        <v>3.6</v>
      </c>
      <c r="J141" s="2">
        <f ca="1">IFERROR(__xludf.DUMMYFUNCTION("""COMPUTED_VALUE"""),3.71)</f>
        <v>3.71</v>
      </c>
      <c r="K141" s="2">
        <f ca="1">IFERROR(__xludf.DUMMYFUNCTION("""COMPUTED_VALUE"""),65.68)</f>
        <v>65.680000000000007</v>
      </c>
      <c r="L141" s="2">
        <f ca="1">IFERROR(__xludf.DUMMYFUNCTION("""COMPUTED_VALUE"""),68.26)</f>
        <v>68.260000000000005</v>
      </c>
      <c r="M141" s="2">
        <f ca="1">IFERROR(__xludf.DUMMYFUNCTION("""COMPUTED_VALUE"""),69.01)</f>
        <v>69.010000000000005</v>
      </c>
      <c r="N141" s="2">
        <f ca="1">IFERROR(__xludf.DUMMYFUNCTION("""COMPUTED_VALUE"""),66.71)</f>
        <v>66.709999999999994</v>
      </c>
      <c r="O141" s="2">
        <f ca="1">IFERROR(__xludf.DUMMYFUNCTION("""COMPUTED_VALUE"""),68.36)</f>
        <v>68.36</v>
      </c>
      <c r="P141" s="2">
        <f ca="1">IFERROR(__xludf.DUMMYFUNCTION("""COMPUTED_VALUE"""),68.92)</f>
        <v>68.92</v>
      </c>
      <c r="Q141" s="2">
        <f ca="1">IFERROR(__xludf.DUMMYFUNCTION("""COMPUTED_VALUE"""),70.08)</f>
        <v>70.08</v>
      </c>
    </row>
    <row r="142" spans="1:17" ht="15.75" customHeight="1" x14ac:dyDescent="0.25">
      <c r="A142" s="2">
        <v>1901</v>
      </c>
      <c r="B142" s="2" t="str">
        <f ca="1">IFERROR(__xludf.DUMMYFUNCTION("""COMPUTED_VALUE"""),"BANGKA BELITUNG")</f>
        <v>BANGKA BELITUNG</v>
      </c>
      <c r="C142" s="2" t="str">
        <f ca="1">IFERROR(__xludf.DUMMYFUNCTION("""COMPUTED_VALUE"""),"Bangka")</f>
        <v>Bangka</v>
      </c>
      <c r="D142" s="2">
        <f ca="1">IFERROR(__xludf.DUMMYFUNCTION("""COMPUTED_VALUE"""),4.12)</f>
        <v>4.12</v>
      </c>
      <c r="E142" s="2">
        <f ca="1">IFERROR(__xludf.DUMMYFUNCTION("""COMPUTED_VALUE"""),3.8)</f>
        <v>3.8</v>
      </c>
      <c r="F142" s="2">
        <f ca="1">IFERROR(__xludf.DUMMYFUNCTION("""COMPUTED_VALUE"""),5.42)</f>
        <v>5.42</v>
      </c>
      <c r="G142" s="2">
        <f ca="1">IFERROR(__xludf.DUMMYFUNCTION("""COMPUTED_VALUE"""),5.97)</f>
        <v>5.97</v>
      </c>
      <c r="H142" s="2">
        <f ca="1">IFERROR(__xludf.DUMMYFUNCTION("""COMPUTED_VALUE"""),5.39)</f>
        <v>5.39</v>
      </c>
      <c r="I142" s="2">
        <f ca="1">IFERROR(__xludf.DUMMYFUNCTION("""COMPUTED_VALUE"""),5.03)</f>
        <v>5.03</v>
      </c>
      <c r="J142" s="2">
        <f ca="1">IFERROR(__xludf.DUMMYFUNCTION("""COMPUTED_VALUE"""),4.91)</f>
        <v>4.91</v>
      </c>
      <c r="K142" s="2">
        <f ca="1">IFERROR(__xludf.DUMMYFUNCTION("""COMPUTED_VALUE"""),64.1)</f>
        <v>64.099999999999994</v>
      </c>
      <c r="L142" s="2">
        <f ca="1">IFERROR(__xludf.DUMMYFUNCTION("""COMPUTED_VALUE"""),64.3)</f>
        <v>64.3</v>
      </c>
      <c r="M142" s="2">
        <f ca="1">IFERROR(__xludf.DUMMYFUNCTION("""COMPUTED_VALUE"""),63.93)</f>
        <v>63.93</v>
      </c>
      <c r="N142" s="2">
        <f ca="1">IFERROR(__xludf.DUMMYFUNCTION("""COMPUTED_VALUE"""),62.68)</f>
        <v>62.68</v>
      </c>
      <c r="O142" s="2">
        <f ca="1">IFERROR(__xludf.DUMMYFUNCTION("""COMPUTED_VALUE"""),68.81)</f>
        <v>68.81</v>
      </c>
      <c r="P142" s="2">
        <f ca="1">IFERROR(__xludf.DUMMYFUNCTION("""COMPUTED_VALUE"""),67.46)</f>
        <v>67.459999999999994</v>
      </c>
      <c r="Q142" s="2">
        <f ca="1">IFERROR(__xludf.DUMMYFUNCTION("""COMPUTED_VALUE"""),67.92)</f>
        <v>67.92</v>
      </c>
    </row>
    <row r="143" spans="1:17" ht="15.75" customHeight="1" x14ac:dyDescent="0.25">
      <c r="A143" s="2">
        <v>1902</v>
      </c>
      <c r="B143" s="2" t="str">
        <f ca="1">IFERROR(__xludf.DUMMYFUNCTION("""COMPUTED_VALUE"""),"BANGKA BELITUNG")</f>
        <v>BANGKA BELITUNG</v>
      </c>
      <c r="C143" s="2" t="str">
        <f ca="1">IFERROR(__xludf.DUMMYFUNCTION("""COMPUTED_VALUE"""),"Belitung")</f>
        <v>Belitung</v>
      </c>
      <c r="D143" s="2">
        <f ca="1">IFERROR(__xludf.DUMMYFUNCTION("""COMPUTED_VALUE"""),2.93)</f>
        <v>2.93</v>
      </c>
      <c r="E143" s="2">
        <f ca="1">IFERROR(__xludf.DUMMYFUNCTION("""COMPUTED_VALUE"""),2.9)</f>
        <v>2.9</v>
      </c>
      <c r="F143" s="2">
        <f ca="1">IFERROR(__xludf.DUMMYFUNCTION("""COMPUTED_VALUE"""),4.82)</f>
        <v>4.82</v>
      </c>
      <c r="G143" s="2">
        <f ca="1">IFERROR(__xludf.DUMMYFUNCTION("""COMPUTED_VALUE"""),3.51)</f>
        <v>3.51</v>
      </c>
      <c r="H143" s="2">
        <f ca="1">IFERROR(__xludf.DUMMYFUNCTION("""COMPUTED_VALUE"""),4.3)</f>
        <v>4.3</v>
      </c>
      <c r="I143" s="2">
        <f ca="1">IFERROR(__xludf.DUMMYFUNCTION("""COMPUTED_VALUE"""),4.14)</f>
        <v>4.1399999999999997</v>
      </c>
      <c r="J143" s="2">
        <f ca="1">IFERROR(__xludf.DUMMYFUNCTION("""COMPUTED_VALUE"""),3.88)</f>
        <v>3.88</v>
      </c>
      <c r="K143" s="2">
        <f ca="1">IFERROR(__xludf.DUMMYFUNCTION("""COMPUTED_VALUE"""),70.36)</f>
        <v>70.36</v>
      </c>
      <c r="L143" s="2">
        <f ca="1">IFERROR(__xludf.DUMMYFUNCTION("""COMPUTED_VALUE"""),68.74)</f>
        <v>68.739999999999995</v>
      </c>
      <c r="M143" s="2">
        <f ca="1">IFERROR(__xludf.DUMMYFUNCTION("""COMPUTED_VALUE"""),69.32)</f>
        <v>69.319999999999993</v>
      </c>
      <c r="N143" s="2">
        <f ca="1">IFERROR(__xludf.DUMMYFUNCTION("""COMPUTED_VALUE"""),66.28)</f>
        <v>66.28</v>
      </c>
      <c r="O143" s="2">
        <f ca="1">IFERROR(__xludf.DUMMYFUNCTION("""COMPUTED_VALUE"""),65.25)</f>
        <v>65.25</v>
      </c>
      <c r="P143" s="2">
        <f ca="1">IFERROR(__xludf.DUMMYFUNCTION("""COMPUTED_VALUE"""),68.09)</f>
        <v>68.09</v>
      </c>
      <c r="Q143" s="2">
        <f ca="1">IFERROR(__xludf.DUMMYFUNCTION("""COMPUTED_VALUE"""),68.18)</f>
        <v>68.180000000000007</v>
      </c>
    </row>
    <row r="144" spans="1:17" ht="15.75" customHeight="1" x14ac:dyDescent="0.25">
      <c r="A144" s="2">
        <v>1903</v>
      </c>
      <c r="B144" s="2" t="str">
        <f ca="1">IFERROR(__xludf.DUMMYFUNCTION("""COMPUTED_VALUE"""),"BANGKA BELITUNG")</f>
        <v>BANGKA BELITUNG</v>
      </c>
      <c r="C144" s="2" t="str">
        <f ca="1">IFERROR(__xludf.DUMMYFUNCTION("""COMPUTED_VALUE"""),"Bangka Barat")</f>
        <v>Bangka Barat</v>
      </c>
      <c r="D144" s="2">
        <f ca="1">IFERROR(__xludf.DUMMYFUNCTION("""COMPUTED_VALUE"""),3.11)</f>
        <v>3.11</v>
      </c>
      <c r="E144" s="2">
        <f ca="1">IFERROR(__xludf.DUMMYFUNCTION("""COMPUTED_VALUE"""),2.85)</f>
        <v>2.85</v>
      </c>
      <c r="F144" s="2">
        <f ca="1">IFERROR(__xludf.DUMMYFUNCTION("""COMPUTED_VALUE"""),4.12)</f>
        <v>4.12</v>
      </c>
      <c r="G144" s="2">
        <f ca="1">IFERROR(__xludf.DUMMYFUNCTION("""COMPUTED_VALUE"""),3.83)</f>
        <v>3.83</v>
      </c>
      <c r="H144" s="2">
        <f ca="1">IFERROR(__xludf.DUMMYFUNCTION("""COMPUTED_VALUE"""),4.86)</f>
        <v>4.8600000000000003</v>
      </c>
      <c r="I144" s="2">
        <f ca="1">IFERROR(__xludf.DUMMYFUNCTION("""COMPUTED_VALUE"""),4.77)</f>
        <v>4.7699999999999996</v>
      </c>
      <c r="J144" s="2">
        <f ca="1">IFERROR(__xludf.DUMMYFUNCTION("""COMPUTED_VALUE"""),4.88)</f>
        <v>4.88</v>
      </c>
      <c r="K144" s="2">
        <f ca="1">IFERROR(__xludf.DUMMYFUNCTION("""COMPUTED_VALUE"""),70.47)</f>
        <v>70.47</v>
      </c>
      <c r="L144" s="2">
        <f ca="1">IFERROR(__xludf.DUMMYFUNCTION("""COMPUTED_VALUE"""),66.99)</f>
        <v>66.989999999999995</v>
      </c>
      <c r="M144" s="2">
        <f ca="1">IFERROR(__xludf.DUMMYFUNCTION("""COMPUTED_VALUE"""),65.76)</f>
        <v>65.760000000000005</v>
      </c>
      <c r="N144" s="2">
        <f ca="1">IFERROR(__xludf.DUMMYFUNCTION("""COMPUTED_VALUE"""),65.98)</f>
        <v>65.98</v>
      </c>
      <c r="O144" s="2">
        <f ca="1">IFERROR(__xludf.DUMMYFUNCTION("""COMPUTED_VALUE"""),70.23)</f>
        <v>70.23</v>
      </c>
      <c r="P144" s="2">
        <f ca="1">IFERROR(__xludf.DUMMYFUNCTION("""COMPUTED_VALUE"""),70.22)</f>
        <v>70.22</v>
      </c>
      <c r="Q144" s="2">
        <f ca="1">IFERROR(__xludf.DUMMYFUNCTION("""COMPUTED_VALUE"""),70.36)</f>
        <v>70.36</v>
      </c>
    </row>
    <row r="145" spans="1:17" ht="15.75" customHeight="1" x14ac:dyDescent="0.25">
      <c r="A145" s="2">
        <v>1904</v>
      </c>
      <c r="B145" s="2" t="str">
        <f ca="1">IFERROR(__xludf.DUMMYFUNCTION("""COMPUTED_VALUE"""),"BANGKA BELITUNG")</f>
        <v>BANGKA BELITUNG</v>
      </c>
      <c r="C145" s="2" t="str">
        <f ca="1">IFERROR(__xludf.DUMMYFUNCTION("""COMPUTED_VALUE"""),"Bangka Tengah")</f>
        <v>Bangka Tengah</v>
      </c>
      <c r="D145" s="2">
        <f ca="1">IFERROR(__xludf.DUMMYFUNCTION("""COMPUTED_VALUE"""),3.93)</f>
        <v>3.93</v>
      </c>
      <c r="E145" s="2">
        <f ca="1">IFERROR(__xludf.DUMMYFUNCTION("""COMPUTED_VALUE"""),4.39)</f>
        <v>4.3899999999999997</v>
      </c>
      <c r="F145" s="2">
        <f ca="1">IFERROR(__xludf.DUMMYFUNCTION("""COMPUTED_VALUE"""),5.59)</f>
        <v>5.59</v>
      </c>
      <c r="G145" s="2">
        <f ca="1">IFERROR(__xludf.DUMMYFUNCTION("""COMPUTED_VALUE"""),4.95)</f>
        <v>4.95</v>
      </c>
      <c r="H145" s="2">
        <f ca="1">IFERROR(__xludf.DUMMYFUNCTION("""COMPUTED_VALUE"""),3.99)</f>
        <v>3.99</v>
      </c>
      <c r="I145" s="2">
        <f ca="1">IFERROR(__xludf.DUMMYFUNCTION("""COMPUTED_VALUE"""),3.88)</f>
        <v>3.88</v>
      </c>
      <c r="J145" s="2">
        <f ca="1">IFERROR(__xludf.DUMMYFUNCTION("""COMPUTED_VALUE"""),4.23)</f>
        <v>4.2300000000000004</v>
      </c>
      <c r="K145" s="2">
        <f ca="1">IFERROR(__xludf.DUMMYFUNCTION("""COMPUTED_VALUE"""),70.99)</f>
        <v>70.989999999999995</v>
      </c>
      <c r="L145" s="2">
        <f ca="1">IFERROR(__xludf.DUMMYFUNCTION("""COMPUTED_VALUE"""),69.65)</f>
        <v>69.650000000000006</v>
      </c>
      <c r="M145" s="2">
        <f ca="1">IFERROR(__xludf.DUMMYFUNCTION("""COMPUTED_VALUE"""),70.85)</f>
        <v>70.849999999999994</v>
      </c>
      <c r="N145" s="2">
        <f ca="1">IFERROR(__xludf.DUMMYFUNCTION("""COMPUTED_VALUE"""),66.24)</f>
        <v>66.239999999999995</v>
      </c>
      <c r="O145" s="2">
        <f ca="1">IFERROR(__xludf.DUMMYFUNCTION("""COMPUTED_VALUE"""),66.47)</f>
        <v>66.47</v>
      </c>
      <c r="P145" s="2">
        <f ca="1">IFERROR(__xludf.DUMMYFUNCTION("""COMPUTED_VALUE"""),70.09)</f>
        <v>70.09</v>
      </c>
      <c r="Q145" s="2">
        <f ca="1">IFERROR(__xludf.DUMMYFUNCTION("""COMPUTED_VALUE"""),70.22)</f>
        <v>70.22</v>
      </c>
    </row>
    <row r="146" spans="1:17" ht="15.75" customHeight="1" x14ac:dyDescent="0.25">
      <c r="A146" s="2">
        <v>1905</v>
      </c>
      <c r="B146" s="2" t="str">
        <f ca="1">IFERROR(__xludf.DUMMYFUNCTION("""COMPUTED_VALUE"""),"BANGKA BELITUNG")</f>
        <v>BANGKA BELITUNG</v>
      </c>
      <c r="C146" s="2" t="str">
        <f ca="1">IFERROR(__xludf.DUMMYFUNCTION("""COMPUTED_VALUE"""),"Bangka Selatan")</f>
        <v>Bangka Selatan</v>
      </c>
      <c r="D146" s="2">
        <f ca="1">IFERROR(__xludf.DUMMYFUNCTION("""COMPUTED_VALUE"""),4.35)</f>
        <v>4.3499999999999996</v>
      </c>
      <c r="E146" s="2">
        <f ca="1">IFERROR(__xludf.DUMMYFUNCTION("""COMPUTED_VALUE"""),3.87)</f>
        <v>3.87</v>
      </c>
      <c r="F146" s="2">
        <f ca="1">IFERROR(__xludf.DUMMYFUNCTION("""COMPUTED_VALUE"""),5.42)</f>
        <v>5.42</v>
      </c>
      <c r="G146" s="2">
        <f ca="1">IFERROR(__xludf.DUMMYFUNCTION("""COMPUTED_VALUE"""),5.29)</f>
        <v>5.29</v>
      </c>
      <c r="H146" s="2">
        <f ca="1">IFERROR(__xludf.DUMMYFUNCTION("""COMPUTED_VALUE"""),5.09)</f>
        <v>5.09</v>
      </c>
      <c r="I146" s="2">
        <f ca="1">IFERROR(__xludf.DUMMYFUNCTION("""COMPUTED_VALUE"""),4.84)</f>
        <v>4.84</v>
      </c>
      <c r="J146" s="2">
        <f ca="1">IFERROR(__xludf.DUMMYFUNCTION("""COMPUTED_VALUE"""),4.94)</f>
        <v>4.9400000000000004</v>
      </c>
      <c r="K146" s="2">
        <f ca="1">IFERROR(__xludf.DUMMYFUNCTION("""COMPUTED_VALUE"""),67.4)</f>
        <v>67.400000000000006</v>
      </c>
      <c r="L146" s="2">
        <f ca="1">IFERROR(__xludf.DUMMYFUNCTION("""COMPUTED_VALUE"""),68.12)</f>
        <v>68.12</v>
      </c>
      <c r="M146" s="2">
        <f ca="1">IFERROR(__xludf.DUMMYFUNCTION("""COMPUTED_VALUE"""),68.86)</f>
        <v>68.86</v>
      </c>
      <c r="N146" s="2">
        <f ca="1">IFERROR(__xludf.DUMMYFUNCTION("""COMPUTED_VALUE"""),68.96)</f>
        <v>68.959999999999994</v>
      </c>
      <c r="O146" s="2">
        <f ca="1">IFERROR(__xludf.DUMMYFUNCTION("""COMPUTED_VALUE"""),66.71)</f>
        <v>66.709999999999994</v>
      </c>
      <c r="P146" s="2">
        <f ca="1">IFERROR(__xludf.DUMMYFUNCTION("""COMPUTED_VALUE"""),66.93)</f>
        <v>66.930000000000007</v>
      </c>
      <c r="Q146" s="2">
        <f ca="1">IFERROR(__xludf.DUMMYFUNCTION("""COMPUTED_VALUE"""),69.17)</f>
        <v>69.17</v>
      </c>
    </row>
    <row r="147" spans="1:17" ht="15.75" customHeight="1" x14ac:dyDescent="0.25">
      <c r="A147" s="2">
        <v>1906</v>
      </c>
      <c r="B147" s="2" t="str">
        <f ca="1">IFERROR(__xludf.DUMMYFUNCTION("""COMPUTED_VALUE"""),"BANGKA BELITUNG")</f>
        <v>BANGKA BELITUNG</v>
      </c>
      <c r="C147" s="2" t="str">
        <f ca="1">IFERROR(__xludf.DUMMYFUNCTION("""COMPUTED_VALUE"""),"Belitung Timur")</f>
        <v>Belitung Timur</v>
      </c>
      <c r="D147" s="2">
        <f ca="1">IFERROR(__xludf.DUMMYFUNCTION("""COMPUTED_VALUE"""),1.5)</f>
        <v>1.5</v>
      </c>
      <c r="E147" s="2">
        <f ca="1">IFERROR(__xludf.DUMMYFUNCTION("""COMPUTED_VALUE"""),1.71)</f>
        <v>1.71</v>
      </c>
      <c r="F147" s="2">
        <f ca="1">IFERROR(__xludf.DUMMYFUNCTION("""COMPUTED_VALUE"""),3.93)</f>
        <v>3.93</v>
      </c>
      <c r="G147" s="2">
        <f ca="1">IFERROR(__xludf.DUMMYFUNCTION("""COMPUTED_VALUE"""),3.78)</f>
        <v>3.78</v>
      </c>
      <c r="H147" s="2">
        <f ca="1">IFERROR(__xludf.DUMMYFUNCTION("""COMPUTED_VALUE"""),2.5)</f>
        <v>2.5</v>
      </c>
      <c r="I147" s="2">
        <f ca="1">IFERROR(__xludf.DUMMYFUNCTION("""COMPUTED_VALUE"""),2.41)</f>
        <v>2.41</v>
      </c>
      <c r="J147" s="2">
        <f ca="1">IFERROR(__xludf.DUMMYFUNCTION("""COMPUTED_VALUE"""),2.63)</f>
        <v>2.63</v>
      </c>
      <c r="K147" s="2">
        <f ca="1">IFERROR(__xludf.DUMMYFUNCTION("""COMPUTED_VALUE"""),71.93)</f>
        <v>71.930000000000007</v>
      </c>
      <c r="L147" s="2">
        <f ca="1">IFERROR(__xludf.DUMMYFUNCTION("""COMPUTED_VALUE"""),71.37)</f>
        <v>71.37</v>
      </c>
      <c r="M147" s="2">
        <f ca="1">IFERROR(__xludf.DUMMYFUNCTION("""COMPUTED_VALUE"""),71.33)</f>
        <v>71.33</v>
      </c>
      <c r="N147" s="2">
        <f ca="1">IFERROR(__xludf.DUMMYFUNCTION("""COMPUTED_VALUE"""),69.23)</f>
        <v>69.23</v>
      </c>
      <c r="O147" s="2">
        <f ca="1">IFERROR(__xludf.DUMMYFUNCTION("""COMPUTED_VALUE"""),67.36)</f>
        <v>67.36</v>
      </c>
      <c r="P147" s="2">
        <f ca="1">IFERROR(__xludf.DUMMYFUNCTION("""COMPUTED_VALUE"""),70.48)</f>
        <v>70.48</v>
      </c>
      <c r="Q147" s="2">
        <f ca="1">IFERROR(__xludf.DUMMYFUNCTION("""COMPUTED_VALUE"""),70.56)</f>
        <v>70.56</v>
      </c>
    </row>
    <row r="148" spans="1:17" ht="15.75" customHeight="1" x14ac:dyDescent="0.25">
      <c r="A148" s="2">
        <v>1971</v>
      </c>
      <c r="B148" s="2" t="str">
        <f ca="1">IFERROR(__xludf.DUMMYFUNCTION("""COMPUTED_VALUE"""),"BANGKA BELITUNG")</f>
        <v>BANGKA BELITUNG</v>
      </c>
      <c r="C148" s="10" t="s">
        <v>84</v>
      </c>
      <c r="D148" s="2">
        <f ca="1">IFERROR(__xludf.DUMMYFUNCTION("""COMPUTED_VALUE"""),4.7)</f>
        <v>4.7</v>
      </c>
      <c r="E148" s="2">
        <f ca="1">IFERROR(__xludf.DUMMYFUNCTION("""COMPUTED_VALUE"""),5.01)</f>
        <v>5.01</v>
      </c>
      <c r="F148" s="2">
        <f ca="1">IFERROR(__xludf.DUMMYFUNCTION("""COMPUTED_VALUE"""),6.93)</f>
        <v>6.93</v>
      </c>
      <c r="G148" s="2">
        <f ca="1">IFERROR(__xludf.DUMMYFUNCTION("""COMPUTED_VALUE"""),6.81)</f>
        <v>6.81</v>
      </c>
      <c r="H148" s="2">
        <f ca="1">IFERROR(__xludf.DUMMYFUNCTION("""COMPUTED_VALUE"""),5.9)</f>
        <v>5.9</v>
      </c>
      <c r="I148" s="2">
        <f ca="1">IFERROR(__xludf.DUMMYFUNCTION("""COMPUTED_VALUE"""),5.76)</f>
        <v>5.76</v>
      </c>
      <c r="J148" s="2">
        <f ca="1">IFERROR(__xludf.DUMMYFUNCTION("""COMPUTED_VALUE"""),5.98)</f>
        <v>5.98</v>
      </c>
      <c r="K148" s="2">
        <f ca="1">IFERROR(__xludf.DUMMYFUNCTION("""COMPUTED_VALUE"""),63.64)</f>
        <v>63.64</v>
      </c>
      <c r="L148" s="2">
        <f ca="1">IFERROR(__xludf.DUMMYFUNCTION("""COMPUTED_VALUE"""),68.35)</f>
        <v>68.349999999999994</v>
      </c>
      <c r="M148" s="2">
        <f ca="1">IFERROR(__xludf.DUMMYFUNCTION("""COMPUTED_VALUE"""),62.37)</f>
        <v>62.37</v>
      </c>
      <c r="N148" s="2">
        <f ca="1">IFERROR(__xludf.DUMMYFUNCTION("""COMPUTED_VALUE"""),65.16)</f>
        <v>65.16</v>
      </c>
      <c r="O148" s="2">
        <f ca="1">IFERROR(__xludf.DUMMYFUNCTION("""COMPUTED_VALUE"""),65.78)</f>
        <v>65.78</v>
      </c>
      <c r="P148" s="2">
        <f ca="1">IFERROR(__xludf.DUMMYFUNCTION("""COMPUTED_VALUE"""),66.55)</f>
        <v>66.55</v>
      </c>
      <c r="Q148" s="2">
        <f ca="1">IFERROR(__xludf.DUMMYFUNCTION("""COMPUTED_VALUE"""),66.99)</f>
        <v>66.989999999999995</v>
      </c>
    </row>
    <row r="149" spans="1:17" ht="15.75" customHeight="1" x14ac:dyDescent="0.25">
      <c r="A149" s="2">
        <v>2101</v>
      </c>
      <c r="B149" s="2" t="str">
        <f ca="1">IFERROR(__xludf.DUMMYFUNCTION("""COMPUTED_VALUE"""),"KEPULAUAN RIAU")</f>
        <v>KEPULAUAN RIAU</v>
      </c>
      <c r="C149" s="2" t="str">
        <f ca="1">IFERROR(__xludf.DUMMYFUNCTION("""COMPUTED_VALUE"""),"Karimun")</f>
        <v>Karimun</v>
      </c>
      <c r="D149" s="2">
        <f ca="1">IFERROR(__xludf.DUMMYFUNCTION("""COMPUTED_VALUE"""),2.91)</f>
        <v>2.91</v>
      </c>
      <c r="E149" s="2">
        <f ca="1">IFERROR(__xludf.DUMMYFUNCTION("""COMPUTED_VALUE"""),5.83)</f>
        <v>5.83</v>
      </c>
      <c r="F149" s="2">
        <f ca="1">IFERROR(__xludf.DUMMYFUNCTION("""COMPUTED_VALUE"""),8.36)</f>
        <v>8.36</v>
      </c>
      <c r="G149" s="2">
        <f ca="1">IFERROR(__xludf.DUMMYFUNCTION("""COMPUTED_VALUE"""),7.2)</f>
        <v>7.2</v>
      </c>
      <c r="H149" s="2">
        <f ca="1">IFERROR(__xludf.DUMMYFUNCTION("""COMPUTED_VALUE"""),6.87)</f>
        <v>6.87</v>
      </c>
      <c r="I149" s="2">
        <f ca="1">IFERROR(__xludf.DUMMYFUNCTION("""COMPUTED_VALUE"""),6.02)</f>
        <v>6.02</v>
      </c>
      <c r="J149" s="2"/>
      <c r="K149" s="2">
        <f ca="1">IFERROR(__xludf.DUMMYFUNCTION("""COMPUTED_VALUE"""),62.63)</f>
        <v>62.63</v>
      </c>
      <c r="L149" s="2">
        <f ca="1">IFERROR(__xludf.DUMMYFUNCTION("""COMPUTED_VALUE"""),57.74)</f>
        <v>57.74</v>
      </c>
      <c r="M149" s="2">
        <f ca="1">IFERROR(__xludf.DUMMYFUNCTION("""COMPUTED_VALUE"""),59.76)</f>
        <v>59.76</v>
      </c>
      <c r="N149" s="2">
        <f ca="1">IFERROR(__xludf.DUMMYFUNCTION("""COMPUTED_VALUE"""),60.86)</f>
        <v>60.86</v>
      </c>
      <c r="O149" s="2">
        <f ca="1">IFERROR(__xludf.DUMMYFUNCTION("""COMPUTED_VALUE"""),60.46)</f>
        <v>60.46</v>
      </c>
      <c r="P149" s="2">
        <f ca="1">IFERROR(__xludf.DUMMYFUNCTION("""COMPUTED_VALUE"""),64.79)</f>
        <v>64.790000000000006</v>
      </c>
      <c r="Q149" s="2"/>
    </row>
    <row r="150" spans="1:17" ht="15.75" customHeight="1" x14ac:dyDescent="0.25">
      <c r="A150" s="2">
        <v>2102</v>
      </c>
      <c r="B150" s="2" t="str">
        <f ca="1">IFERROR(__xludf.DUMMYFUNCTION("""COMPUTED_VALUE"""),"KEPULAUAN RIAU")</f>
        <v>KEPULAUAN RIAU</v>
      </c>
      <c r="C150" s="2" t="str">
        <f ca="1">IFERROR(__xludf.DUMMYFUNCTION("""COMPUTED_VALUE"""),"Bintan")</f>
        <v>Bintan</v>
      </c>
      <c r="D150" s="2">
        <f ca="1">IFERROR(__xludf.DUMMYFUNCTION("""COMPUTED_VALUE"""),6.39)</f>
        <v>6.39</v>
      </c>
      <c r="E150" s="2">
        <f ca="1">IFERROR(__xludf.DUMMYFUNCTION("""COMPUTED_VALUE"""),8.68)</f>
        <v>8.68</v>
      </c>
      <c r="F150" s="2">
        <f ca="1">IFERROR(__xludf.DUMMYFUNCTION("""COMPUTED_VALUE"""),8.86)</f>
        <v>8.86</v>
      </c>
      <c r="G150" s="2">
        <f ca="1">IFERROR(__xludf.DUMMYFUNCTION("""COMPUTED_VALUE"""),8.62)</f>
        <v>8.6199999999999992</v>
      </c>
      <c r="H150" s="2">
        <f ca="1">IFERROR(__xludf.DUMMYFUNCTION("""COMPUTED_VALUE"""),6.91)</f>
        <v>6.91</v>
      </c>
      <c r="I150" s="2">
        <f ca="1">IFERROR(__xludf.DUMMYFUNCTION("""COMPUTED_VALUE"""),5.43)</f>
        <v>5.43</v>
      </c>
      <c r="J150" s="2"/>
      <c r="K150" s="2">
        <f ca="1">IFERROR(__xludf.DUMMYFUNCTION("""COMPUTED_VALUE"""),61.87)</f>
        <v>61.87</v>
      </c>
      <c r="L150" s="2">
        <f ca="1">IFERROR(__xludf.DUMMYFUNCTION("""COMPUTED_VALUE"""),61.85)</f>
        <v>61.85</v>
      </c>
      <c r="M150" s="2">
        <f ca="1">IFERROR(__xludf.DUMMYFUNCTION("""COMPUTED_VALUE"""),61.28)</f>
        <v>61.28</v>
      </c>
      <c r="N150" s="2">
        <f ca="1">IFERROR(__xludf.DUMMYFUNCTION("""COMPUTED_VALUE"""),63.19)</f>
        <v>63.19</v>
      </c>
      <c r="O150" s="2">
        <f ca="1">IFERROR(__xludf.DUMMYFUNCTION("""COMPUTED_VALUE"""),66.04)</f>
        <v>66.040000000000006</v>
      </c>
      <c r="P150" s="2">
        <f ca="1">IFERROR(__xludf.DUMMYFUNCTION("""COMPUTED_VALUE"""),67.55)</f>
        <v>67.55</v>
      </c>
      <c r="Q150" s="2"/>
    </row>
    <row r="151" spans="1:17" ht="15.75" customHeight="1" x14ac:dyDescent="0.25">
      <c r="A151" s="2">
        <v>2103</v>
      </c>
      <c r="B151" s="2" t="str">
        <f ca="1">IFERROR(__xludf.DUMMYFUNCTION("""COMPUTED_VALUE"""),"KEPULAUAN RIAU")</f>
        <v>KEPULAUAN RIAU</v>
      </c>
      <c r="C151" s="2" t="str">
        <f ca="1">IFERROR(__xludf.DUMMYFUNCTION("""COMPUTED_VALUE"""),"Natuna")</f>
        <v>Natuna</v>
      </c>
      <c r="D151" s="2">
        <f ca="1">IFERROR(__xludf.DUMMYFUNCTION("""COMPUTED_VALUE"""),4.05)</f>
        <v>4.05</v>
      </c>
      <c r="E151" s="2">
        <f ca="1">IFERROR(__xludf.DUMMYFUNCTION("""COMPUTED_VALUE"""),3.82)</f>
        <v>3.82</v>
      </c>
      <c r="F151" s="2">
        <f ca="1">IFERROR(__xludf.DUMMYFUNCTION("""COMPUTED_VALUE"""),4.1)</f>
        <v>4.0999999999999996</v>
      </c>
      <c r="G151" s="2">
        <f ca="1">IFERROR(__xludf.DUMMYFUNCTION("""COMPUTED_VALUE"""),5.15)</f>
        <v>5.15</v>
      </c>
      <c r="H151" s="2">
        <f ca="1">IFERROR(__xludf.DUMMYFUNCTION("""COMPUTED_VALUE"""),4.15)</f>
        <v>4.1500000000000004</v>
      </c>
      <c r="I151" s="2">
        <f ca="1">IFERROR(__xludf.DUMMYFUNCTION("""COMPUTED_VALUE"""),4.05)</f>
        <v>4.05</v>
      </c>
      <c r="J151" s="2"/>
      <c r="K151" s="2">
        <f ca="1">IFERROR(__xludf.DUMMYFUNCTION("""COMPUTED_VALUE"""),66.32)</f>
        <v>66.319999999999993</v>
      </c>
      <c r="L151" s="2">
        <f ca="1">IFERROR(__xludf.DUMMYFUNCTION("""COMPUTED_VALUE"""),66.65)</f>
        <v>66.650000000000006</v>
      </c>
      <c r="M151" s="2">
        <f ca="1">IFERROR(__xludf.DUMMYFUNCTION("""COMPUTED_VALUE"""),69.39)</f>
        <v>69.39</v>
      </c>
      <c r="N151" s="2">
        <f ca="1">IFERROR(__xludf.DUMMYFUNCTION("""COMPUTED_VALUE"""),72.31)</f>
        <v>72.31</v>
      </c>
      <c r="O151" s="2">
        <f ca="1">IFERROR(__xludf.DUMMYFUNCTION("""COMPUTED_VALUE"""),67.89)</f>
        <v>67.89</v>
      </c>
      <c r="P151" s="2">
        <f ca="1">IFERROR(__xludf.DUMMYFUNCTION("""COMPUTED_VALUE"""),72.43)</f>
        <v>72.430000000000007</v>
      </c>
      <c r="Q151" s="2"/>
    </row>
    <row r="152" spans="1:17" ht="15.75" customHeight="1" x14ac:dyDescent="0.25">
      <c r="A152" s="2">
        <v>2104</v>
      </c>
      <c r="B152" s="2" t="str">
        <f ca="1">IFERROR(__xludf.DUMMYFUNCTION("""COMPUTED_VALUE"""),"KEPULAUAN RIAU")</f>
        <v>KEPULAUAN RIAU</v>
      </c>
      <c r="C152" s="2" t="str">
        <f ca="1">IFERROR(__xludf.DUMMYFUNCTION("""COMPUTED_VALUE"""),"Lingga")</f>
        <v>Lingga</v>
      </c>
      <c r="D152" s="2">
        <f ca="1">IFERROR(__xludf.DUMMYFUNCTION("""COMPUTED_VALUE"""),3.96)</f>
        <v>3.96</v>
      </c>
      <c r="E152" s="2">
        <f ca="1">IFERROR(__xludf.DUMMYFUNCTION("""COMPUTED_VALUE"""),4.35)</f>
        <v>4.3499999999999996</v>
      </c>
      <c r="F152" s="2">
        <f ca="1">IFERROR(__xludf.DUMMYFUNCTION("""COMPUTED_VALUE"""),4.41)</f>
        <v>4.41</v>
      </c>
      <c r="G152" s="2">
        <f ca="1">IFERROR(__xludf.DUMMYFUNCTION("""COMPUTED_VALUE"""),4.23)</f>
        <v>4.2300000000000004</v>
      </c>
      <c r="H152" s="2">
        <f ca="1">IFERROR(__xludf.DUMMYFUNCTION("""COMPUTED_VALUE"""),3.09)</f>
        <v>3.09</v>
      </c>
      <c r="I152" s="2">
        <f ca="1">IFERROR(__xludf.DUMMYFUNCTION("""COMPUTED_VALUE"""),3.52)</f>
        <v>3.52</v>
      </c>
      <c r="J152" s="2"/>
      <c r="K152" s="2">
        <f ca="1">IFERROR(__xludf.DUMMYFUNCTION("""COMPUTED_VALUE"""),65.28)</f>
        <v>65.28</v>
      </c>
      <c r="L152" s="2">
        <f ca="1">IFERROR(__xludf.DUMMYFUNCTION("""COMPUTED_VALUE"""),64.72)</f>
        <v>64.72</v>
      </c>
      <c r="M152" s="2">
        <f ca="1">IFERROR(__xludf.DUMMYFUNCTION("""COMPUTED_VALUE"""),64.56)</f>
        <v>64.56</v>
      </c>
      <c r="N152" s="2">
        <f ca="1">IFERROR(__xludf.DUMMYFUNCTION("""COMPUTED_VALUE"""),64.49)</f>
        <v>64.489999999999995</v>
      </c>
      <c r="O152" s="2">
        <f ca="1">IFERROR(__xludf.DUMMYFUNCTION("""COMPUTED_VALUE"""),65.11)</f>
        <v>65.11</v>
      </c>
      <c r="P152" s="2">
        <f ca="1">IFERROR(__xludf.DUMMYFUNCTION("""COMPUTED_VALUE"""),70.11)</f>
        <v>70.11</v>
      </c>
      <c r="Q152" s="2"/>
    </row>
    <row r="153" spans="1:17" ht="15.75" customHeight="1" x14ac:dyDescent="0.25">
      <c r="A153" s="2">
        <v>2105</v>
      </c>
      <c r="B153" s="2" t="str">
        <f ca="1">IFERROR(__xludf.DUMMYFUNCTION("""COMPUTED_VALUE"""),"KEPULAUAN RIAU")</f>
        <v>KEPULAUAN RIAU</v>
      </c>
      <c r="C153" s="2" t="str">
        <f ca="1">IFERROR(__xludf.DUMMYFUNCTION("""COMPUTED_VALUE"""),"Kepulauan Anambas")</f>
        <v>Kepulauan Anambas</v>
      </c>
      <c r="D153" s="2">
        <f ca="1">IFERROR(__xludf.DUMMYFUNCTION("""COMPUTED_VALUE"""),2.89)</f>
        <v>2.89</v>
      </c>
      <c r="E153" s="2">
        <f ca="1">IFERROR(__xludf.DUMMYFUNCTION("""COMPUTED_VALUE"""),3.21)</f>
        <v>3.21</v>
      </c>
      <c r="F153" s="2">
        <f ca="1">IFERROR(__xludf.DUMMYFUNCTION("""COMPUTED_VALUE"""),3.44)</f>
        <v>3.44</v>
      </c>
      <c r="G153" s="2">
        <f ca="1">IFERROR(__xludf.DUMMYFUNCTION("""COMPUTED_VALUE"""),1.27)</f>
        <v>1.27</v>
      </c>
      <c r="H153" s="2">
        <f ca="1">IFERROR(__xludf.DUMMYFUNCTION("""COMPUTED_VALUE"""),2.15)</f>
        <v>2.15</v>
      </c>
      <c r="I153" s="2">
        <f ca="1">IFERROR(__xludf.DUMMYFUNCTION("""COMPUTED_VALUE"""),2.55)</f>
        <v>2.5499999999999998</v>
      </c>
      <c r="J153" s="2"/>
      <c r="K153" s="2">
        <f ca="1">IFERROR(__xludf.DUMMYFUNCTION("""COMPUTED_VALUE"""),68.49)</f>
        <v>68.489999999999995</v>
      </c>
      <c r="L153" s="2">
        <f ca="1">IFERROR(__xludf.DUMMYFUNCTION("""COMPUTED_VALUE"""),63.18)</f>
        <v>63.18</v>
      </c>
      <c r="M153" s="2">
        <f ca="1">IFERROR(__xludf.DUMMYFUNCTION("""COMPUTED_VALUE"""),68.4)</f>
        <v>68.400000000000006</v>
      </c>
      <c r="N153" s="2">
        <f ca="1">IFERROR(__xludf.DUMMYFUNCTION("""COMPUTED_VALUE"""),70.3)</f>
        <v>70.3</v>
      </c>
      <c r="O153" s="2">
        <f ca="1">IFERROR(__xludf.DUMMYFUNCTION("""COMPUTED_VALUE"""),71.64)</f>
        <v>71.64</v>
      </c>
      <c r="P153" s="2">
        <f ca="1">IFERROR(__xludf.DUMMYFUNCTION("""COMPUTED_VALUE"""),70.4)</f>
        <v>70.400000000000006</v>
      </c>
      <c r="Q153" s="2"/>
    </row>
    <row r="154" spans="1:17" ht="15.75" customHeight="1" x14ac:dyDescent="0.25">
      <c r="A154" s="2">
        <v>2171</v>
      </c>
      <c r="B154" s="2" t="str">
        <f ca="1">IFERROR(__xludf.DUMMYFUNCTION("""COMPUTED_VALUE"""),"KEPULAUAN RIAU")</f>
        <v>KEPULAUAN RIAU</v>
      </c>
      <c r="C154" s="2" t="s">
        <v>70</v>
      </c>
      <c r="D154" s="2">
        <f ca="1">IFERROR(__xludf.DUMMYFUNCTION("""COMPUTED_VALUE"""),10.07)</f>
        <v>10.07</v>
      </c>
      <c r="E154" s="2">
        <f ca="1">IFERROR(__xludf.DUMMYFUNCTION("""COMPUTED_VALUE"""),8.31)</f>
        <v>8.31</v>
      </c>
      <c r="F154" s="2">
        <f ca="1">IFERROR(__xludf.DUMMYFUNCTION("""COMPUTED_VALUE"""),11.79)</f>
        <v>11.79</v>
      </c>
      <c r="G154" s="2">
        <f ca="1">IFERROR(__xludf.DUMMYFUNCTION("""COMPUTED_VALUE"""),11.64)</f>
        <v>11.64</v>
      </c>
      <c r="H154" s="2">
        <f ca="1">IFERROR(__xludf.DUMMYFUNCTION("""COMPUTED_VALUE"""),9.56)</f>
        <v>9.56</v>
      </c>
      <c r="I154" s="2">
        <f ca="1">IFERROR(__xludf.DUMMYFUNCTION("""COMPUTED_VALUE"""),8.14)</f>
        <v>8.14</v>
      </c>
      <c r="J154" s="2"/>
      <c r="K154" s="2">
        <f ca="1">IFERROR(__xludf.DUMMYFUNCTION("""COMPUTED_VALUE"""),65.13)</f>
        <v>65.13</v>
      </c>
      <c r="L154" s="2">
        <f ca="1">IFERROR(__xludf.DUMMYFUNCTION("""COMPUTED_VALUE"""),66.46)</f>
        <v>66.459999999999994</v>
      </c>
      <c r="M154" s="2">
        <f ca="1">IFERROR(__xludf.DUMMYFUNCTION("""COMPUTED_VALUE"""),68.33)</f>
        <v>68.33</v>
      </c>
      <c r="N154" s="2">
        <f ca="1">IFERROR(__xludf.DUMMYFUNCTION("""COMPUTED_VALUE"""),71.06)</f>
        <v>71.06</v>
      </c>
      <c r="O154" s="2">
        <f ca="1">IFERROR(__xludf.DUMMYFUNCTION("""COMPUTED_VALUE"""),71.24)</f>
        <v>71.239999999999995</v>
      </c>
      <c r="P154" s="2">
        <f ca="1">IFERROR(__xludf.DUMMYFUNCTION("""COMPUTED_VALUE"""),69.63)</f>
        <v>69.63</v>
      </c>
      <c r="Q154" s="2"/>
    </row>
    <row r="155" spans="1:17" ht="15.75" customHeight="1" x14ac:dyDescent="0.25">
      <c r="A155" s="2">
        <v>2172</v>
      </c>
      <c r="B155" s="2" t="str">
        <f ca="1">IFERROR(__xludf.DUMMYFUNCTION("""COMPUTED_VALUE"""),"KEPULAUAN RIAU")</f>
        <v>KEPULAUAN RIAU</v>
      </c>
      <c r="C155" s="2" t="s">
        <v>71</v>
      </c>
      <c r="D155" s="2">
        <f ca="1">IFERROR(__xludf.DUMMYFUNCTION("""COMPUTED_VALUE"""),6)</f>
        <v>6</v>
      </c>
      <c r="E155" s="2">
        <f ca="1">IFERROR(__xludf.DUMMYFUNCTION("""COMPUTED_VALUE"""),6.31)</f>
        <v>6.31</v>
      </c>
      <c r="F155" s="2">
        <f ca="1">IFERROR(__xludf.DUMMYFUNCTION("""COMPUTED_VALUE"""),9.3)</f>
        <v>9.3000000000000007</v>
      </c>
      <c r="G155" s="2">
        <f ca="1">IFERROR(__xludf.DUMMYFUNCTION("""COMPUTED_VALUE"""),6.31)</f>
        <v>6.31</v>
      </c>
      <c r="H155" s="2">
        <f ca="1">IFERROR(__xludf.DUMMYFUNCTION("""COMPUTED_VALUE"""),5.27)</f>
        <v>5.27</v>
      </c>
      <c r="I155" s="2">
        <f ca="1">IFERROR(__xludf.DUMMYFUNCTION("""COMPUTED_VALUE"""),4.76)</f>
        <v>4.76</v>
      </c>
      <c r="J155" s="2"/>
      <c r="K155" s="2">
        <f ca="1">IFERROR(__xludf.DUMMYFUNCTION("""COMPUTED_VALUE"""),61.11)</f>
        <v>61.11</v>
      </c>
      <c r="L155" s="2">
        <f ca="1">IFERROR(__xludf.DUMMYFUNCTION("""COMPUTED_VALUE"""),62.46)</f>
        <v>62.46</v>
      </c>
      <c r="M155" s="2">
        <f ca="1">IFERROR(__xludf.DUMMYFUNCTION("""COMPUTED_VALUE"""),62.56)</f>
        <v>62.56</v>
      </c>
      <c r="N155" s="2">
        <f ca="1">IFERROR(__xludf.DUMMYFUNCTION("""COMPUTED_VALUE"""),60.56)</f>
        <v>60.56</v>
      </c>
      <c r="O155" s="2">
        <f ca="1">IFERROR(__xludf.DUMMYFUNCTION("""COMPUTED_VALUE"""),65.37)</f>
        <v>65.37</v>
      </c>
      <c r="P155" s="2">
        <f ca="1">IFERROR(__xludf.DUMMYFUNCTION("""COMPUTED_VALUE"""),66.53)</f>
        <v>66.53</v>
      </c>
      <c r="Q155" s="2"/>
    </row>
    <row r="156" spans="1:17" ht="15.75" customHeight="1" x14ac:dyDescent="0.25">
      <c r="A156" s="2">
        <v>3101</v>
      </c>
      <c r="B156" s="2" t="str">
        <f ca="1">IFERROR(__xludf.DUMMYFUNCTION("""COMPUTED_VALUE"""),"DKI JAKARTA")</f>
        <v>DKI JAKARTA</v>
      </c>
      <c r="C156" s="2" t="s">
        <v>51</v>
      </c>
      <c r="D156" s="2">
        <f ca="1">IFERROR(__xludf.DUMMYFUNCTION("""COMPUTED_VALUE"""),6.06)</f>
        <v>6.06</v>
      </c>
      <c r="E156" s="2">
        <f ca="1">IFERROR(__xludf.DUMMYFUNCTION("""COMPUTED_VALUE"""),5.89)</f>
        <v>5.89</v>
      </c>
      <c r="F156" s="2">
        <f ca="1">IFERROR(__xludf.DUMMYFUNCTION("""COMPUTED_VALUE"""),7.37)</f>
        <v>7.37</v>
      </c>
      <c r="G156" s="2">
        <f ca="1">IFERROR(__xludf.DUMMYFUNCTION("""COMPUTED_VALUE"""),8.58)</f>
        <v>8.58</v>
      </c>
      <c r="H156" s="2">
        <f ca="1">IFERROR(__xludf.DUMMYFUNCTION("""COMPUTED_VALUE"""),8.47)</f>
        <v>8.4700000000000006</v>
      </c>
      <c r="I156" s="2">
        <f ca="1">IFERROR(__xludf.DUMMYFUNCTION("""COMPUTED_VALUE"""),8.11)</f>
        <v>8.11</v>
      </c>
      <c r="J156" s="2">
        <f ca="1">IFERROR(__xludf.DUMMYFUNCTION("""COMPUTED_VALUE"""),7.93)</f>
        <v>7.93</v>
      </c>
      <c r="K156" s="2">
        <f ca="1">IFERROR(__xludf.DUMMYFUNCTION("""COMPUTED_VALUE"""),61.21)</f>
        <v>61.21</v>
      </c>
      <c r="L156" s="2">
        <f ca="1">IFERROR(__xludf.DUMMYFUNCTION("""COMPUTED_VALUE"""),58.61)</f>
        <v>58.61</v>
      </c>
      <c r="M156" s="2">
        <f ca="1">IFERROR(__xludf.DUMMYFUNCTION("""COMPUTED_VALUE"""),60.7)</f>
        <v>60.7</v>
      </c>
      <c r="N156" s="2">
        <f ca="1">IFERROR(__xludf.DUMMYFUNCTION("""COMPUTED_VALUE"""),65.45)</f>
        <v>65.45</v>
      </c>
      <c r="O156" s="2">
        <f ca="1">IFERROR(__xludf.DUMMYFUNCTION("""COMPUTED_VALUE"""),67.68)</f>
        <v>67.680000000000007</v>
      </c>
      <c r="P156" s="2">
        <f ca="1">IFERROR(__xludf.DUMMYFUNCTION("""COMPUTED_VALUE"""),73.7)</f>
        <v>73.7</v>
      </c>
      <c r="Q156" s="2">
        <f ca="1">IFERROR(__xludf.DUMMYFUNCTION("""COMPUTED_VALUE"""),72.58)</f>
        <v>72.58</v>
      </c>
    </row>
    <row r="157" spans="1:17" ht="15.75" customHeight="1" x14ac:dyDescent="0.25">
      <c r="A157" s="2">
        <v>3171</v>
      </c>
      <c r="B157" s="2" t="str">
        <f ca="1">IFERROR(__xludf.DUMMYFUNCTION("""COMPUTED_VALUE"""),"DKI JAKARTA")</f>
        <v>DKI JAKARTA</v>
      </c>
      <c r="C157" s="2" t="s">
        <v>42</v>
      </c>
      <c r="D157" s="2">
        <f ca="1">IFERROR(__xludf.DUMMYFUNCTION("""COMPUTED_VALUE"""),6.59)</f>
        <v>6.59</v>
      </c>
      <c r="E157" s="2">
        <f ca="1">IFERROR(__xludf.DUMMYFUNCTION("""COMPUTED_VALUE"""),7.19)</f>
        <v>7.19</v>
      </c>
      <c r="F157" s="2">
        <f ca="1">IFERROR(__xludf.DUMMYFUNCTION("""COMPUTED_VALUE"""),10.79)</f>
        <v>10.79</v>
      </c>
      <c r="G157" s="2">
        <f ca="1">IFERROR(__xludf.DUMMYFUNCTION("""COMPUTED_VALUE"""),7.33)</f>
        <v>7.33</v>
      </c>
      <c r="H157" s="2">
        <f ca="1">IFERROR(__xludf.DUMMYFUNCTION("""COMPUTED_VALUE"""),5.63)</f>
        <v>5.63</v>
      </c>
      <c r="I157" s="2">
        <f ca="1">IFERROR(__xludf.DUMMYFUNCTION("""COMPUTED_VALUE"""),5.37)</f>
        <v>5.37</v>
      </c>
      <c r="J157" s="2">
        <f ca="1">IFERROR(__xludf.DUMMYFUNCTION("""COMPUTED_VALUE"""),5.22)</f>
        <v>5.22</v>
      </c>
      <c r="K157" s="2">
        <f ca="1">IFERROR(__xludf.DUMMYFUNCTION("""COMPUTED_VALUE"""),65.88)</f>
        <v>65.88</v>
      </c>
      <c r="L157" s="2">
        <f ca="1">IFERROR(__xludf.DUMMYFUNCTION("""COMPUTED_VALUE"""),63.75)</f>
        <v>63.75</v>
      </c>
      <c r="M157" s="2">
        <f ca="1">IFERROR(__xludf.DUMMYFUNCTION("""COMPUTED_VALUE"""),63.81)</f>
        <v>63.81</v>
      </c>
      <c r="N157" s="2">
        <f ca="1">IFERROR(__xludf.DUMMYFUNCTION("""COMPUTED_VALUE"""),61.44)</f>
        <v>61.44</v>
      </c>
      <c r="O157" s="2">
        <f ca="1">IFERROR(__xludf.DUMMYFUNCTION("""COMPUTED_VALUE"""),63.07)</f>
        <v>63.07</v>
      </c>
      <c r="P157" s="2">
        <f ca="1">IFERROR(__xludf.DUMMYFUNCTION("""COMPUTED_VALUE"""),66.05)</f>
        <v>66.05</v>
      </c>
      <c r="Q157" s="2">
        <f ca="1">IFERROR(__xludf.DUMMYFUNCTION("""COMPUTED_VALUE"""),64.81)</f>
        <v>64.81</v>
      </c>
    </row>
    <row r="158" spans="1:17" ht="15.75" customHeight="1" x14ac:dyDescent="0.25">
      <c r="A158" s="2">
        <v>3172</v>
      </c>
      <c r="B158" s="2" t="str">
        <f ca="1">IFERROR(__xludf.DUMMYFUNCTION("""COMPUTED_VALUE"""),"DKI JAKARTA")</f>
        <v>DKI JAKARTA</v>
      </c>
      <c r="C158" s="2" t="s">
        <v>43</v>
      </c>
      <c r="D158" s="2">
        <f ca="1">IFERROR(__xludf.DUMMYFUNCTION("""COMPUTED_VALUE"""),7.13)</f>
        <v>7.13</v>
      </c>
      <c r="E158" s="2">
        <f ca="1">IFERROR(__xludf.DUMMYFUNCTION("""COMPUTED_VALUE"""),6.35)</f>
        <v>6.35</v>
      </c>
      <c r="F158" s="2">
        <f ca="1">IFERROR(__xludf.DUMMYFUNCTION("""COMPUTED_VALUE"""),9.29)</f>
        <v>9.2899999999999991</v>
      </c>
      <c r="G158" s="2">
        <f ca="1">IFERROR(__xludf.DUMMYFUNCTION("""COMPUTED_VALUE"""),8.23)</f>
        <v>8.23</v>
      </c>
      <c r="H158" s="2">
        <f ca="1">IFERROR(__xludf.DUMMYFUNCTION("""COMPUTED_VALUE"""),8.39)</f>
        <v>8.39</v>
      </c>
      <c r="I158" s="2">
        <f ca="1">IFERROR(__xludf.DUMMYFUNCTION("""COMPUTED_VALUE"""),7.24)</f>
        <v>7.24</v>
      </c>
      <c r="J158" s="2">
        <f ca="1">IFERROR(__xludf.DUMMYFUNCTION("""COMPUTED_VALUE"""),6.95)</f>
        <v>6.95</v>
      </c>
      <c r="K158" s="2">
        <f ca="1">IFERROR(__xludf.DUMMYFUNCTION("""COMPUTED_VALUE"""),61.77)</f>
        <v>61.77</v>
      </c>
      <c r="L158" s="2">
        <f ca="1">IFERROR(__xludf.DUMMYFUNCTION("""COMPUTED_VALUE"""),64.88)</f>
        <v>64.88</v>
      </c>
      <c r="M158" s="2">
        <f ca="1">IFERROR(__xludf.DUMMYFUNCTION("""COMPUTED_VALUE"""),61.98)</f>
        <v>61.98</v>
      </c>
      <c r="N158" s="2">
        <f ca="1">IFERROR(__xludf.DUMMYFUNCTION("""COMPUTED_VALUE"""),60.85)</f>
        <v>60.85</v>
      </c>
      <c r="O158" s="2">
        <f ca="1">IFERROR(__xludf.DUMMYFUNCTION("""COMPUTED_VALUE"""),61.26)</f>
        <v>61.26</v>
      </c>
      <c r="P158" s="2">
        <f ca="1">IFERROR(__xludf.DUMMYFUNCTION("""COMPUTED_VALUE"""),65.11)</f>
        <v>65.11</v>
      </c>
      <c r="Q158" s="2">
        <f ca="1">IFERROR(__xludf.DUMMYFUNCTION("""COMPUTED_VALUE"""),64.49)</f>
        <v>64.489999999999995</v>
      </c>
    </row>
    <row r="159" spans="1:17" ht="15.75" customHeight="1" x14ac:dyDescent="0.25">
      <c r="A159" s="2">
        <v>3173</v>
      </c>
      <c r="B159" s="2" t="str">
        <f ca="1">IFERROR(__xludf.DUMMYFUNCTION("""COMPUTED_VALUE"""),"DKI JAKARTA")</f>
        <v>DKI JAKARTA</v>
      </c>
      <c r="C159" s="2" t="s">
        <v>44</v>
      </c>
      <c r="D159" s="2">
        <f ca="1">IFERROR(__xludf.DUMMYFUNCTION("""COMPUTED_VALUE"""),7.06)</f>
        <v>7.06</v>
      </c>
      <c r="E159" s="2">
        <f ca="1">IFERROR(__xludf.DUMMYFUNCTION("""COMPUTED_VALUE"""),7.88)</f>
        <v>7.88</v>
      </c>
      <c r="F159" s="2">
        <f ca="1">IFERROR(__xludf.DUMMYFUNCTION("""COMPUTED_VALUE"""),10.97)</f>
        <v>10.97</v>
      </c>
      <c r="G159" s="2">
        <f ca="1">IFERROR(__xludf.DUMMYFUNCTION("""COMPUTED_VALUE"""),7.75)</f>
        <v>7.75</v>
      </c>
      <c r="H159" s="2">
        <f ca="1">IFERROR(__xludf.DUMMYFUNCTION("""COMPUTED_VALUE"""),5.88)</f>
        <v>5.88</v>
      </c>
      <c r="I159" s="2">
        <f ca="1">IFERROR(__xludf.DUMMYFUNCTION("""COMPUTED_VALUE"""),6.42)</f>
        <v>6.42</v>
      </c>
      <c r="J159" s="2">
        <f ca="1">IFERROR(__xludf.DUMMYFUNCTION("""COMPUTED_VALUE"""),6.24)</f>
        <v>6.24</v>
      </c>
      <c r="K159" s="2">
        <f ca="1">IFERROR(__xludf.DUMMYFUNCTION("""COMPUTED_VALUE"""),65.06)</f>
        <v>65.06</v>
      </c>
      <c r="L159" s="2">
        <f ca="1">IFERROR(__xludf.DUMMYFUNCTION("""COMPUTED_VALUE"""),65.2)</f>
        <v>65.2</v>
      </c>
      <c r="M159" s="2">
        <f ca="1">IFERROR(__xludf.DUMMYFUNCTION("""COMPUTED_VALUE"""),63.73)</f>
        <v>63.73</v>
      </c>
      <c r="N159" s="2">
        <f ca="1">IFERROR(__xludf.DUMMYFUNCTION("""COMPUTED_VALUE"""),63.17)</f>
        <v>63.17</v>
      </c>
      <c r="O159" s="2">
        <f ca="1">IFERROR(__xludf.DUMMYFUNCTION("""COMPUTED_VALUE"""),63.6)</f>
        <v>63.6</v>
      </c>
      <c r="P159" s="2">
        <f ca="1">IFERROR(__xludf.DUMMYFUNCTION("""COMPUTED_VALUE"""),63.98)</f>
        <v>63.98</v>
      </c>
      <c r="Q159" s="2">
        <f ca="1">IFERROR(__xludf.DUMMYFUNCTION("""COMPUTED_VALUE"""),65.12)</f>
        <v>65.12</v>
      </c>
    </row>
    <row r="160" spans="1:17" ht="15.75" customHeight="1" x14ac:dyDescent="0.25">
      <c r="A160" s="2">
        <v>3174</v>
      </c>
      <c r="B160" s="2" t="str">
        <f ca="1">IFERROR(__xludf.DUMMYFUNCTION("""COMPUTED_VALUE"""),"DKI JAKARTA")</f>
        <v>DKI JAKARTA</v>
      </c>
      <c r="C160" s="2" t="s">
        <v>45</v>
      </c>
      <c r="D160" s="2">
        <f ca="1">IFERROR(__xludf.DUMMYFUNCTION("""COMPUTED_VALUE"""),5.42)</f>
        <v>5.42</v>
      </c>
      <c r="E160" s="2">
        <f ca="1">IFERROR(__xludf.DUMMYFUNCTION("""COMPUTED_VALUE"""),5.55)</f>
        <v>5.55</v>
      </c>
      <c r="F160" s="2">
        <f ca="1">IFERROR(__xludf.DUMMYFUNCTION("""COMPUTED_VALUE"""),12.27)</f>
        <v>12.27</v>
      </c>
      <c r="G160" s="2">
        <f ca="1">IFERROR(__xludf.DUMMYFUNCTION("""COMPUTED_VALUE"""),9.06)</f>
        <v>9.06</v>
      </c>
      <c r="H160" s="2">
        <f ca="1">IFERROR(__xludf.DUMMYFUNCTION("""COMPUTED_VALUE"""),7.1)</f>
        <v>7.1</v>
      </c>
      <c r="I160" s="2">
        <f ca="1">IFERROR(__xludf.DUMMYFUNCTION("""COMPUTED_VALUE"""),6.39)</f>
        <v>6.39</v>
      </c>
      <c r="J160" s="2">
        <f ca="1">IFERROR(__xludf.DUMMYFUNCTION("""COMPUTED_VALUE"""),6.18)</f>
        <v>6.18</v>
      </c>
      <c r="K160" s="2">
        <f ca="1">IFERROR(__xludf.DUMMYFUNCTION("""COMPUTED_VALUE"""),62.19)</f>
        <v>62.19</v>
      </c>
      <c r="L160" s="2">
        <f ca="1">IFERROR(__xludf.DUMMYFUNCTION("""COMPUTED_VALUE"""),63.41)</f>
        <v>63.41</v>
      </c>
      <c r="M160" s="2">
        <f ca="1">IFERROR(__xludf.DUMMYFUNCTION("""COMPUTED_VALUE"""),64.37)</f>
        <v>64.37</v>
      </c>
      <c r="N160" s="2">
        <f ca="1">IFERROR(__xludf.DUMMYFUNCTION("""COMPUTED_VALUE"""),63.21)</f>
        <v>63.21</v>
      </c>
      <c r="O160" s="2">
        <f ca="1">IFERROR(__xludf.DUMMYFUNCTION("""COMPUTED_VALUE"""),63.97)</f>
        <v>63.97</v>
      </c>
      <c r="P160" s="2">
        <f ca="1">IFERROR(__xludf.DUMMYFUNCTION("""COMPUTED_VALUE"""),64.8)</f>
        <v>64.8</v>
      </c>
      <c r="Q160" s="2">
        <f ca="1">IFERROR(__xludf.DUMMYFUNCTION("""COMPUTED_VALUE"""),64.12)</f>
        <v>64.12</v>
      </c>
    </row>
    <row r="161" spans="1:17" ht="15.75" customHeight="1" x14ac:dyDescent="0.25">
      <c r="A161" s="2">
        <v>3175</v>
      </c>
      <c r="B161" s="2" t="str">
        <f ca="1">IFERROR(__xludf.DUMMYFUNCTION("""COMPUTED_VALUE"""),"DKI JAKARTA")</f>
        <v>DKI JAKARTA</v>
      </c>
      <c r="C161" s="2" t="s">
        <v>46</v>
      </c>
      <c r="D161" s="2">
        <f ca="1">IFERROR(__xludf.DUMMYFUNCTION("""COMPUTED_VALUE"""),7.43)</f>
        <v>7.43</v>
      </c>
      <c r="E161" s="2">
        <f ca="1">IFERROR(__xludf.DUMMYFUNCTION("""COMPUTED_VALUE"""),6.72)</f>
        <v>6.72</v>
      </c>
      <c r="F161" s="2">
        <f ca="1">IFERROR(__xludf.DUMMYFUNCTION("""COMPUTED_VALUE"""),11.79)</f>
        <v>11.79</v>
      </c>
      <c r="G161" s="2">
        <f ca="1">IFERROR(__xludf.DUMMYFUNCTION("""COMPUTED_VALUE"""),9.84)</f>
        <v>9.84</v>
      </c>
      <c r="H161" s="2">
        <f ca="1">IFERROR(__xludf.DUMMYFUNCTION("""COMPUTED_VALUE"""),8.04)</f>
        <v>8.0399999999999991</v>
      </c>
      <c r="I161" s="2">
        <f ca="1">IFERROR(__xludf.DUMMYFUNCTION("""COMPUTED_VALUE"""),7.05)</f>
        <v>7.05</v>
      </c>
      <c r="J161" s="2">
        <f ca="1">IFERROR(__xludf.DUMMYFUNCTION("""COMPUTED_VALUE"""),6.18)</f>
        <v>6.18</v>
      </c>
      <c r="K161" s="2">
        <f ca="1">IFERROR(__xludf.DUMMYFUNCTION("""COMPUTED_VALUE"""),66.96)</f>
        <v>66.959999999999994</v>
      </c>
      <c r="L161" s="2">
        <f ca="1">IFERROR(__xludf.DUMMYFUNCTION("""COMPUTED_VALUE"""),67.92)</f>
        <v>67.92</v>
      </c>
      <c r="M161" s="2">
        <f ca="1">IFERROR(__xludf.DUMMYFUNCTION("""COMPUTED_VALUE"""),65.97)</f>
        <v>65.97</v>
      </c>
      <c r="N161" s="2">
        <f ca="1">IFERROR(__xludf.DUMMYFUNCTION("""COMPUTED_VALUE"""),65.79)</f>
        <v>65.790000000000006</v>
      </c>
      <c r="O161" s="2">
        <f ca="1">IFERROR(__xludf.DUMMYFUNCTION("""COMPUTED_VALUE"""),64.34)</f>
        <v>64.34</v>
      </c>
      <c r="P161" s="2">
        <f ca="1">IFERROR(__xludf.DUMMYFUNCTION("""COMPUTED_VALUE"""),65.5)</f>
        <v>65.5</v>
      </c>
      <c r="Q161" s="2">
        <f ca="1">IFERROR(__xludf.DUMMYFUNCTION("""COMPUTED_VALUE"""),67.77)</f>
        <v>67.77</v>
      </c>
    </row>
    <row r="162" spans="1:17" ht="15.75" customHeight="1" x14ac:dyDescent="0.25">
      <c r="A162" s="2">
        <v>3201</v>
      </c>
      <c r="B162" s="2" t="str">
        <f ca="1">IFERROR(__xludf.DUMMYFUNCTION("""COMPUTED_VALUE"""),"JAWA BARAT")</f>
        <v>JAWA BARAT</v>
      </c>
      <c r="C162" s="2" t="str">
        <f ca="1">IFERROR(__xludf.DUMMYFUNCTION("""COMPUTED_VALUE"""),"Bogor")</f>
        <v>Bogor</v>
      </c>
      <c r="D162" s="2">
        <f ca="1">IFERROR(__xludf.DUMMYFUNCTION("""COMPUTED_VALUE"""),9.83)</f>
        <v>9.83</v>
      </c>
      <c r="E162" s="2">
        <f ca="1">IFERROR(__xludf.DUMMYFUNCTION("""COMPUTED_VALUE"""),9.11)</f>
        <v>9.11</v>
      </c>
      <c r="F162" s="2">
        <f ca="1">IFERROR(__xludf.DUMMYFUNCTION("""COMPUTED_VALUE"""),14.29)</f>
        <v>14.29</v>
      </c>
      <c r="G162" s="2">
        <f ca="1">IFERROR(__xludf.DUMMYFUNCTION("""COMPUTED_VALUE"""),12.22)</f>
        <v>12.22</v>
      </c>
      <c r="H162" s="2">
        <f ca="1">IFERROR(__xludf.DUMMYFUNCTION("""COMPUTED_VALUE"""),10.64)</f>
        <v>10.64</v>
      </c>
      <c r="I162" s="2">
        <f ca="1">IFERROR(__xludf.DUMMYFUNCTION("""COMPUTED_VALUE"""),8.47)</f>
        <v>8.4700000000000006</v>
      </c>
      <c r="J162" s="2">
        <f ca="1">IFERROR(__xludf.DUMMYFUNCTION("""COMPUTED_VALUE"""),7.34)</f>
        <v>7.34</v>
      </c>
      <c r="K162" s="2">
        <f ca="1">IFERROR(__xludf.DUMMYFUNCTION("""COMPUTED_VALUE"""),62.75)</f>
        <v>62.75</v>
      </c>
      <c r="L162" s="2">
        <f ca="1">IFERROR(__xludf.DUMMYFUNCTION("""COMPUTED_VALUE"""),65.41)</f>
        <v>65.41</v>
      </c>
      <c r="M162" s="2">
        <f ca="1">IFERROR(__xludf.DUMMYFUNCTION("""COMPUTED_VALUE"""),62.65)</f>
        <v>62.65</v>
      </c>
      <c r="N162" s="2">
        <f ca="1">IFERROR(__xludf.DUMMYFUNCTION("""COMPUTED_VALUE"""),62.55)</f>
        <v>62.55</v>
      </c>
      <c r="O162" s="2">
        <f ca="1">IFERROR(__xludf.DUMMYFUNCTION("""COMPUTED_VALUE"""),63.75)</f>
        <v>63.75</v>
      </c>
      <c r="P162" s="2">
        <f ca="1">IFERROR(__xludf.DUMMYFUNCTION("""COMPUTED_VALUE"""),64.22)</f>
        <v>64.22</v>
      </c>
      <c r="Q162" s="2">
        <f ca="1">IFERROR(__xludf.DUMMYFUNCTION("""COMPUTED_VALUE"""),66.3)</f>
        <v>66.3</v>
      </c>
    </row>
    <row r="163" spans="1:17" ht="15.75" customHeight="1" x14ac:dyDescent="0.25">
      <c r="A163" s="2">
        <v>3202</v>
      </c>
      <c r="B163" s="2" t="str">
        <f ca="1">IFERROR(__xludf.DUMMYFUNCTION("""COMPUTED_VALUE"""),"JAWA BARAT")</f>
        <v>JAWA BARAT</v>
      </c>
      <c r="C163" s="2" t="str">
        <f ca="1">IFERROR(__xludf.DUMMYFUNCTION("""COMPUTED_VALUE"""),"Sukabumi")</f>
        <v>Sukabumi</v>
      </c>
      <c r="D163" s="2">
        <f ca="1">IFERROR(__xludf.DUMMYFUNCTION("""COMPUTED_VALUE"""),7.84)</f>
        <v>7.84</v>
      </c>
      <c r="E163" s="2">
        <f ca="1">IFERROR(__xludf.DUMMYFUNCTION("""COMPUTED_VALUE"""),8.05)</f>
        <v>8.0500000000000007</v>
      </c>
      <c r="F163" s="2">
        <f ca="1">IFERROR(__xludf.DUMMYFUNCTION("""COMPUTED_VALUE"""),9.6)</f>
        <v>9.6</v>
      </c>
      <c r="G163" s="2">
        <f ca="1">IFERROR(__xludf.DUMMYFUNCTION("""COMPUTED_VALUE"""),9.51)</f>
        <v>9.51</v>
      </c>
      <c r="H163" s="2">
        <f ca="1">IFERROR(__xludf.DUMMYFUNCTION("""COMPUTED_VALUE"""),7.77)</f>
        <v>7.77</v>
      </c>
      <c r="I163" s="2">
        <f ca="1">IFERROR(__xludf.DUMMYFUNCTION("""COMPUTED_VALUE"""),7.32)</f>
        <v>7.32</v>
      </c>
      <c r="J163" s="2">
        <f ca="1">IFERROR(__xludf.DUMMYFUNCTION("""COMPUTED_VALUE"""),7.11)</f>
        <v>7.11</v>
      </c>
      <c r="K163" s="2">
        <f ca="1">IFERROR(__xludf.DUMMYFUNCTION("""COMPUTED_VALUE"""),62.71)</f>
        <v>62.71</v>
      </c>
      <c r="L163" s="2">
        <f ca="1">IFERROR(__xludf.DUMMYFUNCTION("""COMPUTED_VALUE"""),62.65)</f>
        <v>62.65</v>
      </c>
      <c r="M163" s="2">
        <f ca="1">IFERROR(__xludf.DUMMYFUNCTION("""COMPUTED_VALUE"""),61.56)</f>
        <v>61.56</v>
      </c>
      <c r="N163" s="2">
        <f ca="1">IFERROR(__xludf.DUMMYFUNCTION("""COMPUTED_VALUE"""),64.93)</f>
        <v>64.930000000000007</v>
      </c>
      <c r="O163" s="2">
        <f ca="1">IFERROR(__xludf.DUMMYFUNCTION("""COMPUTED_VALUE"""),69.11)</f>
        <v>69.11</v>
      </c>
      <c r="P163" s="2">
        <f ca="1">IFERROR(__xludf.DUMMYFUNCTION("""COMPUTED_VALUE"""),67.75)</f>
        <v>67.75</v>
      </c>
      <c r="Q163" s="2">
        <f ca="1">IFERROR(__xludf.DUMMYFUNCTION("""COMPUTED_VALUE"""),69.75)</f>
        <v>69.75</v>
      </c>
    </row>
    <row r="164" spans="1:17" ht="15.75" customHeight="1" x14ac:dyDescent="0.25">
      <c r="A164" s="2">
        <v>3203</v>
      </c>
      <c r="B164" s="2" t="str">
        <f ca="1">IFERROR(__xludf.DUMMYFUNCTION("""COMPUTED_VALUE"""),"JAWA BARAT")</f>
        <v>JAWA BARAT</v>
      </c>
      <c r="C164" s="2" t="str">
        <f ca="1">IFERROR(__xludf.DUMMYFUNCTION("""COMPUTED_VALUE"""),"Cianjur")</f>
        <v>Cianjur</v>
      </c>
      <c r="D164" s="2">
        <f ca="1">IFERROR(__xludf.DUMMYFUNCTION("""COMPUTED_VALUE"""),10.23)</f>
        <v>10.23</v>
      </c>
      <c r="E164" s="2">
        <f ca="1">IFERROR(__xludf.DUMMYFUNCTION("""COMPUTED_VALUE"""),9.81)</f>
        <v>9.81</v>
      </c>
      <c r="F164" s="2">
        <f ca="1">IFERROR(__xludf.DUMMYFUNCTION("""COMPUTED_VALUE"""),11.05)</f>
        <v>11.05</v>
      </c>
      <c r="G164" s="2">
        <f ca="1">IFERROR(__xludf.DUMMYFUNCTION("""COMPUTED_VALUE"""),9.32)</f>
        <v>9.32</v>
      </c>
      <c r="H164" s="2">
        <f ca="1">IFERROR(__xludf.DUMMYFUNCTION("""COMPUTED_VALUE"""),8.41)</f>
        <v>8.41</v>
      </c>
      <c r="I164" s="2">
        <f ca="1">IFERROR(__xludf.DUMMYFUNCTION("""COMPUTED_VALUE"""),7.71)</f>
        <v>7.71</v>
      </c>
      <c r="J164" s="2">
        <f ca="1">IFERROR(__xludf.DUMMYFUNCTION("""COMPUTED_VALUE"""),5.99)</f>
        <v>5.99</v>
      </c>
      <c r="K164" s="2">
        <f ca="1">IFERROR(__xludf.DUMMYFUNCTION("""COMPUTED_VALUE"""),60.22)</f>
        <v>60.22</v>
      </c>
      <c r="L164" s="2">
        <f ca="1">IFERROR(__xludf.DUMMYFUNCTION("""COMPUTED_VALUE"""),66)</f>
        <v>66</v>
      </c>
      <c r="M164" s="2">
        <f ca="1">IFERROR(__xludf.DUMMYFUNCTION("""COMPUTED_VALUE"""),69.26)</f>
        <v>69.260000000000005</v>
      </c>
      <c r="N164" s="2">
        <f ca="1">IFERROR(__xludf.DUMMYFUNCTION("""COMPUTED_VALUE"""),67.98)</f>
        <v>67.98</v>
      </c>
      <c r="O164" s="2">
        <f ca="1">IFERROR(__xludf.DUMMYFUNCTION("""COMPUTED_VALUE"""),69.98)</f>
        <v>69.98</v>
      </c>
      <c r="P164" s="2">
        <f ca="1">IFERROR(__xludf.DUMMYFUNCTION("""COMPUTED_VALUE"""),72.31)</f>
        <v>72.31</v>
      </c>
      <c r="Q164" s="2">
        <f ca="1">IFERROR(__xludf.DUMMYFUNCTION("""COMPUTED_VALUE"""),72.63)</f>
        <v>72.63</v>
      </c>
    </row>
    <row r="165" spans="1:17" ht="15.75" customHeight="1" x14ac:dyDescent="0.25">
      <c r="A165" s="2">
        <v>3204</v>
      </c>
      <c r="B165" s="2" t="str">
        <f ca="1">IFERROR(__xludf.DUMMYFUNCTION("""COMPUTED_VALUE"""),"JAWA BARAT")</f>
        <v>JAWA BARAT</v>
      </c>
      <c r="C165" s="2" t="str">
        <f ca="1">IFERROR(__xludf.DUMMYFUNCTION("""COMPUTED_VALUE"""),"Bandung")</f>
        <v>Bandung</v>
      </c>
      <c r="D165" s="2">
        <f ca="1">IFERROR(__xludf.DUMMYFUNCTION("""COMPUTED_VALUE"""),5.07)</f>
        <v>5.07</v>
      </c>
      <c r="E165" s="2">
        <f ca="1">IFERROR(__xludf.DUMMYFUNCTION("""COMPUTED_VALUE"""),5.51)</f>
        <v>5.51</v>
      </c>
      <c r="F165" s="2">
        <f ca="1">IFERROR(__xludf.DUMMYFUNCTION("""COMPUTED_VALUE"""),8.58)</f>
        <v>8.58</v>
      </c>
      <c r="G165" s="2">
        <f ca="1">IFERROR(__xludf.DUMMYFUNCTION("""COMPUTED_VALUE"""),8.32)</f>
        <v>8.32</v>
      </c>
      <c r="H165" s="2">
        <f ca="1">IFERROR(__xludf.DUMMYFUNCTION("""COMPUTED_VALUE"""),6.98)</f>
        <v>6.98</v>
      </c>
      <c r="I165" s="2">
        <f ca="1">IFERROR(__xludf.DUMMYFUNCTION("""COMPUTED_VALUE"""),6.52)</f>
        <v>6.52</v>
      </c>
      <c r="J165" s="2">
        <f ca="1">IFERROR(__xludf.DUMMYFUNCTION("""COMPUTED_VALUE"""),6.36)</f>
        <v>6.36</v>
      </c>
      <c r="K165" s="2">
        <f ca="1">IFERROR(__xludf.DUMMYFUNCTION("""COMPUTED_VALUE"""),61.79)</f>
        <v>61.79</v>
      </c>
      <c r="L165" s="2">
        <f ca="1">IFERROR(__xludf.DUMMYFUNCTION("""COMPUTED_VALUE"""),65.32)</f>
        <v>65.319999999999993</v>
      </c>
      <c r="M165" s="2">
        <f ca="1">IFERROR(__xludf.DUMMYFUNCTION("""COMPUTED_VALUE"""),62.2)</f>
        <v>62.2</v>
      </c>
      <c r="N165" s="2">
        <f ca="1">IFERROR(__xludf.DUMMYFUNCTION("""COMPUTED_VALUE"""),65.12)</f>
        <v>65.12</v>
      </c>
      <c r="O165" s="2">
        <f ca="1">IFERROR(__xludf.DUMMYFUNCTION("""COMPUTED_VALUE"""),63.64)</f>
        <v>63.64</v>
      </c>
      <c r="P165" s="2">
        <f ca="1">IFERROR(__xludf.DUMMYFUNCTION("""COMPUTED_VALUE"""),67.1)</f>
        <v>67.099999999999994</v>
      </c>
      <c r="Q165" s="2">
        <f ca="1">IFERROR(__xludf.DUMMYFUNCTION("""COMPUTED_VALUE"""),67.22)</f>
        <v>67.22</v>
      </c>
    </row>
    <row r="166" spans="1:17" ht="15.75" customHeight="1" x14ac:dyDescent="0.25">
      <c r="A166" s="2">
        <v>3205</v>
      </c>
      <c r="B166" s="2" t="str">
        <f ca="1">IFERROR(__xludf.DUMMYFUNCTION("""COMPUTED_VALUE"""),"JAWA BARAT")</f>
        <v>JAWA BARAT</v>
      </c>
      <c r="C166" s="2" t="str">
        <f ca="1">IFERROR(__xludf.DUMMYFUNCTION("""COMPUTED_VALUE"""),"Garut")</f>
        <v>Garut</v>
      </c>
      <c r="D166" s="2">
        <f ca="1">IFERROR(__xludf.DUMMYFUNCTION("""COMPUTED_VALUE"""),7.12)</f>
        <v>7.12</v>
      </c>
      <c r="E166" s="2">
        <f ca="1">IFERROR(__xludf.DUMMYFUNCTION("""COMPUTED_VALUE"""),7.35)</f>
        <v>7.35</v>
      </c>
      <c r="F166" s="2">
        <f ca="1">IFERROR(__xludf.DUMMYFUNCTION("""COMPUTED_VALUE"""),8.96)</f>
        <v>8.9600000000000009</v>
      </c>
      <c r="G166" s="2">
        <f ca="1">IFERROR(__xludf.DUMMYFUNCTION("""COMPUTED_VALUE"""),8.68)</f>
        <v>8.68</v>
      </c>
      <c r="H166" s="2">
        <f ca="1">IFERROR(__xludf.DUMMYFUNCTION("""COMPUTED_VALUE"""),7.6)</f>
        <v>7.6</v>
      </c>
      <c r="I166" s="2">
        <f ca="1">IFERROR(__xludf.DUMMYFUNCTION("""COMPUTED_VALUE"""),7.33)</f>
        <v>7.33</v>
      </c>
      <c r="J166" s="2">
        <f ca="1">IFERROR(__xludf.DUMMYFUNCTION("""COMPUTED_VALUE"""),6.96)</f>
        <v>6.96</v>
      </c>
      <c r="K166" s="2">
        <f ca="1">IFERROR(__xludf.DUMMYFUNCTION("""COMPUTED_VALUE"""),60.06)</f>
        <v>60.06</v>
      </c>
      <c r="L166" s="2">
        <f ca="1">IFERROR(__xludf.DUMMYFUNCTION("""COMPUTED_VALUE"""),62.6)</f>
        <v>62.6</v>
      </c>
      <c r="M166" s="2">
        <f ca="1">IFERROR(__xludf.DUMMYFUNCTION("""COMPUTED_VALUE"""),61.11)</f>
        <v>61.11</v>
      </c>
      <c r="N166" s="2">
        <f ca="1">IFERROR(__xludf.DUMMYFUNCTION("""COMPUTED_VALUE"""),62.76)</f>
        <v>62.76</v>
      </c>
      <c r="O166" s="2">
        <f ca="1">IFERROR(__xludf.DUMMYFUNCTION("""COMPUTED_VALUE"""),68.84)</f>
        <v>68.84</v>
      </c>
      <c r="P166" s="2">
        <f ca="1">IFERROR(__xludf.DUMMYFUNCTION("""COMPUTED_VALUE"""),70.1)</f>
        <v>70.099999999999994</v>
      </c>
      <c r="Q166" s="2">
        <f ca="1">IFERROR(__xludf.DUMMYFUNCTION("""COMPUTED_VALUE"""),71.34)</f>
        <v>71.34</v>
      </c>
    </row>
    <row r="167" spans="1:17" ht="15.75" customHeight="1" x14ac:dyDescent="0.25">
      <c r="A167" s="2">
        <v>3206</v>
      </c>
      <c r="B167" s="2" t="str">
        <f ca="1">IFERROR(__xludf.DUMMYFUNCTION("""COMPUTED_VALUE"""),"JAWA BARAT")</f>
        <v>JAWA BARAT</v>
      </c>
      <c r="C167" s="2" t="str">
        <f ca="1">IFERROR(__xludf.DUMMYFUNCTION("""COMPUTED_VALUE"""),"Tasikmalaya")</f>
        <v>Tasikmalaya</v>
      </c>
      <c r="D167" s="2">
        <f ca="1">IFERROR(__xludf.DUMMYFUNCTION("""COMPUTED_VALUE"""),6.92)</f>
        <v>6.92</v>
      </c>
      <c r="E167" s="2">
        <f ca="1">IFERROR(__xludf.DUMMYFUNCTION("""COMPUTED_VALUE"""),6.31)</f>
        <v>6.31</v>
      </c>
      <c r="F167" s="2">
        <f ca="1">IFERROR(__xludf.DUMMYFUNCTION("""COMPUTED_VALUE"""),7.12)</f>
        <v>7.12</v>
      </c>
      <c r="G167" s="2">
        <f ca="1">IFERROR(__xludf.DUMMYFUNCTION("""COMPUTED_VALUE"""),6.16)</f>
        <v>6.16</v>
      </c>
      <c r="H167" s="2">
        <f ca="1">IFERROR(__xludf.DUMMYFUNCTION("""COMPUTED_VALUE"""),4.17)</f>
        <v>4.17</v>
      </c>
      <c r="I167" s="2">
        <f ca="1">IFERROR(__xludf.DUMMYFUNCTION("""COMPUTED_VALUE"""),3.89)</f>
        <v>3.89</v>
      </c>
      <c r="J167" s="2">
        <f ca="1">IFERROR(__xludf.DUMMYFUNCTION("""COMPUTED_VALUE"""),3.74)</f>
        <v>3.74</v>
      </c>
      <c r="K167" s="2">
        <f ca="1">IFERROR(__xludf.DUMMYFUNCTION("""COMPUTED_VALUE"""),64.07)</f>
        <v>64.069999999999993</v>
      </c>
      <c r="L167" s="2">
        <f ca="1">IFERROR(__xludf.DUMMYFUNCTION("""COMPUTED_VALUE"""),66.46)</f>
        <v>66.459999999999994</v>
      </c>
      <c r="M167" s="2">
        <f ca="1">IFERROR(__xludf.DUMMYFUNCTION("""COMPUTED_VALUE"""),69.54)</f>
        <v>69.540000000000006</v>
      </c>
      <c r="N167" s="2">
        <f ca="1">IFERROR(__xludf.DUMMYFUNCTION("""COMPUTED_VALUE"""),68.18)</f>
        <v>68.180000000000007</v>
      </c>
      <c r="O167" s="2">
        <f ca="1">IFERROR(__xludf.DUMMYFUNCTION("""COMPUTED_VALUE"""),67.83)</f>
        <v>67.83</v>
      </c>
      <c r="P167" s="2">
        <f ca="1">IFERROR(__xludf.DUMMYFUNCTION("""COMPUTED_VALUE"""),68.37)</f>
        <v>68.37</v>
      </c>
      <c r="Q167" s="2">
        <f ca="1">IFERROR(__xludf.DUMMYFUNCTION("""COMPUTED_VALUE"""),68.76)</f>
        <v>68.760000000000005</v>
      </c>
    </row>
    <row r="168" spans="1:17" ht="15.75" customHeight="1" x14ac:dyDescent="0.25">
      <c r="A168" s="2">
        <v>3207</v>
      </c>
      <c r="B168" s="2" t="str">
        <f ca="1">IFERROR(__xludf.DUMMYFUNCTION("""COMPUTED_VALUE"""),"JAWA BARAT")</f>
        <v>JAWA BARAT</v>
      </c>
      <c r="C168" s="2" t="str">
        <f ca="1">IFERROR(__xludf.DUMMYFUNCTION("""COMPUTED_VALUE"""),"Ciamis")</f>
        <v>Ciamis</v>
      </c>
      <c r="D168" s="2">
        <f ca="1">IFERROR(__xludf.DUMMYFUNCTION("""COMPUTED_VALUE"""),4.64)</f>
        <v>4.6399999999999997</v>
      </c>
      <c r="E168" s="2">
        <f ca="1">IFERROR(__xludf.DUMMYFUNCTION("""COMPUTED_VALUE"""),5.16)</f>
        <v>5.16</v>
      </c>
      <c r="F168" s="2">
        <f ca="1">IFERROR(__xludf.DUMMYFUNCTION("""COMPUTED_VALUE"""),5.66)</f>
        <v>5.66</v>
      </c>
      <c r="G168" s="2">
        <f ca="1">IFERROR(__xludf.DUMMYFUNCTION("""COMPUTED_VALUE"""),5.06)</f>
        <v>5.0599999999999996</v>
      </c>
      <c r="H168" s="2">
        <f ca="1">IFERROR(__xludf.DUMMYFUNCTION("""COMPUTED_VALUE"""),3.75)</f>
        <v>3.75</v>
      </c>
      <c r="I168" s="2">
        <f ca="1">IFERROR(__xludf.DUMMYFUNCTION("""COMPUTED_VALUE"""),3.52)</f>
        <v>3.52</v>
      </c>
      <c r="J168" s="2">
        <f ca="1">IFERROR(__xludf.DUMMYFUNCTION("""COMPUTED_VALUE"""),3.37)</f>
        <v>3.37</v>
      </c>
      <c r="K168" s="2">
        <f ca="1">IFERROR(__xludf.DUMMYFUNCTION("""COMPUTED_VALUE"""),66.67)</f>
        <v>66.67</v>
      </c>
      <c r="L168" s="2">
        <f ca="1">IFERROR(__xludf.DUMMYFUNCTION("""COMPUTED_VALUE"""),67.39)</f>
        <v>67.39</v>
      </c>
      <c r="M168" s="2">
        <f ca="1">IFERROR(__xludf.DUMMYFUNCTION("""COMPUTED_VALUE"""),71.41)</f>
        <v>71.41</v>
      </c>
      <c r="N168" s="2">
        <f ca="1">IFERROR(__xludf.DUMMYFUNCTION("""COMPUTED_VALUE"""),69.83)</f>
        <v>69.83</v>
      </c>
      <c r="O168" s="2">
        <f ca="1">IFERROR(__xludf.DUMMYFUNCTION("""COMPUTED_VALUE"""),68.47)</f>
        <v>68.47</v>
      </c>
      <c r="P168" s="2">
        <f ca="1">IFERROR(__xludf.DUMMYFUNCTION("""COMPUTED_VALUE"""),66.26)</f>
        <v>66.260000000000005</v>
      </c>
      <c r="Q168" s="2">
        <f ca="1">IFERROR(__xludf.DUMMYFUNCTION("""COMPUTED_VALUE"""),68.14)</f>
        <v>68.14</v>
      </c>
    </row>
    <row r="169" spans="1:17" ht="15.75" customHeight="1" x14ac:dyDescent="0.25">
      <c r="A169" s="2">
        <v>3208</v>
      </c>
      <c r="B169" s="2" t="str">
        <f ca="1">IFERROR(__xludf.DUMMYFUNCTION("""COMPUTED_VALUE"""),"JAWA BARAT")</f>
        <v>JAWA BARAT</v>
      </c>
      <c r="C169" s="2" t="str">
        <f ca="1">IFERROR(__xludf.DUMMYFUNCTION("""COMPUTED_VALUE"""),"Kuningan")</f>
        <v>Kuningan</v>
      </c>
      <c r="D169" s="2">
        <f ca="1">IFERROR(__xludf.DUMMYFUNCTION("""COMPUTED_VALUE"""),9.1)</f>
        <v>9.1</v>
      </c>
      <c r="E169" s="2">
        <f ca="1">IFERROR(__xludf.DUMMYFUNCTION("""COMPUTED_VALUE"""),9.68)</f>
        <v>9.68</v>
      </c>
      <c r="F169" s="2">
        <f ca="1">IFERROR(__xludf.DUMMYFUNCTION("""COMPUTED_VALUE"""),11.22)</f>
        <v>11.22</v>
      </c>
      <c r="G169" s="2">
        <f ca="1">IFERROR(__xludf.DUMMYFUNCTION("""COMPUTED_VALUE"""),11.68)</f>
        <v>11.68</v>
      </c>
      <c r="H169" s="2">
        <f ca="1">IFERROR(__xludf.DUMMYFUNCTION("""COMPUTED_VALUE"""),9.81)</f>
        <v>9.81</v>
      </c>
      <c r="I169" s="2">
        <f ca="1">IFERROR(__xludf.DUMMYFUNCTION("""COMPUTED_VALUE"""),9.49)</f>
        <v>9.49</v>
      </c>
      <c r="J169" s="2">
        <f ca="1">IFERROR(__xludf.DUMMYFUNCTION("""COMPUTED_VALUE"""),7.78)</f>
        <v>7.78</v>
      </c>
      <c r="K169" s="2">
        <f ca="1">IFERROR(__xludf.DUMMYFUNCTION("""COMPUTED_VALUE"""),58.53)</f>
        <v>58.53</v>
      </c>
      <c r="L169" s="2">
        <f ca="1">IFERROR(__xludf.DUMMYFUNCTION("""COMPUTED_VALUE"""),61.2)</f>
        <v>61.2</v>
      </c>
      <c r="M169" s="2">
        <f ca="1">IFERROR(__xludf.DUMMYFUNCTION("""COMPUTED_VALUE"""),61.98)</f>
        <v>61.98</v>
      </c>
      <c r="N169" s="2">
        <f ca="1">IFERROR(__xludf.DUMMYFUNCTION("""COMPUTED_VALUE"""),63.82)</f>
        <v>63.82</v>
      </c>
      <c r="O169" s="2">
        <f ca="1">IFERROR(__xludf.DUMMYFUNCTION("""COMPUTED_VALUE"""),61.8)</f>
        <v>61.8</v>
      </c>
      <c r="P169" s="2">
        <f ca="1">IFERROR(__xludf.DUMMYFUNCTION("""COMPUTED_VALUE"""),61.95)</f>
        <v>61.95</v>
      </c>
      <c r="Q169" s="2">
        <f ca="1">IFERROR(__xludf.DUMMYFUNCTION("""COMPUTED_VALUE"""),65.84)</f>
        <v>65.84</v>
      </c>
    </row>
    <row r="170" spans="1:17" ht="15.75" customHeight="1" x14ac:dyDescent="0.25">
      <c r="A170" s="2">
        <v>3209</v>
      </c>
      <c r="B170" s="2" t="str">
        <f ca="1">IFERROR(__xludf.DUMMYFUNCTION("""COMPUTED_VALUE"""),"JAWA BARAT")</f>
        <v>JAWA BARAT</v>
      </c>
      <c r="C170" s="2" t="str">
        <f ca="1">IFERROR(__xludf.DUMMYFUNCTION("""COMPUTED_VALUE"""),"Cirebon")</f>
        <v>Cirebon</v>
      </c>
      <c r="D170" s="2">
        <f ca="1">IFERROR(__xludf.DUMMYFUNCTION("""COMPUTED_VALUE"""),10.64)</f>
        <v>10.64</v>
      </c>
      <c r="E170" s="2">
        <f ca="1">IFERROR(__xludf.DUMMYFUNCTION("""COMPUTED_VALUE"""),10.35)</f>
        <v>10.35</v>
      </c>
      <c r="F170" s="2">
        <f ca="1">IFERROR(__xludf.DUMMYFUNCTION("""COMPUTED_VALUE"""),11.52)</f>
        <v>11.52</v>
      </c>
      <c r="G170" s="2">
        <f ca="1">IFERROR(__xludf.DUMMYFUNCTION("""COMPUTED_VALUE"""),10.38)</f>
        <v>10.38</v>
      </c>
      <c r="H170" s="2">
        <f ca="1">IFERROR(__xludf.DUMMYFUNCTION("""COMPUTED_VALUE"""),8.11)</f>
        <v>8.11</v>
      </c>
      <c r="I170" s="2">
        <f ca="1">IFERROR(__xludf.DUMMYFUNCTION("""COMPUTED_VALUE"""),7.65)</f>
        <v>7.65</v>
      </c>
      <c r="J170" s="2">
        <f ca="1">IFERROR(__xludf.DUMMYFUNCTION("""COMPUTED_VALUE"""),6.74)</f>
        <v>6.74</v>
      </c>
      <c r="K170" s="2">
        <f ca="1">IFERROR(__xludf.DUMMYFUNCTION("""COMPUTED_VALUE"""),61.75)</f>
        <v>61.75</v>
      </c>
      <c r="L170" s="2">
        <f ca="1">IFERROR(__xludf.DUMMYFUNCTION("""COMPUTED_VALUE"""),65.23)</f>
        <v>65.23</v>
      </c>
      <c r="M170" s="2">
        <f ca="1">IFERROR(__xludf.DUMMYFUNCTION("""COMPUTED_VALUE"""),63.79)</f>
        <v>63.79</v>
      </c>
      <c r="N170" s="2">
        <f ca="1">IFERROR(__xludf.DUMMYFUNCTION("""COMPUTED_VALUE"""),64.49)</f>
        <v>64.489999999999995</v>
      </c>
      <c r="O170" s="2">
        <f ca="1">IFERROR(__xludf.DUMMYFUNCTION("""COMPUTED_VALUE"""),65.53)</f>
        <v>65.53</v>
      </c>
      <c r="P170" s="2">
        <f ca="1">IFERROR(__xludf.DUMMYFUNCTION("""COMPUTED_VALUE"""),66.16)</f>
        <v>66.16</v>
      </c>
      <c r="Q170" s="2">
        <f ca="1">IFERROR(__xludf.DUMMYFUNCTION("""COMPUTED_VALUE"""),69.27)</f>
        <v>69.27</v>
      </c>
    </row>
    <row r="171" spans="1:17" ht="15.75" customHeight="1" x14ac:dyDescent="0.25">
      <c r="A171" s="2">
        <v>3210</v>
      </c>
      <c r="B171" s="2" t="str">
        <f ca="1">IFERROR(__xludf.DUMMYFUNCTION("""COMPUTED_VALUE"""),"JAWA BARAT")</f>
        <v>JAWA BARAT</v>
      </c>
      <c r="C171" s="2" t="str">
        <f ca="1">IFERROR(__xludf.DUMMYFUNCTION("""COMPUTED_VALUE"""),"Majalengka")</f>
        <v>Majalengka</v>
      </c>
      <c r="D171" s="2">
        <f ca="1">IFERROR(__xludf.DUMMYFUNCTION("""COMPUTED_VALUE"""),5)</f>
        <v>5</v>
      </c>
      <c r="E171" s="2">
        <f ca="1">IFERROR(__xludf.DUMMYFUNCTION("""COMPUTED_VALUE"""),4.37)</f>
        <v>4.37</v>
      </c>
      <c r="F171" s="2">
        <f ca="1">IFERROR(__xludf.DUMMYFUNCTION("""COMPUTED_VALUE"""),5.84)</f>
        <v>5.84</v>
      </c>
      <c r="G171" s="2">
        <f ca="1">IFERROR(__xludf.DUMMYFUNCTION("""COMPUTED_VALUE"""),5.71)</f>
        <v>5.71</v>
      </c>
      <c r="H171" s="2">
        <f ca="1">IFERROR(__xludf.DUMMYFUNCTION("""COMPUTED_VALUE"""),4.16)</f>
        <v>4.16</v>
      </c>
      <c r="I171" s="2">
        <f ca="1">IFERROR(__xludf.DUMMYFUNCTION("""COMPUTED_VALUE"""),4.12)</f>
        <v>4.12</v>
      </c>
      <c r="J171" s="2">
        <f ca="1">IFERROR(__xludf.DUMMYFUNCTION("""COMPUTED_VALUE"""),4.01)</f>
        <v>4.01</v>
      </c>
      <c r="K171" s="2">
        <f ca="1">IFERROR(__xludf.DUMMYFUNCTION("""COMPUTED_VALUE"""),65.64)</f>
        <v>65.64</v>
      </c>
      <c r="L171" s="2">
        <f ca="1">IFERROR(__xludf.DUMMYFUNCTION("""COMPUTED_VALUE"""),67.83)</f>
        <v>67.83</v>
      </c>
      <c r="M171" s="2">
        <f ca="1">IFERROR(__xludf.DUMMYFUNCTION("""COMPUTED_VALUE"""),69.66)</f>
        <v>69.66</v>
      </c>
      <c r="N171" s="2">
        <f ca="1">IFERROR(__xludf.DUMMYFUNCTION("""COMPUTED_VALUE"""),67.63)</f>
        <v>67.63</v>
      </c>
      <c r="O171" s="2">
        <f ca="1">IFERROR(__xludf.DUMMYFUNCTION("""COMPUTED_VALUE"""),66.21)</f>
        <v>66.209999999999994</v>
      </c>
      <c r="P171" s="2">
        <f ca="1">IFERROR(__xludf.DUMMYFUNCTION("""COMPUTED_VALUE"""),68.5)</f>
        <v>68.5</v>
      </c>
      <c r="Q171" s="2">
        <f ca="1">IFERROR(__xludf.DUMMYFUNCTION("""COMPUTED_VALUE"""),69.64)</f>
        <v>69.64</v>
      </c>
    </row>
    <row r="172" spans="1:17" ht="15.75" customHeight="1" x14ac:dyDescent="0.25">
      <c r="A172" s="2">
        <v>3211</v>
      </c>
      <c r="B172" s="2" t="str">
        <f ca="1">IFERROR(__xludf.DUMMYFUNCTION("""COMPUTED_VALUE"""),"JAWA BARAT")</f>
        <v>JAWA BARAT</v>
      </c>
      <c r="C172" s="2" t="str">
        <f ca="1">IFERROR(__xludf.DUMMYFUNCTION("""COMPUTED_VALUE"""),"Sumedang")</f>
        <v>Sumedang</v>
      </c>
      <c r="D172" s="2">
        <f ca="1">IFERROR(__xludf.DUMMYFUNCTION("""COMPUTED_VALUE"""),7.54)</f>
        <v>7.54</v>
      </c>
      <c r="E172" s="2">
        <f ca="1">IFERROR(__xludf.DUMMYFUNCTION("""COMPUTED_VALUE"""),7.7)</f>
        <v>7.7</v>
      </c>
      <c r="F172" s="2">
        <f ca="1">IFERROR(__xludf.DUMMYFUNCTION("""COMPUTED_VALUE"""),9.89)</f>
        <v>9.89</v>
      </c>
      <c r="G172" s="2">
        <f ca="1">IFERROR(__xludf.DUMMYFUNCTION("""COMPUTED_VALUE"""),9.18)</f>
        <v>9.18</v>
      </c>
      <c r="H172" s="2">
        <f ca="1">IFERROR(__xludf.DUMMYFUNCTION("""COMPUTED_VALUE"""),7.72)</f>
        <v>7.72</v>
      </c>
      <c r="I172" s="2">
        <f ca="1">IFERROR(__xludf.DUMMYFUNCTION("""COMPUTED_VALUE"""),6.94)</f>
        <v>6.94</v>
      </c>
      <c r="J172" s="2">
        <f ca="1">IFERROR(__xludf.DUMMYFUNCTION("""COMPUTED_VALUE"""),6.16)</f>
        <v>6.16</v>
      </c>
      <c r="K172" s="2">
        <f ca="1">IFERROR(__xludf.DUMMYFUNCTION("""COMPUTED_VALUE"""),61.93)</f>
        <v>61.93</v>
      </c>
      <c r="L172" s="2">
        <f ca="1">IFERROR(__xludf.DUMMYFUNCTION("""COMPUTED_VALUE"""),63.9)</f>
        <v>63.9</v>
      </c>
      <c r="M172" s="2">
        <f ca="1">IFERROR(__xludf.DUMMYFUNCTION("""COMPUTED_VALUE"""),68.96)</f>
        <v>68.959999999999994</v>
      </c>
      <c r="N172" s="2">
        <f ca="1">IFERROR(__xludf.DUMMYFUNCTION("""COMPUTED_VALUE"""),68.51)</f>
        <v>68.510000000000005</v>
      </c>
      <c r="O172" s="2">
        <f ca="1">IFERROR(__xludf.DUMMYFUNCTION("""COMPUTED_VALUE"""),64.63)</f>
        <v>64.63</v>
      </c>
      <c r="P172" s="2">
        <f ca="1">IFERROR(__xludf.DUMMYFUNCTION("""COMPUTED_VALUE"""),67.76)</f>
        <v>67.760000000000005</v>
      </c>
      <c r="Q172" s="2">
        <f ca="1">IFERROR(__xludf.DUMMYFUNCTION("""COMPUTED_VALUE"""),69.24)</f>
        <v>69.239999999999995</v>
      </c>
    </row>
    <row r="173" spans="1:17" ht="15.75" customHeight="1" x14ac:dyDescent="0.25">
      <c r="A173" s="2">
        <v>3212</v>
      </c>
      <c r="B173" s="2" t="str">
        <f ca="1">IFERROR(__xludf.DUMMYFUNCTION("""COMPUTED_VALUE"""),"JAWA BARAT")</f>
        <v>JAWA BARAT</v>
      </c>
      <c r="C173" s="2" t="str">
        <f ca="1">IFERROR(__xludf.DUMMYFUNCTION("""COMPUTED_VALUE"""),"Indramayu")</f>
        <v>Indramayu</v>
      </c>
      <c r="D173" s="2">
        <f ca="1">IFERROR(__xludf.DUMMYFUNCTION("""COMPUTED_VALUE"""),8.46)</f>
        <v>8.4600000000000009</v>
      </c>
      <c r="E173" s="2">
        <f ca="1">IFERROR(__xludf.DUMMYFUNCTION("""COMPUTED_VALUE"""),8.35)</f>
        <v>8.35</v>
      </c>
      <c r="F173" s="2">
        <f ca="1">IFERROR(__xludf.DUMMYFUNCTION("""COMPUTED_VALUE"""),9.21)</f>
        <v>9.2100000000000009</v>
      </c>
      <c r="G173" s="2">
        <f ca="1">IFERROR(__xludf.DUMMYFUNCTION("""COMPUTED_VALUE"""),8.3)</f>
        <v>8.3000000000000007</v>
      </c>
      <c r="H173" s="2">
        <f ca="1">IFERROR(__xludf.DUMMYFUNCTION("""COMPUTED_VALUE"""),6.49)</f>
        <v>6.49</v>
      </c>
      <c r="I173" s="2">
        <f ca="1">IFERROR(__xludf.DUMMYFUNCTION("""COMPUTED_VALUE"""),6.46)</f>
        <v>6.46</v>
      </c>
      <c r="J173" s="2">
        <f ca="1">IFERROR(__xludf.DUMMYFUNCTION("""COMPUTED_VALUE"""),6.25)</f>
        <v>6.25</v>
      </c>
      <c r="K173" s="2">
        <f ca="1">IFERROR(__xludf.DUMMYFUNCTION("""COMPUTED_VALUE"""),64.88)</f>
        <v>64.88</v>
      </c>
      <c r="L173" s="2">
        <f ca="1">IFERROR(__xludf.DUMMYFUNCTION("""COMPUTED_VALUE"""),67.69)</f>
        <v>67.69</v>
      </c>
      <c r="M173" s="2">
        <f ca="1">IFERROR(__xludf.DUMMYFUNCTION("""COMPUTED_VALUE"""),69.53)</f>
        <v>69.53</v>
      </c>
      <c r="N173" s="2">
        <f ca="1">IFERROR(__xludf.DUMMYFUNCTION("""COMPUTED_VALUE"""),69.86)</f>
        <v>69.86</v>
      </c>
      <c r="O173" s="2">
        <f ca="1">IFERROR(__xludf.DUMMYFUNCTION("""COMPUTED_VALUE"""),69.08)</f>
        <v>69.08</v>
      </c>
      <c r="P173" s="2">
        <f ca="1">IFERROR(__xludf.DUMMYFUNCTION("""COMPUTED_VALUE"""),63.88)</f>
        <v>63.88</v>
      </c>
      <c r="Q173" s="2">
        <f ca="1">IFERROR(__xludf.DUMMYFUNCTION("""COMPUTED_VALUE"""),66.43)</f>
        <v>66.430000000000007</v>
      </c>
    </row>
    <row r="174" spans="1:17" ht="15.75" customHeight="1" x14ac:dyDescent="0.25">
      <c r="A174" s="2">
        <v>3213</v>
      </c>
      <c r="B174" s="2" t="str">
        <f ca="1">IFERROR(__xludf.DUMMYFUNCTION("""COMPUTED_VALUE"""),"JAWA BARAT")</f>
        <v>JAWA BARAT</v>
      </c>
      <c r="C174" s="2" t="str">
        <f ca="1">IFERROR(__xludf.DUMMYFUNCTION("""COMPUTED_VALUE"""),"Subang")</f>
        <v>Subang</v>
      </c>
      <c r="D174" s="2">
        <f ca="1">IFERROR(__xludf.DUMMYFUNCTION("""COMPUTED_VALUE"""),8.71)</f>
        <v>8.7100000000000009</v>
      </c>
      <c r="E174" s="2">
        <f ca="1">IFERROR(__xludf.DUMMYFUNCTION("""COMPUTED_VALUE"""),8.68)</f>
        <v>8.68</v>
      </c>
      <c r="F174" s="2">
        <f ca="1">IFERROR(__xludf.DUMMYFUNCTION("""COMPUTED_VALUE"""),9.48)</f>
        <v>9.48</v>
      </c>
      <c r="G174" s="2">
        <f ca="1">IFERROR(__xludf.DUMMYFUNCTION("""COMPUTED_VALUE"""),9.77)</f>
        <v>9.77</v>
      </c>
      <c r="H174" s="2">
        <f ca="1">IFERROR(__xludf.DUMMYFUNCTION("""COMPUTED_VALUE"""),7.77)</f>
        <v>7.77</v>
      </c>
      <c r="I174" s="2">
        <f ca="1">IFERROR(__xludf.DUMMYFUNCTION("""COMPUTED_VALUE"""),7.65)</f>
        <v>7.65</v>
      </c>
      <c r="J174" s="2">
        <f ca="1">IFERROR(__xludf.DUMMYFUNCTION("""COMPUTED_VALUE"""),6.73)</f>
        <v>6.73</v>
      </c>
      <c r="K174" s="2">
        <f ca="1">IFERROR(__xludf.DUMMYFUNCTION("""COMPUTED_VALUE"""),64.35)</f>
        <v>64.349999999999994</v>
      </c>
      <c r="L174" s="2">
        <f ca="1">IFERROR(__xludf.DUMMYFUNCTION("""COMPUTED_VALUE"""),67.67)</f>
        <v>67.67</v>
      </c>
      <c r="M174" s="2">
        <f ca="1">IFERROR(__xludf.DUMMYFUNCTION("""COMPUTED_VALUE"""),66.7)</f>
        <v>66.7</v>
      </c>
      <c r="N174" s="2">
        <f ca="1">IFERROR(__xludf.DUMMYFUNCTION("""COMPUTED_VALUE"""),67.78)</f>
        <v>67.78</v>
      </c>
      <c r="O174" s="2">
        <f ca="1">IFERROR(__xludf.DUMMYFUNCTION("""COMPUTED_VALUE"""),68.87)</f>
        <v>68.87</v>
      </c>
      <c r="P174" s="2">
        <f ca="1">IFERROR(__xludf.DUMMYFUNCTION("""COMPUTED_VALUE"""),70.03)</f>
        <v>70.03</v>
      </c>
      <c r="Q174" s="2">
        <f ca="1">IFERROR(__xludf.DUMMYFUNCTION("""COMPUTED_VALUE"""),71.71)</f>
        <v>71.709999999999994</v>
      </c>
    </row>
    <row r="175" spans="1:17" ht="15.75" customHeight="1" x14ac:dyDescent="0.25">
      <c r="A175" s="2">
        <v>3214</v>
      </c>
      <c r="B175" s="2" t="str">
        <f ca="1">IFERROR(__xludf.DUMMYFUNCTION("""COMPUTED_VALUE"""),"JAWA BARAT")</f>
        <v>JAWA BARAT</v>
      </c>
      <c r="C175" s="2" t="str">
        <f ca="1">IFERROR(__xludf.DUMMYFUNCTION("""COMPUTED_VALUE"""),"Purwakarta")</f>
        <v>Purwakarta</v>
      </c>
      <c r="D175" s="2">
        <f ca="1">IFERROR(__xludf.DUMMYFUNCTION("""COMPUTED_VALUE"""),9.94)</f>
        <v>9.94</v>
      </c>
      <c r="E175" s="2">
        <f ca="1">IFERROR(__xludf.DUMMYFUNCTION("""COMPUTED_VALUE"""),9.73)</f>
        <v>9.73</v>
      </c>
      <c r="F175" s="2">
        <f ca="1">IFERROR(__xludf.DUMMYFUNCTION("""COMPUTED_VALUE"""),11.07)</f>
        <v>11.07</v>
      </c>
      <c r="G175" s="2">
        <f ca="1">IFERROR(__xludf.DUMMYFUNCTION("""COMPUTED_VALUE"""),10.7)</f>
        <v>10.7</v>
      </c>
      <c r="H175" s="2">
        <f ca="1">IFERROR(__xludf.DUMMYFUNCTION("""COMPUTED_VALUE"""),8.75)</f>
        <v>8.75</v>
      </c>
      <c r="I175" s="2">
        <f ca="1">IFERROR(__xludf.DUMMYFUNCTION("""COMPUTED_VALUE"""),7.72)</f>
        <v>7.72</v>
      </c>
      <c r="J175" s="2">
        <f ca="1">IFERROR(__xludf.DUMMYFUNCTION("""COMPUTED_VALUE"""),7.34)</f>
        <v>7.34</v>
      </c>
      <c r="K175" s="2">
        <f ca="1">IFERROR(__xludf.DUMMYFUNCTION("""COMPUTED_VALUE"""),63.12)</f>
        <v>63.12</v>
      </c>
      <c r="L175" s="2">
        <f ca="1">IFERROR(__xludf.DUMMYFUNCTION("""COMPUTED_VALUE"""),63.88)</f>
        <v>63.88</v>
      </c>
      <c r="M175" s="2">
        <f ca="1">IFERROR(__xludf.DUMMYFUNCTION("""COMPUTED_VALUE"""),60.91)</f>
        <v>60.91</v>
      </c>
      <c r="N175" s="2">
        <f ca="1">IFERROR(__xludf.DUMMYFUNCTION("""COMPUTED_VALUE"""),61.13)</f>
        <v>61.13</v>
      </c>
      <c r="O175" s="2">
        <f ca="1">IFERROR(__xludf.DUMMYFUNCTION("""COMPUTED_VALUE"""),65.21)</f>
        <v>65.209999999999994</v>
      </c>
      <c r="P175" s="2">
        <f ca="1">IFERROR(__xludf.DUMMYFUNCTION("""COMPUTED_VALUE"""),66.37)</f>
        <v>66.37</v>
      </c>
      <c r="Q175" s="2">
        <f ca="1">IFERROR(__xludf.DUMMYFUNCTION("""COMPUTED_VALUE"""),66.62)</f>
        <v>66.62</v>
      </c>
    </row>
    <row r="176" spans="1:17" ht="15.75" customHeight="1" x14ac:dyDescent="0.25">
      <c r="A176" s="2">
        <v>3215</v>
      </c>
      <c r="B176" s="2" t="str">
        <f ca="1">IFERROR(__xludf.DUMMYFUNCTION("""COMPUTED_VALUE"""),"JAWA BARAT")</f>
        <v>JAWA BARAT</v>
      </c>
      <c r="C176" s="2" t="str">
        <f ca="1">IFERROR(__xludf.DUMMYFUNCTION("""COMPUTED_VALUE"""),"Karawang")</f>
        <v>Karawang</v>
      </c>
      <c r="D176" s="2">
        <f ca="1">IFERROR(__xludf.DUMMYFUNCTION("""COMPUTED_VALUE"""),9.12)</f>
        <v>9.1199999999999992</v>
      </c>
      <c r="E176" s="2">
        <f ca="1">IFERROR(__xludf.DUMMYFUNCTION("""COMPUTED_VALUE"""),9.68)</f>
        <v>9.68</v>
      </c>
      <c r="F176" s="2">
        <f ca="1">IFERROR(__xludf.DUMMYFUNCTION("""COMPUTED_VALUE"""),11.52)</f>
        <v>11.52</v>
      </c>
      <c r="G176" s="2">
        <f ca="1">IFERROR(__xludf.DUMMYFUNCTION("""COMPUTED_VALUE"""),11.83)</f>
        <v>11.83</v>
      </c>
      <c r="H176" s="2">
        <f ca="1">IFERROR(__xludf.DUMMYFUNCTION("""COMPUTED_VALUE"""),9.87)</f>
        <v>9.8699999999999992</v>
      </c>
      <c r="I176" s="2">
        <f ca="1">IFERROR(__xludf.DUMMYFUNCTION("""COMPUTED_VALUE"""),8.95)</f>
        <v>8.9499999999999993</v>
      </c>
      <c r="J176" s="2">
        <f ca="1">IFERROR(__xludf.DUMMYFUNCTION("""COMPUTED_VALUE"""),8.04)</f>
        <v>8.0399999999999991</v>
      </c>
      <c r="K176" s="2">
        <f ca="1">IFERROR(__xludf.DUMMYFUNCTION("""COMPUTED_VALUE"""),64.77)</f>
        <v>64.77</v>
      </c>
      <c r="L176" s="2">
        <f ca="1">IFERROR(__xludf.DUMMYFUNCTION("""COMPUTED_VALUE"""),63.57)</f>
        <v>63.57</v>
      </c>
      <c r="M176" s="2">
        <f ca="1">IFERROR(__xludf.DUMMYFUNCTION("""COMPUTED_VALUE"""),64.9)</f>
        <v>64.900000000000006</v>
      </c>
      <c r="N176" s="2">
        <f ca="1">IFERROR(__xludf.DUMMYFUNCTION("""COMPUTED_VALUE"""),64.19)</f>
        <v>64.19</v>
      </c>
      <c r="O176" s="2">
        <f ca="1">IFERROR(__xludf.DUMMYFUNCTION("""COMPUTED_VALUE"""),65.51)</f>
        <v>65.510000000000005</v>
      </c>
      <c r="P176" s="2">
        <f ca="1">IFERROR(__xludf.DUMMYFUNCTION("""COMPUTED_VALUE"""),63.4)</f>
        <v>63.4</v>
      </c>
      <c r="Q176" s="2">
        <f ca="1">IFERROR(__xludf.DUMMYFUNCTION("""COMPUTED_VALUE"""),63.67)</f>
        <v>63.67</v>
      </c>
    </row>
    <row r="177" spans="1:17" ht="15.75" customHeight="1" x14ac:dyDescent="0.25">
      <c r="A177" s="2">
        <v>3216</v>
      </c>
      <c r="B177" s="2" t="str">
        <f ca="1">IFERROR(__xludf.DUMMYFUNCTION("""COMPUTED_VALUE"""),"JAWA BARAT")</f>
        <v>JAWA BARAT</v>
      </c>
      <c r="C177" s="2" t="str">
        <f ca="1">IFERROR(__xludf.DUMMYFUNCTION("""COMPUTED_VALUE"""),"Bekasi")</f>
        <v>Bekasi</v>
      </c>
      <c r="D177" s="2">
        <f ca="1">IFERROR(__xludf.DUMMYFUNCTION("""COMPUTED_VALUE"""),9.74)</f>
        <v>9.74</v>
      </c>
      <c r="E177" s="2">
        <f ca="1">IFERROR(__xludf.DUMMYFUNCTION("""COMPUTED_VALUE"""),9)</f>
        <v>9</v>
      </c>
      <c r="F177" s="2">
        <f ca="1">IFERROR(__xludf.DUMMYFUNCTION("""COMPUTED_VALUE"""),11.54)</f>
        <v>11.54</v>
      </c>
      <c r="G177" s="2">
        <f ca="1">IFERROR(__xludf.DUMMYFUNCTION("""COMPUTED_VALUE"""),10.09)</f>
        <v>10.09</v>
      </c>
      <c r="H177" s="2">
        <f ca="1">IFERROR(__xludf.DUMMYFUNCTION("""COMPUTED_VALUE"""),10.31)</f>
        <v>10.31</v>
      </c>
      <c r="I177" s="2">
        <f ca="1">IFERROR(__xludf.DUMMYFUNCTION("""COMPUTED_VALUE"""),8.87)</f>
        <v>8.8699999999999992</v>
      </c>
      <c r="J177" s="2">
        <f ca="1">IFERROR(__xludf.DUMMYFUNCTION("""COMPUTED_VALUE"""),8.82)</f>
        <v>8.82</v>
      </c>
      <c r="K177" s="2">
        <f ca="1">IFERROR(__xludf.DUMMYFUNCTION("""COMPUTED_VALUE"""),61.43)</f>
        <v>61.43</v>
      </c>
      <c r="L177" s="2">
        <f ca="1">IFERROR(__xludf.DUMMYFUNCTION("""COMPUTED_VALUE"""),64.02)</f>
        <v>64.02</v>
      </c>
      <c r="M177" s="2">
        <f ca="1">IFERROR(__xludf.DUMMYFUNCTION("""COMPUTED_VALUE"""),64.23)</f>
        <v>64.23</v>
      </c>
      <c r="N177" s="2">
        <f ca="1">IFERROR(__xludf.DUMMYFUNCTION("""COMPUTED_VALUE"""),65.87)</f>
        <v>65.87</v>
      </c>
      <c r="O177" s="2">
        <f ca="1">IFERROR(__xludf.DUMMYFUNCTION("""COMPUTED_VALUE"""),65.41)</f>
        <v>65.41</v>
      </c>
      <c r="P177" s="2">
        <f ca="1">IFERROR(__xludf.DUMMYFUNCTION("""COMPUTED_VALUE"""),65)</f>
        <v>65</v>
      </c>
      <c r="Q177" s="2">
        <f ca="1">IFERROR(__xludf.DUMMYFUNCTION("""COMPUTED_VALUE"""),65.11)</f>
        <v>65.11</v>
      </c>
    </row>
    <row r="178" spans="1:17" ht="15.75" customHeight="1" x14ac:dyDescent="0.25">
      <c r="A178" s="2">
        <v>3217</v>
      </c>
      <c r="B178" s="2" t="str">
        <f ca="1">IFERROR(__xludf.DUMMYFUNCTION("""COMPUTED_VALUE"""),"JAWA BARAT")</f>
        <v>JAWA BARAT</v>
      </c>
      <c r="C178" s="2" t="str">
        <f ca="1">IFERROR(__xludf.DUMMYFUNCTION("""COMPUTED_VALUE"""),"Bandung Barat")</f>
        <v>Bandung Barat</v>
      </c>
      <c r="D178" s="2">
        <f ca="1">IFERROR(__xludf.DUMMYFUNCTION("""COMPUTED_VALUE"""),8.55)</f>
        <v>8.5500000000000007</v>
      </c>
      <c r="E178" s="2">
        <f ca="1">IFERROR(__xludf.DUMMYFUNCTION("""COMPUTED_VALUE"""),8.24)</f>
        <v>8.24</v>
      </c>
      <c r="F178" s="2">
        <f ca="1">IFERROR(__xludf.DUMMYFUNCTION("""COMPUTED_VALUE"""),12.25)</f>
        <v>12.25</v>
      </c>
      <c r="G178" s="2">
        <f ca="1">IFERROR(__xludf.DUMMYFUNCTION("""COMPUTED_VALUE"""),11.65)</f>
        <v>11.65</v>
      </c>
      <c r="H178" s="2">
        <f ca="1">IFERROR(__xludf.DUMMYFUNCTION("""COMPUTED_VALUE"""),9.63)</f>
        <v>9.6300000000000008</v>
      </c>
      <c r="I178" s="2">
        <f ca="1">IFERROR(__xludf.DUMMYFUNCTION("""COMPUTED_VALUE"""),8.11)</f>
        <v>8.11</v>
      </c>
      <c r="J178" s="2">
        <f ca="1">IFERROR(__xludf.DUMMYFUNCTION("""COMPUTED_VALUE"""),6.7)</f>
        <v>6.7</v>
      </c>
      <c r="K178" s="2">
        <f ca="1">IFERROR(__xludf.DUMMYFUNCTION("""COMPUTED_VALUE"""),61.26)</f>
        <v>61.26</v>
      </c>
      <c r="L178" s="2">
        <f ca="1">IFERROR(__xludf.DUMMYFUNCTION("""COMPUTED_VALUE"""),61.97)</f>
        <v>61.97</v>
      </c>
      <c r="M178" s="2">
        <f ca="1">IFERROR(__xludf.DUMMYFUNCTION("""COMPUTED_VALUE"""),59.91)</f>
        <v>59.91</v>
      </c>
      <c r="N178" s="2">
        <f ca="1">IFERROR(__xludf.DUMMYFUNCTION("""COMPUTED_VALUE"""),60.75)</f>
        <v>60.75</v>
      </c>
      <c r="O178" s="2">
        <f ca="1">IFERROR(__xludf.DUMMYFUNCTION("""COMPUTED_VALUE"""),64.37)</f>
        <v>64.37</v>
      </c>
      <c r="P178" s="2">
        <f ca="1">IFERROR(__xludf.DUMMYFUNCTION("""COMPUTED_VALUE"""),67.01)</f>
        <v>67.010000000000005</v>
      </c>
      <c r="Q178" s="2">
        <f ca="1">IFERROR(__xludf.DUMMYFUNCTION("""COMPUTED_VALUE"""),68.3)</f>
        <v>68.3</v>
      </c>
    </row>
    <row r="179" spans="1:17" ht="15.75" customHeight="1" x14ac:dyDescent="0.25">
      <c r="A179" s="2">
        <v>3218</v>
      </c>
      <c r="B179" s="2" t="str">
        <f ca="1">IFERROR(__xludf.DUMMYFUNCTION("""COMPUTED_VALUE"""),"JAWA BARAT")</f>
        <v>JAWA BARAT</v>
      </c>
      <c r="C179" s="2" t="str">
        <f ca="1">IFERROR(__xludf.DUMMYFUNCTION("""COMPUTED_VALUE"""),"Pangandaran")</f>
        <v>Pangandaran</v>
      </c>
      <c r="D179" s="2">
        <f ca="1">IFERROR(__xludf.DUMMYFUNCTION("""COMPUTED_VALUE"""),3.59)</f>
        <v>3.59</v>
      </c>
      <c r="E179" s="2">
        <f ca="1">IFERROR(__xludf.DUMMYFUNCTION("""COMPUTED_VALUE"""),4.52)</f>
        <v>4.5199999999999996</v>
      </c>
      <c r="F179" s="2">
        <f ca="1">IFERROR(__xludf.DUMMYFUNCTION("""COMPUTED_VALUE"""),5.08)</f>
        <v>5.08</v>
      </c>
      <c r="G179" s="2">
        <f ca="1">IFERROR(__xludf.DUMMYFUNCTION("""COMPUTED_VALUE"""),3.25)</f>
        <v>3.25</v>
      </c>
      <c r="H179" s="2">
        <f ca="1">IFERROR(__xludf.DUMMYFUNCTION("""COMPUTED_VALUE"""),1.56)</f>
        <v>1.56</v>
      </c>
      <c r="I179" s="2">
        <f ca="1">IFERROR(__xludf.DUMMYFUNCTION("""COMPUTED_VALUE"""),1.52)</f>
        <v>1.52</v>
      </c>
      <c r="J179" s="2">
        <f ca="1">IFERROR(__xludf.DUMMYFUNCTION("""COMPUTED_VALUE"""),1.58)</f>
        <v>1.58</v>
      </c>
      <c r="K179" s="2">
        <f ca="1">IFERROR(__xludf.DUMMYFUNCTION("""COMPUTED_VALUE"""),77.74)</f>
        <v>77.739999999999995</v>
      </c>
      <c r="L179" s="2">
        <f ca="1">IFERROR(__xludf.DUMMYFUNCTION("""COMPUTED_VALUE"""),75.08)</f>
        <v>75.08</v>
      </c>
      <c r="M179" s="2">
        <f ca="1">IFERROR(__xludf.DUMMYFUNCTION("""COMPUTED_VALUE"""),76.79)</f>
        <v>76.790000000000006</v>
      </c>
      <c r="N179" s="2">
        <f ca="1">IFERROR(__xludf.DUMMYFUNCTION("""COMPUTED_VALUE"""),74.75)</f>
        <v>74.75</v>
      </c>
      <c r="O179" s="2">
        <f ca="1">IFERROR(__xludf.DUMMYFUNCTION("""COMPUTED_VALUE"""),79.92)</f>
        <v>79.92</v>
      </c>
      <c r="P179" s="2">
        <f ca="1">IFERROR(__xludf.DUMMYFUNCTION("""COMPUTED_VALUE"""),80.15)</f>
        <v>80.150000000000006</v>
      </c>
      <c r="Q179" s="2">
        <f ca="1">IFERROR(__xludf.DUMMYFUNCTION("""COMPUTED_VALUE"""),80.12)</f>
        <v>80.12</v>
      </c>
    </row>
    <row r="180" spans="1:17" ht="15.75" customHeight="1" x14ac:dyDescent="0.25">
      <c r="A180" s="2">
        <v>3271</v>
      </c>
      <c r="B180" s="2" t="str">
        <f ca="1">IFERROR(__xludf.DUMMYFUNCTION("""COMPUTED_VALUE"""),"JAWA BARAT")</f>
        <v>JAWA BARAT</v>
      </c>
      <c r="C180" s="2" t="str">
        <f ca="1">IFERROR(__xludf.DUMMYFUNCTION("""COMPUTED_VALUE"""),"Kota Bogor")</f>
        <v>Kota Bogor</v>
      </c>
      <c r="D180" s="2">
        <f ca="1">IFERROR(__xludf.DUMMYFUNCTION("""COMPUTED_VALUE"""),9.74)</f>
        <v>9.74</v>
      </c>
      <c r="E180" s="2">
        <f ca="1">IFERROR(__xludf.DUMMYFUNCTION("""COMPUTED_VALUE"""),9.16)</f>
        <v>9.16</v>
      </c>
      <c r="F180" s="2">
        <f ca="1">IFERROR(__xludf.DUMMYFUNCTION("""COMPUTED_VALUE"""),12.68)</f>
        <v>12.68</v>
      </c>
      <c r="G180" s="2">
        <f ca="1">IFERROR(__xludf.DUMMYFUNCTION("""COMPUTED_VALUE"""),11.79)</f>
        <v>11.79</v>
      </c>
      <c r="H180" s="2">
        <f ca="1">IFERROR(__xludf.DUMMYFUNCTION("""COMPUTED_VALUE"""),10.78)</f>
        <v>10.78</v>
      </c>
      <c r="I180" s="2">
        <f ca="1">IFERROR(__xludf.DUMMYFUNCTION("""COMPUTED_VALUE"""),9.39)</f>
        <v>9.39</v>
      </c>
      <c r="J180" s="2">
        <f ca="1">IFERROR(__xludf.DUMMYFUNCTION("""COMPUTED_VALUE"""),8.13)</f>
        <v>8.1300000000000008</v>
      </c>
      <c r="K180" s="2">
        <f ca="1">IFERROR(__xludf.DUMMYFUNCTION("""COMPUTED_VALUE"""),63.11)</f>
        <v>63.11</v>
      </c>
      <c r="L180" s="2">
        <f ca="1">IFERROR(__xludf.DUMMYFUNCTION("""COMPUTED_VALUE"""),63.68)</f>
        <v>63.68</v>
      </c>
      <c r="M180" s="2">
        <f ca="1">IFERROR(__xludf.DUMMYFUNCTION("""COMPUTED_VALUE"""),60.81)</f>
        <v>60.81</v>
      </c>
      <c r="N180" s="2">
        <f ca="1">IFERROR(__xludf.DUMMYFUNCTION("""COMPUTED_VALUE"""),61.77)</f>
        <v>61.77</v>
      </c>
      <c r="O180" s="2">
        <f ca="1">IFERROR(__xludf.DUMMYFUNCTION("""COMPUTED_VALUE"""),64.21)</f>
        <v>64.209999999999994</v>
      </c>
      <c r="P180" s="2">
        <f ca="1">IFERROR(__xludf.DUMMYFUNCTION("""COMPUTED_VALUE"""),64.81)</f>
        <v>64.81</v>
      </c>
      <c r="Q180" s="2">
        <f ca="1">IFERROR(__xludf.DUMMYFUNCTION("""COMPUTED_VALUE"""),67.35)</f>
        <v>67.349999999999994</v>
      </c>
    </row>
    <row r="181" spans="1:17" ht="15.75" customHeight="1" x14ac:dyDescent="0.25">
      <c r="A181" s="2">
        <v>3272</v>
      </c>
      <c r="B181" s="2" t="str">
        <f ca="1">IFERROR(__xludf.DUMMYFUNCTION("""COMPUTED_VALUE"""),"JAWA BARAT")</f>
        <v>JAWA BARAT</v>
      </c>
      <c r="C181" s="2" t="str">
        <f ca="1">IFERROR(__xludf.DUMMYFUNCTION("""COMPUTED_VALUE"""),"Kota Sukabumi")</f>
        <v>Kota Sukabumi</v>
      </c>
      <c r="D181" s="2">
        <f ca="1">IFERROR(__xludf.DUMMYFUNCTION("""COMPUTED_VALUE"""),8.57)</f>
        <v>8.57</v>
      </c>
      <c r="E181" s="2">
        <f ca="1">IFERROR(__xludf.DUMMYFUNCTION("""COMPUTED_VALUE"""),8.49)</f>
        <v>8.49</v>
      </c>
      <c r="F181" s="2">
        <f ca="1">IFERROR(__xludf.DUMMYFUNCTION("""COMPUTED_VALUE"""),12.17)</f>
        <v>12.17</v>
      </c>
      <c r="G181" s="2">
        <f ca="1">IFERROR(__xludf.DUMMYFUNCTION("""COMPUTED_VALUE"""),10.78)</f>
        <v>10.78</v>
      </c>
      <c r="H181" s="2">
        <f ca="1">IFERROR(__xludf.DUMMYFUNCTION("""COMPUTED_VALUE"""),8.83)</f>
        <v>8.83</v>
      </c>
      <c r="I181" s="2">
        <f ca="1">IFERROR(__xludf.DUMMYFUNCTION("""COMPUTED_VALUE"""),8.53)</f>
        <v>8.5299999999999994</v>
      </c>
      <c r="J181" s="2">
        <f ca="1">IFERROR(__xludf.DUMMYFUNCTION("""COMPUTED_VALUE"""),8.34)</f>
        <v>8.34</v>
      </c>
      <c r="K181" s="2">
        <f ca="1">IFERROR(__xludf.DUMMYFUNCTION("""COMPUTED_VALUE"""),59.62)</f>
        <v>59.62</v>
      </c>
      <c r="L181" s="2">
        <f ca="1">IFERROR(__xludf.DUMMYFUNCTION("""COMPUTED_VALUE"""),62.48)</f>
        <v>62.48</v>
      </c>
      <c r="M181" s="2">
        <f ca="1">IFERROR(__xludf.DUMMYFUNCTION("""COMPUTED_VALUE"""),55.74)</f>
        <v>55.74</v>
      </c>
      <c r="N181" s="2">
        <f ca="1">IFERROR(__xludf.DUMMYFUNCTION("""COMPUTED_VALUE"""),56.86)</f>
        <v>56.86</v>
      </c>
      <c r="O181" s="2">
        <f ca="1">IFERROR(__xludf.DUMMYFUNCTION("""COMPUTED_VALUE"""),62.48)</f>
        <v>62.48</v>
      </c>
      <c r="P181" s="2">
        <f ca="1">IFERROR(__xludf.DUMMYFUNCTION("""COMPUTED_VALUE"""),62.57)</f>
        <v>62.57</v>
      </c>
      <c r="Q181" s="2">
        <f ca="1">IFERROR(__xludf.DUMMYFUNCTION("""COMPUTED_VALUE"""),62.58)</f>
        <v>62.58</v>
      </c>
    </row>
    <row r="182" spans="1:17" ht="15.75" customHeight="1" x14ac:dyDescent="0.25">
      <c r="A182" s="2">
        <v>3273</v>
      </c>
      <c r="B182" s="2" t="str">
        <f ca="1">IFERROR(__xludf.DUMMYFUNCTION("""COMPUTED_VALUE"""),"JAWA BARAT")</f>
        <v>JAWA BARAT</v>
      </c>
      <c r="C182" s="2" t="str">
        <f ca="1">IFERROR(__xludf.DUMMYFUNCTION("""COMPUTED_VALUE"""),"Kota Bandung")</f>
        <v>Kota Bandung</v>
      </c>
      <c r="D182" s="2">
        <f ca="1">IFERROR(__xludf.DUMMYFUNCTION("""COMPUTED_VALUE"""),8.05)</f>
        <v>8.0500000000000007</v>
      </c>
      <c r="E182" s="2">
        <f ca="1">IFERROR(__xludf.DUMMYFUNCTION("""COMPUTED_VALUE"""),8.18)</f>
        <v>8.18</v>
      </c>
      <c r="F182" s="2">
        <f ca="1">IFERROR(__xludf.DUMMYFUNCTION("""COMPUTED_VALUE"""),11.19)</f>
        <v>11.19</v>
      </c>
      <c r="G182" s="2">
        <f ca="1">IFERROR(__xludf.DUMMYFUNCTION("""COMPUTED_VALUE"""),11.46)</f>
        <v>11.46</v>
      </c>
      <c r="H182" s="2">
        <f ca="1">IFERROR(__xludf.DUMMYFUNCTION("""COMPUTED_VALUE"""),9.55)</f>
        <v>9.5500000000000007</v>
      </c>
      <c r="I182" s="2">
        <f ca="1">IFERROR(__xludf.DUMMYFUNCTION("""COMPUTED_VALUE"""),8.83)</f>
        <v>8.83</v>
      </c>
      <c r="J182" s="2">
        <f ca="1">IFERROR(__xludf.DUMMYFUNCTION("""COMPUTED_VALUE"""),7.4)</f>
        <v>7.4</v>
      </c>
      <c r="K182" s="2">
        <f ca="1">IFERROR(__xludf.DUMMYFUNCTION("""COMPUTED_VALUE"""),61.86)</f>
        <v>61.86</v>
      </c>
      <c r="L182" s="2">
        <f ca="1">IFERROR(__xludf.DUMMYFUNCTION("""COMPUTED_VALUE"""),65.9)</f>
        <v>65.900000000000006</v>
      </c>
      <c r="M182" s="2">
        <f ca="1">IFERROR(__xludf.DUMMYFUNCTION("""COMPUTED_VALUE"""),64.71)</f>
        <v>64.709999999999994</v>
      </c>
      <c r="N182" s="2">
        <f ca="1">IFERROR(__xludf.DUMMYFUNCTION("""COMPUTED_VALUE"""),65.31)</f>
        <v>65.31</v>
      </c>
      <c r="O182" s="2">
        <f ca="1">IFERROR(__xludf.DUMMYFUNCTION("""COMPUTED_VALUE"""),69.42)</f>
        <v>69.42</v>
      </c>
      <c r="P182" s="2">
        <f ca="1">IFERROR(__xludf.DUMMYFUNCTION("""COMPUTED_VALUE"""),66.97)</f>
        <v>66.97</v>
      </c>
      <c r="Q182" s="2">
        <f ca="1">IFERROR(__xludf.DUMMYFUNCTION("""COMPUTED_VALUE"""),67.93)</f>
        <v>67.930000000000007</v>
      </c>
    </row>
    <row r="183" spans="1:17" ht="15.75" customHeight="1" x14ac:dyDescent="0.25">
      <c r="A183" s="2">
        <v>3274</v>
      </c>
      <c r="B183" s="2" t="str">
        <f ca="1">IFERROR(__xludf.DUMMYFUNCTION("""COMPUTED_VALUE"""),"JAWA BARAT")</f>
        <v>JAWA BARAT</v>
      </c>
      <c r="C183" s="2" t="str">
        <f ca="1">IFERROR(__xludf.DUMMYFUNCTION("""COMPUTED_VALUE"""),"Kota Cirebon")</f>
        <v>Kota Cirebon</v>
      </c>
      <c r="D183" s="2">
        <f ca="1">IFERROR(__xludf.DUMMYFUNCTION("""COMPUTED_VALUE"""),9.07)</f>
        <v>9.07</v>
      </c>
      <c r="E183" s="2">
        <f ca="1">IFERROR(__xludf.DUMMYFUNCTION("""COMPUTED_VALUE"""),9.04)</f>
        <v>9.0399999999999991</v>
      </c>
      <c r="F183" s="2">
        <f ca="1">IFERROR(__xludf.DUMMYFUNCTION("""COMPUTED_VALUE"""),10.97)</f>
        <v>10.97</v>
      </c>
      <c r="G183" s="2">
        <f ca="1">IFERROR(__xludf.DUMMYFUNCTION("""COMPUTED_VALUE"""),10.53)</f>
        <v>10.53</v>
      </c>
      <c r="H183" s="2">
        <f ca="1">IFERROR(__xludf.DUMMYFUNCTION("""COMPUTED_VALUE"""),8.42)</f>
        <v>8.42</v>
      </c>
      <c r="I183" s="2">
        <f ca="1">IFERROR(__xludf.DUMMYFUNCTION("""COMPUTED_VALUE"""),7.66)</f>
        <v>7.66</v>
      </c>
      <c r="J183" s="2">
        <f ca="1">IFERROR(__xludf.DUMMYFUNCTION("""COMPUTED_VALUE"""),6.29)</f>
        <v>6.29</v>
      </c>
      <c r="K183" s="2">
        <f ca="1">IFERROR(__xludf.DUMMYFUNCTION("""COMPUTED_VALUE"""),67.89)</f>
        <v>67.89</v>
      </c>
      <c r="L183" s="2">
        <f ca="1">IFERROR(__xludf.DUMMYFUNCTION("""COMPUTED_VALUE"""),62.71)</f>
        <v>62.71</v>
      </c>
      <c r="M183" s="2">
        <f ca="1">IFERROR(__xludf.DUMMYFUNCTION("""COMPUTED_VALUE"""),63.76)</f>
        <v>63.76</v>
      </c>
      <c r="N183" s="2">
        <f ca="1">IFERROR(__xludf.DUMMYFUNCTION("""COMPUTED_VALUE"""),62.87)</f>
        <v>62.87</v>
      </c>
      <c r="O183" s="2">
        <f ca="1">IFERROR(__xludf.DUMMYFUNCTION("""COMPUTED_VALUE"""),65.42)</f>
        <v>65.42</v>
      </c>
      <c r="P183" s="2">
        <f ca="1">IFERROR(__xludf.DUMMYFUNCTION("""COMPUTED_VALUE"""),68.71)</f>
        <v>68.709999999999994</v>
      </c>
      <c r="Q183" s="2">
        <f ca="1">IFERROR(__xludf.DUMMYFUNCTION("""COMPUTED_VALUE"""),68.55)</f>
        <v>68.55</v>
      </c>
    </row>
    <row r="184" spans="1:17" ht="15.75" customHeight="1" x14ac:dyDescent="0.25">
      <c r="A184" s="2">
        <v>3275</v>
      </c>
      <c r="B184" s="2" t="str">
        <f ca="1">IFERROR(__xludf.DUMMYFUNCTION("""COMPUTED_VALUE"""),"JAWA BARAT")</f>
        <v>JAWA BARAT</v>
      </c>
      <c r="C184" s="2" t="str">
        <f ca="1">IFERROR(__xludf.DUMMYFUNCTION("""COMPUTED_VALUE"""),"Kota Bekasi")</f>
        <v>Kota Bekasi</v>
      </c>
      <c r="D184" s="2">
        <f ca="1">IFERROR(__xludf.DUMMYFUNCTION("""COMPUTED_VALUE"""),9.14)</f>
        <v>9.14</v>
      </c>
      <c r="E184" s="2">
        <f ca="1">IFERROR(__xludf.DUMMYFUNCTION("""COMPUTED_VALUE"""),8.3)</f>
        <v>8.3000000000000007</v>
      </c>
      <c r="F184" s="2">
        <f ca="1">IFERROR(__xludf.DUMMYFUNCTION("""COMPUTED_VALUE"""),10.68)</f>
        <v>10.68</v>
      </c>
      <c r="G184" s="2">
        <f ca="1">IFERROR(__xludf.DUMMYFUNCTION("""COMPUTED_VALUE"""),10.88)</f>
        <v>10.88</v>
      </c>
      <c r="H184" s="2">
        <f ca="1">IFERROR(__xludf.DUMMYFUNCTION("""COMPUTED_VALUE"""),8.81)</f>
        <v>8.81</v>
      </c>
      <c r="I184" s="2">
        <f ca="1">IFERROR(__xludf.DUMMYFUNCTION("""COMPUTED_VALUE"""),7.9)</f>
        <v>7.9</v>
      </c>
      <c r="J184" s="2">
        <f ca="1">IFERROR(__xludf.DUMMYFUNCTION("""COMPUTED_VALUE"""),7.82)</f>
        <v>7.82</v>
      </c>
      <c r="K184" s="2">
        <f ca="1">IFERROR(__xludf.DUMMYFUNCTION("""COMPUTED_VALUE"""),65.23)</f>
        <v>65.23</v>
      </c>
      <c r="L184" s="2">
        <f ca="1">IFERROR(__xludf.DUMMYFUNCTION("""COMPUTED_VALUE"""),65.66)</f>
        <v>65.66</v>
      </c>
      <c r="M184" s="2">
        <f ca="1">IFERROR(__xludf.DUMMYFUNCTION("""COMPUTED_VALUE"""),64.74)</f>
        <v>64.739999999999995</v>
      </c>
      <c r="N184" s="2">
        <f ca="1">IFERROR(__xludf.DUMMYFUNCTION("""COMPUTED_VALUE"""),64.76)</f>
        <v>64.760000000000005</v>
      </c>
      <c r="O184" s="2">
        <f ca="1">IFERROR(__xludf.DUMMYFUNCTION("""COMPUTED_VALUE"""),65.33)</f>
        <v>65.33</v>
      </c>
      <c r="P184" s="2">
        <f ca="1">IFERROR(__xludf.DUMMYFUNCTION("""COMPUTED_VALUE"""),64.65)</f>
        <v>64.650000000000006</v>
      </c>
      <c r="Q184" s="2">
        <f ca="1">IFERROR(__xludf.DUMMYFUNCTION("""COMPUTED_VALUE"""),65.58)</f>
        <v>65.58</v>
      </c>
    </row>
    <row r="185" spans="1:17" ht="15.75" customHeight="1" x14ac:dyDescent="0.25">
      <c r="A185" s="2">
        <v>3276</v>
      </c>
      <c r="B185" s="2" t="str">
        <f ca="1">IFERROR(__xludf.DUMMYFUNCTION("""COMPUTED_VALUE"""),"JAWA BARAT")</f>
        <v>JAWA BARAT</v>
      </c>
      <c r="C185" s="2" t="str">
        <f ca="1">IFERROR(__xludf.DUMMYFUNCTION("""COMPUTED_VALUE"""),"Kota Depok")</f>
        <v>Kota Depok</v>
      </c>
      <c r="D185" s="2">
        <f ca="1">IFERROR(__xludf.DUMMYFUNCTION("""COMPUTED_VALUE"""),6.66)</f>
        <v>6.66</v>
      </c>
      <c r="E185" s="2">
        <f ca="1">IFERROR(__xludf.DUMMYFUNCTION("""COMPUTED_VALUE"""),6.12)</f>
        <v>6.12</v>
      </c>
      <c r="F185" s="2">
        <f ca="1">IFERROR(__xludf.DUMMYFUNCTION("""COMPUTED_VALUE"""),9.87)</f>
        <v>9.8699999999999992</v>
      </c>
      <c r="G185" s="2">
        <f ca="1">IFERROR(__xludf.DUMMYFUNCTION("""COMPUTED_VALUE"""),9.76)</f>
        <v>9.76</v>
      </c>
      <c r="H185" s="2">
        <f ca="1">IFERROR(__xludf.DUMMYFUNCTION("""COMPUTED_VALUE"""),7.82)</f>
        <v>7.82</v>
      </c>
      <c r="I185" s="2">
        <f ca="1">IFERROR(__xludf.DUMMYFUNCTION("""COMPUTED_VALUE"""),6.97)</f>
        <v>6.97</v>
      </c>
      <c r="J185" s="2">
        <f ca="1">IFERROR(__xludf.DUMMYFUNCTION("""COMPUTED_VALUE"""),6.27)</f>
        <v>6.27</v>
      </c>
      <c r="K185" s="2">
        <f ca="1">IFERROR(__xludf.DUMMYFUNCTION("""COMPUTED_VALUE"""),62.51)</f>
        <v>62.51</v>
      </c>
      <c r="L185" s="2">
        <f ca="1">IFERROR(__xludf.DUMMYFUNCTION("""COMPUTED_VALUE"""),64.96)</f>
        <v>64.959999999999994</v>
      </c>
      <c r="M185" s="2">
        <f ca="1">IFERROR(__xludf.DUMMYFUNCTION("""COMPUTED_VALUE"""),63.96)</f>
        <v>63.96</v>
      </c>
      <c r="N185" s="2">
        <f ca="1">IFERROR(__xludf.DUMMYFUNCTION("""COMPUTED_VALUE"""),62.62)</f>
        <v>62.62</v>
      </c>
      <c r="O185" s="2">
        <f ca="1">IFERROR(__xludf.DUMMYFUNCTION("""COMPUTED_VALUE"""),63.35)</f>
        <v>63.35</v>
      </c>
      <c r="P185" s="2">
        <f ca="1">IFERROR(__xludf.DUMMYFUNCTION("""COMPUTED_VALUE"""),62.76)</f>
        <v>62.76</v>
      </c>
      <c r="Q185" s="2">
        <f ca="1">IFERROR(__xludf.DUMMYFUNCTION("""COMPUTED_VALUE"""),62.89)</f>
        <v>62.89</v>
      </c>
    </row>
    <row r="186" spans="1:17" ht="15.75" customHeight="1" x14ac:dyDescent="0.25">
      <c r="A186" s="2">
        <v>3277</v>
      </c>
      <c r="B186" s="2" t="str">
        <f ca="1">IFERROR(__xludf.DUMMYFUNCTION("""COMPUTED_VALUE"""),"JAWA BARAT")</f>
        <v>JAWA BARAT</v>
      </c>
      <c r="C186" s="2" t="str">
        <f ca="1">IFERROR(__xludf.DUMMYFUNCTION("""COMPUTED_VALUE"""),"Kota Cimahi")</f>
        <v>Kota Cimahi</v>
      </c>
      <c r="D186" s="2">
        <f ca="1">IFERROR(__xludf.DUMMYFUNCTION("""COMPUTED_VALUE"""),8)</f>
        <v>8</v>
      </c>
      <c r="E186" s="2">
        <f ca="1">IFERROR(__xludf.DUMMYFUNCTION("""COMPUTED_VALUE"""),8.09)</f>
        <v>8.09</v>
      </c>
      <c r="F186" s="2">
        <f ca="1">IFERROR(__xludf.DUMMYFUNCTION("""COMPUTED_VALUE"""),13.3)</f>
        <v>13.3</v>
      </c>
      <c r="G186" s="2">
        <f ca="1">IFERROR(__xludf.DUMMYFUNCTION("""COMPUTED_VALUE"""),13.07)</f>
        <v>13.07</v>
      </c>
      <c r="H186" s="2">
        <f ca="1">IFERROR(__xludf.DUMMYFUNCTION("""COMPUTED_VALUE"""),10.77)</f>
        <v>10.77</v>
      </c>
      <c r="I186" s="2">
        <f ca="1">IFERROR(__xludf.DUMMYFUNCTION("""COMPUTED_VALUE"""),10.52)</f>
        <v>10.52</v>
      </c>
      <c r="J186" s="2">
        <f ca="1">IFERROR(__xludf.DUMMYFUNCTION("""COMPUTED_VALUE"""),8.97)</f>
        <v>8.9700000000000006</v>
      </c>
      <c r="K186" s="2">
        <f ca="1">IFERROR(__xludf.DUMMYFUNCTION("""COMPUTED_VALUE"""),64.4)</f>
        <v>64.400000000000006</v>
      </c>
      <c r="L186" s="2">
        <f ca="1">IFERROR(__xludf.DUMMYFUNCTION("""COMPUTED_VALUE"""),63.26)</f>
        <v>63.26</v>
      </c>
      <c r="M186" s="2">
        <f ca="1">IFERROR(__xludf.DUMMYFUNCTION("""COMPUTED_VALUE"""),62.67)</f>
        <v>62.67</v>
      </c>
      <c r="N186" s="2">
        <f ca="1">IFERROR(__xludf.DUMMYFUNCTION("""COMPUTED_VALUE"""),61.79)</f>
        <v>61.79</v>
      </c>
      <c r="O186" s="2">
        <f ca="1">IFERROR(__xludf.DUMMYFUNCTION("""COMPUTED_VALUE"""),67.22)</f>
        <v>67.22</v>
      </c>
      <c r="P186" s="2">
        <f ca="1">IFERROR(__xludf.DUMMYFUNCTION("""COMPUTED_VALUE"""),68.43)</f>
        <v>68.430000000000007</v>
      </c>
      <c r="Q186" s="2">
        <f ca="1">IFERROR(__xludf.DUMMYFUNCTION("""COMPUTED_VALUE"""),66.52)</f>
        <v>66.52</v>
      </c>
    </row>
    <row r="187" spans="1:17" ht="15.75" customHeight="1" x14ac:dyDescent="0.25">
      <c r="A187" s="2">
        <v>3278</v>
      </c>
      <c r="B187" s="2" t="str">
        <f ca="1">IFERROR(__xludf.DUMMYFUNCTION("""COMPUTED_VALUE"""),"JAWA BARAT")</f>
        <v>JAWA BARAT</v>
      </c>
      <c r="C187" s="2" t="str">
        <f ca="1">IFERROR(__xludf.DUMMYFUNCTION("""COMPUTED_VALUE"""),"Kota Tasikmalaya")</f>
        <v>Kota Tasikmalaya</v>
      </c>
      <c r="D187" s="2">
        <f ca="1">IFERROR(__xludf.DUMMYFUNCTION("""COMPUTED_VALUE"""),6.89)</f>
        <v>6.89</v>
      </c>
      <c r="E187" s="2">
        <f ca="1">IFERROR(__xludf.DUMMYFUNCTION("""COMPUTED_VALUE"""),6.78)</f>
        <v>6.78</v>
      </c>
      <c r="F187" s="2">
        <f ca="1">IFERROR(__xludf.DUMMYFUNCTION("""COMPUTED_VALUE"""),7.99)</f>
        <v>7.99</v>
      </c>
      <c r="G187" s="2">
        <f ca="1">IFERROR(__xludf.DUMMYFUNCTION("""COMPUTED_VALUE"""),7.66)</f>
        <v>7.66</v>
      </c>
      <c r="H187" s="2">
        <f ca="1">IFERROR(__xludf.DUMMYFUNCTION("""COMPUTED_VALUE"""),6.62)</f>
        <v>6.62</v>
      </c>
      <c r="I187" s="2">
        <f ca="1">IFERROR(__xludf.DUMMYFUNCTION("""COMPUTED_VALUE"""),6.55)</f>
        <v>6.55</v>
      </c>
      <c r="J187" s="2">
        <f ca="1">IFERROR(__xludf.DUMMYFUNCTION("""COMPUTED_VALUE"""),6.49)</f>
        <v>6.49</v>
      </c>
      <c r="K187" s="2">
        <f ca="1">IFERROR(__xludf.DUMMYFUNCTION("""COMPUTED_VALUE"""),62.63)</f>
        <v>62.63</v>
      </c>
      <c r="L187" s="2">
        <f ca="1">IFERROR(__xludf.DUMMYFUNCTION("""COMPUTED_VALUE"""),65.26)</f>
        <v>65.260000000000005</v>
      </c>
      <c r="M187" s="2">
        <f ca="1">IFERROR(__xludf.DUMMYFUNCTION("""COMPUTED_VALUE"""),66.54)</f>
        <v>66.540000000000006</v>
      </c>
      <c r="N187" s="2">
        <f ca="1">IFERROR(__xludf.DUMMYFUNCTION("""COMPUTED_VALUE"""),65.75)</f>
        <v>65.75</v>
      </c>
      <c r="O187" s="2">
        <f ca="1">IFERROR(__xludf.DUMMYFUNCTION("""COMPUTED_VALUE"""),65.99)</f>
        <v>65.989999999999995</v>
      </c>
      <c r="P187" s="2">
        <f ca="1">IFERROR(__xludf.DUMMYFUNCTION("""COMPUTED_VALUE"""),65.44)</f>
        <v>65.44</v>
      </c>
      <c r="Q187" s="2">
        <f ca="1">IFERROR(__xludf.DUMMYFUNCTION("""COMPUTED_VALUE"""),68.92)</f>
        <v>68.92</v>
      </c>
    </row>
    <row r="188" spans="1:17" ht="15.75" customHeight="1" x14ac:dyDescent="0.25">
      <c r="A188" s="2">
        <v>3279</v>
      </c>
      <c r="B188" s="2" t="str">
        <f ca="1">IFERROR(__xludf.DUMMYFUNCTION("""COMPUTED_VALUE"""),"JAWA BARAT")</f>
        <v>JAWA BARAT</v>
      </c>
      <c r="C188" s="2" t="str">
        <f ca="1">IFERROR(__xludf.DUMMYFUNCTION("""COMPUTED_VALUE"""),"Kota Banjar")</f>
        <v>Kota Banjar</v>
      </c>
      <c r="D188" s="2">
        <f ca="1">IFERROR(__xludf.DUMMYFUNCTION("""COMPUTED_VALUE"""),5.95)</f>
        <v>5.95</v>
      </c>
      <c r="E188" s="2">
        <f ca="1">IFERROR(__xludf.DUMMYFUNCTION("""COMPUTED_VALUE"""),6.16)</f>
        <v>6.16</v>
      </c>
      <c r="F188" s="2">
        <f ca="1">IFERROR(__xludf.DUMMYFUNCTION("""COMPUTED_VALUE"""),6.73)</f>
        <v>6.73</v>
      </c>
      <c r="G188" s="2">
        <f ca="1">IFERROR(__xludf.DUMMYFUNCTION("""COMPUTED_VALUE"""),6.09)</f>
        <v>6.09</v>
      </c>
      <c r="H188" s="2">
        <f ca="1">IFERROR(__xludf.DUMMYFUNCTION("""COMPUTED_VALUE"""),5.53)</f>
        <v>5.53</v>
      </c>
      <c r="I188" s="2">
        <f ca="1">IFERROR(__xludf.DUMMYFUNCTION("""COMPUTED_VALUE"""),5.43)</f>
        <v>5.43</v>
      </c>
      <c r="J188" s="2">
        <f ca="1">IFERROR(__xludf.DUMMYFUNCTION("""COMPUTED_VALUE"""),5.44)</f>
        <v>5.44</v>
      </c>
      <c r="K188" s="2">
        <f ca="1">IFERROR(__xludf.DUMMYFUNCTION("""COMPUTED_VALUE"""),64.93)</f>
        <v>64.930000000000007</v>
      </c>
      <c r="L188" s="2">
        <f ca="1">IFERROR(__xludf.DUMMYFUNCTION("""COMPUTED_VALUE"""),67.59)</f>
        <v>67.59</v>
      </c>
      <c r="M188" s="2">
        <f ca="1">IFERROR(__xludf.DUMMYFUNCTION("""COMPUTED_VALUE"""),67.35)</f>
        <v>67.349999999999994</v>
      </c>
      <c r="N188" s="2">
        <f ca="1">IFERROR(__xludf.DUMMYFUNCTION("""COMPUTED_VALUE"""),64.07)</f>
        <v>64.069999999999993</v>
      </c>
      <c r="O188" s="2">
        <f ca="1">IFERROR(__xludf.DUMMYFUNCTION("""COMPUTED_VALUE"""),63.76)</f>
        <v>63.76</v>
      </c>
      <c r="P188" s="2">
        <f ca="1">IFERROR(__xludf.DUMMYFUNCTION("""COMPUTED_VALUE"""),67.44)</f>
        <v>67.44</v>
      </c>
      <c r="Q188" s="2">
        <f ca="1">IFERROR(__xludf.DUMMYFUNCTION("""COMPUTED_VALUE"""),67.22)</f>
        <v>67.22</v>
      </c>
    </row>
    <row r="189" spans="1:17" ht="15.75" customHeight="1" x14ac:dyDescent="0.25">
      <c r="A189" s="2">
        <v>3301</v>
      </c>
      <c r="B189" s="2" t="str">
        <f ca="1">IFERROR(__xludf.DUMMYFUNCTION("""COMPUTED_VALUE"""),"JAWA TENGAH")</f>
        <v>JAWA TENGAH</v>
      </c>
      <c r="C189" s="2" t="str">
        <f ca="1">IFERROR(__xludf.DUMMYFUNCTION("""COMPUTED_VALUE"""),"Cilacap")</f>
        <v>Cilacap</v>
      </c>
      <c r="D189" s="2">
        <f ca="1">IFERROR(__xludf.DUMMYFUNCTION("""COMPUTED_VALUE"""),7.49)</f>
        <v>7.49</v>
      </c>
      <c r="E189" s="2">
        <f ca="1">IFERROR(__xludf.DUMMYFUNCTION("""COMPUTED_VALUE"""),7.24)</f>
        <v>7.24</v>
      </c>
      <c r="F189" s="2">
        <f ca="1">IFERROR(__xludf.DUMMYFUNCTION("""COMPUTED_VALUE"""),9.1)</f>
        <v>9.1</v>
      </c>
      <c r="G189" s="2">
        <f ca="1">IFERROR(__xludf.DUMMYFUNCTION("""COMPUTED_VALUE"""),9.97)</f>
        <v>9.9700000000000006</v>
      </c>
      <c r="H189" s="2">
        <f ca="1">IFERROR(__xludf.DUMMYFUNCTION("""COMPUTED_VALUE"""),9.62)</f>
        <v>9.6199999999999992</v>
      </c>
      <c r="I189" s="2">
        <f ca="1">IFERROR(__xludf.DUMMYFUNCTION("""COMPUTED_VALUE"""),8.74)</f>
        <v>8.74</v>
      </c>
      <c r="J189" s="2">
        <f ca="1">IFERROR(__xludf.DUMMYFUNCTION("""COMPUTED_VALUE"""),7.83)</f>
        <v>7.83</v>
      </c>
      <c r="K189" s="2">
        <f ca="1">IFERROR(__xludf.DUMMYFUNCTION("""COMPUTED_VALUE"""),62.62)</f>
        <v>62.62</v>
      </c>
      <c r="L189" s="2">
        <f ca="1">IFERROR(__xludf.DUMMYFUNCTION("""COMPUTED_VALUE"""),65.34)</f>
        <v>65.34</v>
      </c>
      <c r="M189" s="2">
        <f ca="1">IFERROR(__xludf.DUMMYFUNCTION("""COMPUTED_VALUE"""),67.79)</f>
        <v>67.790000000000006</v>
      </c>
      <c r="N189" s="2">
        <f ca="1">IFERROR(__xludf.DUMMYFUNCTION("""COMPUTED_VALUE"""),62.91)</f>
        <v>62.91</v>
      </c>
      <c r="O189" s="2">
        <f ca="1">IFERROR(__xludf.DUMMYFUNCTION("""COMPUTED_VALUE"""),65.65)</f>
        <v>65.650000000000006</v>
      </c>
      <c r="P189" s="2">
        <f ca="1">IFERROR(__xludf.DUMMYFUNCTION("""COMPUTED_VALUE"""),66.6)</f>
        <v>66.599999999999994</v>
      </c>
      <c r="Q189" s="2">
        <f ca="1">IFERROR(__xludf.DUMMYFUNCTION("""COMPUTED_VALUE"""),67.95)</f>
        <v>67.95</v>
      </c>
    </row>
    <row r="190" spans="1:17" ht="15.75" customHeight="1" x14ac:dyDescent="0.25">
      <c r="A190" s="2">
        <v>3302</v>
      </c>
      <c r="B190" s="2" t="str">
        <f ca="1">IFERROR(__xludf.DUMMYFUNCTION("""COMPUTED_VALUE"""),"JAWA TENGAH")</f>
        <v>JAWA TENGAH</v>
      </c>
      <c r="C190" s="2" t="str">
        <f ca="1">IFERROR(__xludf.DUMMYFUNCTION("""COMPUTED_VALUE"""),"Banyumas")</f>
        <v>Banyumas</v>
      </c>
      <c r="D190" s="2">
        <f ca="1">IFERROR(__xludf.DUMMYFUNCTION("""COMPUTED_VALUE"""),4.15)</f>
        <v>4.1500000000000004</v>
      </c>
      <c r="E190" s="2">
        <f ca="1">IFERROR(__xludf.DUMMYFUNCTION("""COMPUTED_VALUE"""),4.17)</f>
        <v>4.17</v>
      </c>
      <c r="F190" s="2">
        <f ca="1">IFERROR(__xludf.DUMMYFUNCTION("""COMPUTED_VALUE"""),6)</f>
        <v>6</v>
      </c>
      <c r="G190" s="2">
        <f ca="1">IFERROR(__xludf.DUMMYFUNCTION("""COMPUTED_VALUE"""),6.05)</f>
        <v>6.05</v>
      </c>
      <c r="H190" s="2">
        <f ca="1">IFERROR(__xludf.DUMMYFUNCTION("""COMPUTED_VALUE"""),6.05)</f>
        <v>6.05</v>
      </c>
      <c r="I190" s="2">
        <f ca="1">IFERROR(__xludf.DUMMYFUNCTION("""COMPUTED_VALUE"""),6.35)</f>
        <v>6.35</v>
      </c>
      <c r="J190" s="2">
        <f ca="1">IFERROR(__xludf.DUMMYFUNCTION("""COMPUTED_VALUE"""),6.18)</f>
        <v>6.18</v>
      </c>
      <c r="K190" s="2">
        <f ca="1">IFERROR(__xludf.DUMMYFUNCTION("""COMPUTED_VALUE"""),67.74)</f>
        <v>67.739999999999995</v>
      </c>
      <c r="L190" s="2">
        <f ca="1">IFERROR(__xludf.DUMMYFUNCTION("""COMPUTED_VALUE"""),67.34)</f>
        <v>67.34</v>
      </c>
      <c r="M190" s="2">
        <f ca="1">IFERROR(__xludf.DUMMYFUNCTION("""COMPUTED_VALUE"""),66.66)</f>
        <v>66.66</v>
      </c>
      <c r="N190" s="2">
        <f ca="1">IFERROR(__xludf.DUMMYFUNCTION("""COMPUTED_VALUE"""),65.07)</f>
        <v>65.069999999999993</v>
      </c>
      <c r="O190" s="2">
        <f ca="1">IFERROR(__xludf.DUMMYFUNCTION("""COMPUTED_VALUE"""),64.75)</f>
        <v>64.75</v>
      </c>
      <c r="P190" s="2">
        <f ca="1">IFERROR(__xludf.DUMMYFUNCTION("""COMPUTED_VALUE"""),64.6)</f>
        <v>64.599999999999994</v>
      </c>
      <c r="Q190" s="2">
        <f ca="1">IFERROR(__xludf.DUMMYFUNCTION("""COMPUTED_VALUE"""),68.03)</f>
        <v>68.03</v>
      </c>
    </row>
    <row r="191" spans="1:17" ht="15.75" customHeight="1" x14ac:dyDescent="0.25">
      <c r="A191" s="2">
        <v>3303</v>
      </c>
      <c r="B191" s="2" t="str">
        <f ca="1">IFERROR(__xludf.DUMMYFUNCTION("""COMPUTED_VALUE"""),"JAWA TENGAH")</f>
        <v>JAWA TENGAH</v>
      </c>
      <c r="C191" s="2" t="str">
        <f ca="1">IFERROR(__xludf.DUMMYFUNCTION("""COMPUTED_VALUE"""),"Purbalingga")</f>
        <v>Purbalingga</v>
      </c>
      <c r="D191" s="2">
        <f ca="1">IFERROR(__xludf.DUMMYFUNCTION("""COMPUTED_VALUE"""),6.02)</f>
        <v>6.02</v>
      </c>
      <c r="E191" s="2">
        <f ca="1">IFERROR(__xludf.DUMMYFUNCTION("""COMPUTED_VALUE"""),4.73)</f>
        <v>4.7300000000000004</v>
      </c>
      <c r="F191" s="2">
        <f ca="1">IFERROR(__xludf.DUMMYFUNCTION("""COMPUTED_VALUE"""),6.1)</f>
        <v>6.1</v>
      </c>
      <c r="G191" s="2">
        <f ca="1">IFERROR(__xludf.DUMMYFUNCTION("""COMPUTED_VALUE"""),6.05)</f>
        <v>6.05</v>
      </c>
      <c r="H191" s="2">
        <f ca="1">IFERROR(__xludf.DUMMYFUNCTION("""COMPUTED_VALUE"""),5.23)</f>
        <v>5.23</v>
      </c>
      <c r="I191" s="2">
        <f ca="1">IFERROR(__xludf.DUMMYFUNCTION("""COMPUTED_VALUE"""),5.61)</f>
        <v>5.61</v>
      </c>
      <c r="J191" s="2">
        <f ca="1">IFERROR(__xludf.DUMMYFUNCTION("""COMPUTED_VALUE"""),4.96)</f>
        <v>4.96</v>
      </c>
      <c r="K191" s="2">
        <f ca="1">IFERROR(__xludf.DUMMYFUNCTION("""COMPUTED_VALUE"""),70.58)</f>
        <v>70.58</v>
      </c>
      <c r="L191" s="2">
        <f ca="1">IFERROR(__xludf.DUMMYFUNCTION("""COMPUTED_VALUE"""),68.14)</f>
        <v>68.14</v>
      </c>
      <c r="M191" s="2">
        <f ca="1">IFERROR(__xludf.DUMMYFUNCTION("""COMPUTED_VALUE"""),69.89)</f>
        <v>69.89</v>
      </c>
      <c r="N191" s="2">
        <f ca="1">IFERROR(__xludf.DUMMYFUNCTION("""COMPUTED_VALUE"""),69.52)</f>
        <v>69.52</v>
      </c>
      <c r="O191" s="2">
        <f ca="1">IFERROR(__xludf.DUMMYFUNCTION("""COMPUTED_VALUE"""),73.47)</f>
        <v>73.47</v>
      </c>
      <c r="P191" s="2">
        <f ca="1">IFERROR(__xludf.DUMMYFUNCTION("""COMPUTED_VALUE"""),73.45)</f>
        <v>73.45</v>
      </c>
      <c r="Q191" s="2">
        <f ca="1">IFERROR(__xludf.DUMMYFUNCTION("""COMPUTED_VALUE"""),74.47)</f>
        <v>74.47</v>
      </c>
    </row>
    <row r="192" spans="1:17" ht="15.75" customHeight="1" x14ac:dyDescent="0.25">
      <c r="A192" s="2">
        <v>3304</v>
      </c>
      <c r="B192" s="2" t="str">
        <f ca="1">IFERROR(__xludf.DUMMYFUNCTION("""COMPUTED_VALUE"""),"JAWA TENGAH")</f>
        <v>JAWA TENGAH</v>
      </c>
      <c r="C192" s="2" t="str">
        <f ca="1">IFERROR(__xludf.DUMMYFUNCTION("""COMPUTED_VALUE"""),"Banjarnegara")</f>
        <v>Banjarnegara</v>
      </c>
      <c r="D192" s="2">
        <f ca="1">IFERROR(__xludf.DUMMYFUNCTION("""COMPUTED_VALUE"""),3.99)</f>
        <v>3.99</v>
      </c>
      <c r="E192" s="2">
        <f ca="1">IFERROR(__xludf.DUMMYFUNCTION("""COMPUTED_VALUE"""),4.44)</f>
        <v>4.4400000000000004</v>
      </c>
      <c r="F192" s="2">
        <f ca="1">IFERROR(__xludf.DUMMYFUNCTION("""COMPUTED_VALUE"""),5.86)</f>
        <v>5.86</v>
      </c>
      <c r="G192" s="2">
        <f ca="1">IFERROR(__xludf.DUMMYFUNCTION("""COMPUTED_VALUE"""),5.86)</f>
        <v>5.86</v>
      </c>
      <c r="H192" s="2">
        <f ca="1">IFERROR(__xludf.DUMMYFUNCTION("""COMPUTED_VALUE"""),6.38)</f>
        <v>6.38</v>
      </c>
      <c r="I192" s="2">
        <f ca="1">IFERROR(__xludf.DUMMYFUNCTION("""COMPUTED_VALUE"""),6.26)</f>
        <v>6.26</v>
      </c>
      <c r="J192" s="2">
        <f ca="1">IFERROR(__xludf.DUMMYFUNCTION("""COMPUTED_VALUE"""),5.57)</f>
        <v>5.57</v>
      </c>
      <c r="K192" s="2">
        <f ca="1">IFERROR(__xludf.DUMMYFUNCTION("""COMPUTED_VALUE"""),71.97)</f>
        <v>71.97</v>
      </c>
      <c r="L192" s="2">
        <f ca="1">IFERROR(__xludf.DUMMYFUNCTION("""COMPUTED_VALUE"""),70.09)</f>
        <v>70.09</v>
      </c>
      <c r="M192" s="2">
        <f ca="1">IFERROR(__xludf.DUMMYFUNCTION("""COMPUTED_VALUE"""),69.69)</f>
        <v>69.69</v>
      </c>
      <c r="N192" s="2">
        <f ca="1">IFERROR(__xludf.DUMMYFUNCTION("""COMPUTED_VALUE"""),69.76)</f>
        <v>69.760000000000005</v>
      </c>
      <c r="O192" s="2">
        <f ca="1">IFERROR(__xludf.DUMMYFUNCTION("""COMPUTED_VALUE"""),72.17)</f>
        <v>72.17</v>
      </c>
      <c r="P192" s="2">
        <f ca="1">IFERROR(__xludf.DUMMYFUNCTION("""COMPUTED_VALUE"""),71.64)</f>
        <v>71.64</v>
      </c>
      <c r="Q192" s="2">
        <f ca="1">IFERROR(__xludf.DUMMYFUNCTION("""COMPUTED_VALUE"""),73.38)</f>
        <v>73.38</v>
      </c>
    </row>
    <row r="193" spans="1:17" ht="15.75" customHeight="1" x14ac:dyDescent="0.25">
      <c r="A193" s="2">
        <v>3305</v>
      </c>
      <c r="B193" s="2" t="str">
        <f ca="1">IFERROR(__xludf.DUMMYFUNCTION("""COMPUTED_VALUE"""),"JAWA TENGAH")</f>
        <v>JAWA TENGAH</v>
      </c>
      <c r="C193" s="2" t="str">
        <f ca="1">IFERROR(__xludf.DUMMYFUNCTION("""COMPUTED_VALUE"""),"Kebumen")</f>
        <v>Kebumen</v>
      </c>
      <c r="D193" s="2">
        <f ca="1">IFERROR(__xludf.DUMMYFUNCTION("""COMPUTED_VALUE"""),5.48)</f>
        <v>5.48</v>
      </c>
      <c r="E193" s="2">
        <f ca="1">IFERROR(__xludf.DUMMYFUNCTION("""COMPUTED_VALUE"""),4.69)</f>
        <v>4.6900000000000004</v>
      </c>
      <c r="F193" s="2">
        <f ca="1">IFERROR(__xludf.DUMMYFUNCTION("""COMPUTED_VALUE"""),6.07)</f>
        <v>6.07</v>
      </c>
      <c r="G193" s="2">
        <f ca="1">IFERROR(__xludf.DUMMYFUNCTION("""COMPUTED_VALUE"""),6.03)</f>
        <v>6.03</v>
      </c>
      <c r="H193" s="2">
        <f ca="1">IFERROR(__xludf.DUMMYFUNCTION("""COMPUTED_VALUE"""),5.92)</f>
        <v>5.92</v>
      </c>
      <c r="I193" s="2">
        <f ca="1">IFERROR(__xludf.DUMMYFUNCTION("""COMPUTED_VALUE"""),5.11)</f>
        <v>5.1100000000000003</v>
      </c>
      <c r="J193" s="2">
        <f ca="1">IFERROR(__xludf.DUMMYFUNCTION("""COMPUTED_VALUE"""),5.07)</f>
        <v>5.07</v>
      </c>
      <c r="K193" s="2">
        <f ca="1">IFERROR(__xludf.DUMMYFUNCTION("""COMPUTED_VALUE"""),65.75)</f>
        <v>65.75</v>
      </c>
      <c r="L193" s="2">
        <f ca="1">IFERROR(__xludf.DUMMYFUNCTION("""COMPUTED_VALUE"""),68.72)</f>
        <v>68.72</v>
      </c>
      <c r="M193" s="2">
        <f ca="1">IFERROR(__xludf.DUMMYFUNCTION("""COMPUTED_VALUE"""),69.63)</f>
        <v>69.63</v>
      </c>
      <c r="N193" s="2">
        <f ca="1">IFERROR(__xludf.DUMMYFUNCTION("""COMPUTED_VALUE"""),67.76)</f>
        <v>67.760000000000005</v>
      </c>
      <c r="O193" s="2">
        <f ca="1">IFERROR(__xludf.DUMMYFUNCTION("""COMPUTED_VALUE"""),71.57)</f>
        <v>71.569999999999993</v>
      </c>
      <c r="P193" s="2">
        <f ca="1">IFERROR(__xludf.DUMMYFUNCTION("""COMPUTED_VALUE"""),74.54)</f>
        <v>74.540000000000006</v>
      </c>
      <c r="Q193" s="2">
        <f ca="1">IFERROR(__xludf.DUMMYFUNCTION("""COMPUTED_VALUE"""),77.37)</f>
        <v>77.37</v>
      </c>
    </row>
    <row r="194" spans="1:17" ht="15.75" customHeight="1" x14ac:dyDescent="0.25">
      <c r="A194" s="2">
        <v>3306</v>
      </c>
      <c r="B194" s="2" t="str">
        <f ca="1">IFERROR(__xludf.DUMMYFUNCTION("""COMPUTED_VALUE"""),"JAWA TENGAH")</f>
        <v>JAWA TENGAH</v>
      </c>
      <c r="C194" s="2" t="str">
        <f ca="1">IFERROR(__xludf.DUMMYFUNCTION("""COMPUTED_VALUE"""),"Purworejo")</f>
        <v>Purworejo</v>
      </c>
      <c r="D194" s="2">
        <f ca="1">IFERROR(__xludf.DUMMYFUNCTION("""COMPUTED_VALUE"""),4.43)</f>
        <v>4.43</v>
      </c>
      <c r="E194" s="2">
        <f ca="1">IFERROR(__xludf.DUMMYFUNCTION("""COMPUTED_VALUE"""),2.91)</f>
        <v>2.91</v>
      </c>
      <c r="F194" s="2">
        <f ca="1">IFERROR(__xludf.DUMMYFUNCTION("""COMPUTED_VALUE"""),4.04)</f>
        <v>4.04</v>
      </c>
      <c r="G194" s="2">
        <f ca="1">IFERROR(__xludf.DUMMYFUNCTION("""COMPUTED_VALUE"""),3.59)</f>
        <v>3.59</v>
      </c>
      <c r="H194" s="2">
        <f ca="1">IFERROR(__xludf.DUMMYFUNCTION("""COMPUTED_VALUE"""),4.45)</f>
        <v>4.45</v>
      </c>
      <c r="I194" s="2">
        <f ca="1">IFERROR(__xludf.DUMMYFUNCTION("""COMPUTED_VALUE"""),4.02)</f>
        <v>4.0199999999999996</v>
      </c>
      <c r="J194" s="2">
        <f ca="1">IFERROR(__xludf.DUMMYFUNCTION("""COMPUTED_VALUE"""),3.89)</f>
        <v>3.89</v>
      </c>
      <c r="K194" s="2">
        <f ca="1">IFERROR(__xludf.DUMMYFUNCTION("""COMPUTED_VALUE"""),66.89)</f>
        <v>66.89</v>
      </c>
      <c r="L194" s="2">
        <f ca="1">IFERROR(__xludf.DUMMYFUNCTION("""COMPUTED_VALUE"""),66.81)</f>
        <v>66.81</v>
      </c>
      <c r="M194" s="2">
        <f ca="1">IFERROR(__xludf.DUMMYFUNCTION("""COMPUTED_VALUE"""),70.05)</f>
        <v>70.05</v>
      </c>
      <c r="N194" s="2">
        <f ca="1">IFERROR(__xludf.DUMMYFUNCTION("""COMPUTED_VALUE"""),73.29)</f>
        <v>73.290000000000006</v>
      </c>
      <c r="O194" s="2">
        <f ca="1">IFERROR(__xludf.DUMMYFUNCTION("""COMPUTED_VALUE"""),72.38)</f>
        <v>72.38</v>
      </c>
      <c r="P194" s="2">
        <f ca="1">IFERROR(__xludf.DUMMYFUNCTION("""COMPUTED_VALUE"""),74.76)</f>
        <v>74.760000000000005</v>
      </c>
      <c r="Q194" s="2">
        <f ca="1">IFERROR(__xludf.DUMMYFUNCTION("""COMPUTED_VALUE"""),73.72)</f>
        <v>73.72</v>
      </c>
    </row>
    <row r="195" spans="1:17" ht="15.75" customHeight="1" x14ac:dyDescent="0.25">
      <c r="A195" s="2">
        <v>3307</v>
      </c>
      <c r="B195" s="2" t="str">
        <f ca="1">IFERROR(__xludf.DUMMYFUNCTION("""COMPUTED_VALUE"""),"JAWA TENGAH")</f>
        <v>JAWA TENGAH</v>
      </c>
      <c r="C195" s="2" t="str">
        <f ca="1">IFERROR(__xludf.DUMMYFUNCTION("""COMPUTED_VALUE"""),"Wonosobo")</f>
        <v>Wonosobo</v>
      </c>
      <c r="D195" s="2">
        <f ca="1">IFERROR(__xludf.DUMMYFUNCTION("""COMPUTED_VALUE"""),3.5)</f>
        <v>3.5</v>
      </c>
      <c r="E195" s="2">
        <f ca="1">IFERROR(__xludf.DUMMYFUNCTION("""COMPUTED_VALUE"""),3.43)</f>
        <v>3.43</v>
      </c>
      <c r="F195" s="2">
        <f ca="1">IFERROR(__xludf.DUMMYFUNCTION("""COMPUTED_VALUE"""),5.37)</f>
        <v>5.37</v>
      </c>
      <c r="G195" s="2">
        <f ca="1">IFERROR(__xludf.DUMMYFUNCTION("""COMPUTED_VALUE"""),5.26)</f>
        <v>5.26</v>
      </c>
      <c r="H195" s="2">
        <f ca="1">IFERROR(__xludf.DUMMYFUNCTION("""COMPUTED_VALUE"""),5.01)</f>
        <v>5.01</v>
      </c>
      <c r="I195" s="2">
        <f ca="1">IFERROR(__xludf.DUMMYFUNCTION("""COMPUTED_VALUE"""),4.95)</f>
        <v>4.95</v>
      </c>
      <c r="J195" s="2">
        <f ca="1">IFERROR(__xludf.DUMMYFUNCTION("""COMPUTED_VALUE"""),4.02)</f>
        <v>4.0199999999999996</v>
      </c>
      <c r="K195" s="2">
        <f ca="1">IFERROR(__xludf.DUMMYFUNCTION("""COMPUTED_VALUE"""),72.43)</f>
        <v>72.430000000000007</v>
      </c>
      <c r="L195" s="2">
        <f ca="1">IFERROR(__xludf.DUMMYFUNCTION("""COMPUTED_VALUE"""),72.07)</f>
        <v>72.069999999999993</v>
      </c>
      <c r="M195" s="2">
        <f ca="1">IFERROR(__xludf.DUMMYFUNCTION("""COMPUTED_VALUE"""),71.26)</f>
        <v>71.260000000000005</v>
      </c>
      <c r="N195" s="2">
        <f ca="1">IFERROR(__xludf.DUMMYFUNCTION("""COMPUTED_VALUE"""),70.77)</f>
        <v>70.77</v>
      </c>
      <c r="O195" s="2">
        <f ca="1">IFERROR(__xludf.DUMMYFUNCTION("""COMPUTED_VALUE"""),74.55)</f>
        <v>74.55</v>
      </c>
      <c r="P195" s="2">
        <f ca="1">IFERROR(__xludf.DUMMYFUNCTION("""COMPUTED_VALUE"""),73.59)</f>
        <v>73.59</v>
      </c>
      <c r="Q195" s="2">
        <f ca="1">IFERROR(__xludf.DUMMYFUNCTION("""COMPUTED_VALUE"""),74.97)</f>
        <v>74.97</v>
      </c>
    </row>
    <row r="196" spans="1:17" ht="15.75" customHeight="1" x14ac:dyDescent="0.25">
      <c r="A196" s="2">
        <v>3308</v>
      </c>
      <c r="B196" s="2" t="str">
        <f ca="1">IFERROR(__xludf.DUMMYFUNCTION("""COMPUTED_VALUE"""),"JAWA TENGAH")</f>
        <v>JAWA TENGAH</v>
      </c>
      <c r="C196" s="2" t="str">
        <f ca="1">IFERROR(__xludf.DUMMYFUNCTION("""COMPUTED_VALUE"""),"Magelang")</f>
        <v>Magelang</v>
      </c>
      <c r="D196" s="2">
        <f ca="1">IFERROR(__xludf.DUMMYFUNCTION("""COMPUTED_VALUE"""),2.89)</f>
        <v>2.89</v>
      </c>
      <c r="E196" s="2">
        <f ca="1">IFERROR(__xludf.DUMMYFUNCTION("""COMPUTED_VALUE"""),3.07)</f>
        <v>3.07</v>
      </c>
      <c r="F196" s="2">
        <f ca="1">IFERROR(__xludf.DUMMYFUNCTION("""COMPUTED_VALUE"""),4.27)</f>
        <v>4.2699999999999996</v>
      </c>
      <c r="G196" s="2">
        <f ca="1">IFERROR(__xludf.DUMMYFUNCTION("""COMPUTED_VALUE"""),5.03)</f>
        <v>5.03</v>
      </c>
      <c r="H196" s="2">
        <f ca="1">IFERROR(__xludf.DUMMYFUNCTION("""COMPUTED_VALUE"""),4.97)</f>
        <v>4.97</v>
      </c>
      <c r="I196" s="2">
        <f ca="1">IFERROR(__xludf.DUMMYFUNCTION("""COMPUTED_VALUE"""),4.42)</f>
        <v>4.42</v>
      </c>
      <c r="J196" s="2">
        <f ca="1">IFERROR(__xludf.DUMMYFUNCTION("""COMPUTED_VALUE"""),3.55)</f>
        <v>3.55</v>
      </c>
      <c r="K196" s="2">
        <f ca="1">IFERROR(__xludf.DUMMYFUNCTION("""COMPUTED_VALUE"""),71.48)</f>
        <v>71.48</v>
      </c>
      <c r="L196" s="2">
        <f ca="1">IFERROR(__xludf.DUMMYFUNCTION("""COMPUTED_VALUE"""),74.73)</f>
        <v>74.73</v>
      </c>
      <c r="M196" s="2">
        <f ca="1">IFERROR(__xludf.DUMMYFUNCTION("""COMPUTED_VALUE"""),76.6)</f>
        <v>76.599999999999994</v>
      </c>
      <c r="N196" s="2">
        <f ca="1">IFERROR(__xludf.DUMMYFUNCTION("""COMPUTED_VALUE"""),75.78)</f>
        <v>75.78</v>
      </c>
      <c r="O196" s="2">
        <f ca="1">IFERROR(__xludf.DUMMYFUNCTION("""COMPUTED_VALUE"""),79.57)</f>
        <v>79.569999999999993</v>
      </c>
      <c r="P196" s="2">
        <f ca="1">IFERROR(__xludf.DUMMYFUNCTION("""COMPUTED_VALUE"""),79.45)</f>
        <v>79.45</v>
      </c>
      <c r="Q196" s="2">
        <f ca="1">IFERROR(__xludf.DUMMYFUNCTION("""COMPUTED_VALUE"""),77.72)</f>
        <v>77.72</v>
      </c>
    </row>
    <row r="197" spans="1:17" ht="15.75" customHeight="1" x14ac:dyDescent="0.25">
      <c r="A197" s="2">
        <v>3309</v>
      </c>
      <c r="B197" s="2" t="str">
        <f ca="1">IFERROR(__xludf.DUMMYFUNCTION("""COMPUTED_VALUE"""),"JAWA TENGAH")</f>
        <v>JAWA TENGAH</v>
      </c>
      <c r="C197" s="2" t="str">
        <f ca="1">IFERROR(__xludf.DUMMYFUNCTION("""COMPUTED_VALUE"""),"Boyolali")</f>
        <v>Boyolali</v>
      </c>
      <c r="D197" s="2">
        <f ca="1">IFERROR(__xludf.DUMMYFUNCTION("""COMPUTED_VALUE"""),2.18)</f>
        <v>2.1800000000000002</v>
      </c>
      <c r="E197" s="2">
        <f ca="1">IFERROR(__xludf.DUMMYFUNCTION("""COMPUTED_VALUE"""),3.09)</f>
        <v>3.09</v>
      </c>
      <c r="F197" s="2">
        <f ca="1">IFERROR(__xludf.DUMMYFUNCTION("""COMPUTED_VALUE"""),5.28)</f>
        <v>5.28</v>
      </c>
      <c r="G197" s="2">
        <f ca="1">IFERROR(__xludf.DUMMYFUNCTION("""COMPUTED_VALUE"""),5.09)</f>
        <v>5.09</v>
      </c>
      <c r="H197" s="2">
        <f ca="1">IFERROR(__xludf.DUMMYFUNCTION("""COMPUTED_VALUE"""),4.92)</f>
        <v>4.92</v>
      </c>
      <c r="I197" s="2">
        <f ca="1">IFERROR(__xludf.DUMMYFUNCTION("""COMPUTED_VALUE"""),4.05)</f>
        <v>4.05</v>
      </c>
      <c r="J197" s="2">
        <f ca="1">IFERROR(__xludf.DUMMYFUNCTION("""COMPUTED_VALUE"""),3.16)</f>
        <v>3.16</v>
      </c>
      <c r="K197" s="2">
        <f ca="1">IFERROR(__xludf.DUMMYFUNCTION("""COMPUTED_VALUE"""),72.31)</f>
        <v>72.31</v>
      </c>
      <c r="L197" s="2">
        <f ca="1">IFERROR(__xludf.DUMMYFUNCTION("""COMPUTED_VALUE"""),72.7)</f>
        <v>72.7</v>
      </c>
      <c r="M197" s="2">
        <f ca="1">IFERROR(__xludf.DUMMYFUNCTION("""COMPUTED_VALUE"""),75.11)</f>
        <v>75.11</v>
      </c>
      <c r="N197" s="2">
        <f ca="1">IFERROR(__xludf.DUMMYFUNCTION("""COMPUTED_VALUE"""),75.79)</f>
        <v>75.790000000000006</v>
      </c>
      <c r="O197" s="2">
        <f ca="1">IFERROR(__xludf.DUMMYFUNCTION("""COMPUTED_VALUE"""),75.51)</f>
        <v>75.510000000000005</v>
      </c>
      <c r="P197" s="2">
        <f ca="1">IFERROR(__xludf.DUMMYFUNCTION("""COMPUTED_VALUE"""),74.73)</f>
        <v>74.73</v>
      </c>
      <c r="Q197" s="2">
        <f ca="1">IFERROR(__xludf.DUMMYFUNCTION("""COMPUTED_VALUE"""),75.25)</f>
        <v>75.25</v>
      </c>
    </row>
    <row r="198" spans="1:17" ht="15.75" customHeight="1" x14ac:dyDescent="0.25">
      <c r="A198" s="2">
        <v>3310</v>
      </c>
      <c r="B198" s="2" t="str">
        <f ca="1">IFERROR(__xludf.DUMMYFUNCTION("""COMPUTED_VALUE"""),"JAWA TENGAH")</f>
        <v>JAWA TENGAH</v>
      </c>
      <c r="C198" s="2" t="str">
        <f ca="1">IFERROR(__xludf.DUMMYFUNCTION("""COMPUTED_VALUE"""),"Klaten")</f>
        <v>Klaten</v>
      </c>
      <c r="D198" s="2">
        <f ca="1">IFERROR(__xludf.DUMMYFUNCTION("""COMPUTED_VALUE"""),3.14)</f>
        <v>3.14</v>
      </c>
      <c r="E198" s="2">
        <f ca="1">IFERROR(__xludf.DUMMYFUNCTION("""COMPUTED_VALUE"""),3.54)</f>
        <v>3.54</v>
      </c>
      <c r="F198" s="2">
        <f ca="1">IFERROR(__xludf.DUMMYFUNCTION("""COMPUTED_VALUE"""),5.46)</f>
        <v>5.46</v>
      </c>
      <c r="G198" s="2">
        <f ca="1">IFERROR(__xludf.DUMMYFUNCTION("""COMPUTED_VALUE"""),5.48)</f>
        <v>5.48</v>
      </c>
      <c r="H198" s="2">
        <f ca="1">IFERROR(__xludf.DUMMYFUNCTION("""COMPUTED_VALUE"""),4.31)</f>
        <v>4.3099999999999996</v>
      </c>
      <c r="I198" s="2">
        <f ca="1">IFERROR(__xludf.DUMMYFUNCTION("""COMPUTED_VALUE"""),4.2)</f>
        <v>4.2</v>
      </c>
      <c r="J198" s="2">
        <f ca="1">IFERROR(__xludf.DUMMYFUNCTION("""COMPUTED_VALUE"""),3.97)</f>
        <v>3.97</v>
      </c>
      <c r="K198" s="2">
        <f ca="1">IFERROR(__xludf.DUMMYFUNCTION("""COMPUTED_VALUE"""),67.14)</f>
        <v>67.14</v>
      </c>
      <c r="L198" s="2">
        <f ca="1">IFERROR(__xludf.DUMMYFUNCTION("""COMPUTED_VALUE"""),69.1)</f>
        <v>69.099999999999994</v>
      </c>
      <c r="M198" s="2">
        <f ca="1">IFERROR(__xludf.DUMMYFUNCTION("""COMPUTED_VALUE"""),68.33)</f>
        <v>68.33</v>
      </c>
      <c r="N198" s="2">
        <f ca="1">IFERROR(__xludf.DUMMYFUNCTION("""COMPUTED_VALUE"""),66.89)</f>
        <v>66.89</v>
      </c>
      <c r="O198" s="2">
        <f ca="1">IFERROR(__xludf.DUMMYFUNCTION("""COMPUTED_VALUE"""),68.66)</f>
        <v>68.66</v>
      </c>
      <c r="P198" s="2">
        <f ca="1">IFERROR(__xludf.DUMMYFUNCTION("""COMPUTED_VALUE"""),66.71)</f>
        <v>66.709999999999994</v>
      </c>
      <c r="Q198" s="2">
        <f ca="1">IFERROR(__xludf.DUMMYFUNCTION("""COMPUTED_VALUE"""),74.24)</f>
        <v>74.239999999999995</v>
      </c>
    </row>
    <row r="199" spans="1:17" ht="15.75" customHeight="1" x14ac:dyDescent="0.25">
      <c r="A199" s="2">
        <v>3311</v>
      </c>
      <c r="B199" s="2" t="str">
        <f ca="1">IFERROR(__xludf.DUMMYFUNCTION("""COMPUTED_VALUE"""),"JAWA TENGAH")</f>
        <v>JAWA TENGAH</v>
      </c>
      <c r="C199" s="2" t="str">
        <f ca="1">IFERROR(__xludf.DUMMYFUNCTION("""COMPUTED_VALUE"""),"Sukoharjo")</f>
        <v>Sukoharjo</v>
      </c>
      <c r="D199" s="2">
        <f ca="1">IFERROR(__xludf.DUMMYFUNCTION("""COMPUTED_VALUE"""),2.72)</f>
        <v>2.72</v>
      </c>
      <c r="E199" s="2">
        <f ca="1">IFERROR(__xludf.DUMMYFUNCTION("""COMPUTED_VALUE"""),3.39)</f>
        <v>3.39</v>
      </c>
      <c r="F199" s="2">
        <f ca="1">IFERROR(__xludf.DUMMYFUNCTION("""COMPUTED_VALUE"""),6.93)</f>
        <v>6.93</v>
      </c>
      <c r="G199" s="2">
        <f ca="1">IFERROR(__xludf.DUMMYFUNCTION("""COMPUTED_VALUE"""),3.32)</f>
        <v>3.32</v>
      </c>
      <c r="H199" s="2">
        <f ca="1">IFERROR(__xludf.DUMMYFUNCTION("""COMPUTED_VALUE"""),2.47)</f>
        <v>2.4700000000000002</v>
      </c>
      <c r="I199" s="2">
        <f ca="1">IFERROR(__xludf.DUMMYFUNCTION("""COMPUTED_VALUE"""),3.4)</f>
        <v>3.4</v>
      </c>
      <c r="J199" s="2">
        <f ca="1">IFERROR(__xludf.DUMMYFUNCTION("""COMPUTED_VALUE"""),3.65)</f>
        <v>3.65</v>
      </c>
      <c r="K199" s="2">
        <f ca="1">IFERROR(__xludf.DUMMYFUNCTION("""COMPUTED_VALUE"""),68.47)</f>
        <v>68.47</v>
      </c>
      <c r="L199" s="2">
        <f ca="1">IFERROR(__xludf.DUMMYFUNCTION("""COMPUTED_VALUE"""),68.5)</f>
        <v>68.5</v>
      </c>
      <c r="M199" s="2">
        <f ca="1">IFERROR(__xludf.DUMMYFUNCTION("""COMPUTED_VALUE"""),68.74)</f>
        <v>68.739999999999995</v>
      </c>
      <c r="N199" s="2">
        <f ca="1">IFERROR(__xludf.DUMMYFUNCTION("""COMPUTED_VALUE"""),68.78)</f>
        <v>68.78</v>
      </c>
      <c r="O199" s="2">
        <f ca="1">IFERROR(__xludf.DUMMYFUNCTION("""COMPUTED_VALUE"""),67.38)</f>
        <v>67.38</v>
      </c>
      <c r="P199" s="2">
        <f ca="1">IFERROR(__xludf.DUMMYFUNCTION("""COMPUTED_VALUE"""),67.66)</f>
        <v>67.66</v>
      </c>
      <c r="Q199" s="2">
        <f ca="1">IFERROR(__xludf.DUMMYFUNCTION("""COMPUTED_VALUE"""),68.21)</f>
        <v>68.209999999999994</v>
      </c>
    </row>
    <row r="200" spans="1:17" ht="15.75" customHeight="1" x14ac:dyDescent="0.25">
      <c r="A200" s="2">
        <v>3312</v>
      </c>
      <c r="B200" s="2" t="str">
        <f ca="1">IFERROR(__xludf.DUMMYFUNCTION("""COMPUTED_VALUE"""),"JAWA TENGAH")</f>
        <v>JAWA TENGAH</v>
      </c>
      <c r="C200" s="2" t="str">
        <f ca="1">IFERROR(__xludf.DUMMYFUNCTION("""COMPUTED_VALUE"""),"Wonogiri")</f>
        <v>Wonogiri</v>
      </c>
      <c r="D200" s="2">
        <f ca="1">IFERROR(__xludf.DUMMYFUNCTION("""COMPUTED_VALUE"""),2.28)</f>
        <v>2.2799999999999998</v>
      </c>
      <c r="E200" s="2">
        <f ca="1">IFERROR(__xludf.DUMMYFUNCTION("""COMPUTED_VALUE"""),2.55)</f>
        <v>2.5499999999999998</v>
      </c>
      <c r="F200" s="2">
        <f ca="1">IFERROR(__xludf.DUMMYFUNCTION("""COMPUTED_VALUE"""),4.27)</f>
        <v>4.2699999999999996</v>
      </c>
      <c r="G200" s="2">
        <f ca="1">IFERROR(__xludf.DUMMYFUNCTION("""COMPUTED_VALUE"""),2.43)</f>
        <v>2.4300000000000002</v>
      </c>
      <c r="H200" s="2">
        <f ca="1">IFERROR(__xludf.DUMMYFUNCTION("""COMPUTED_VALUE"""),1.95)</f>
        <v>1.95</v>
      </c>
      <c r="I200" s="2">
        <f ca="1">IFERROR(__xludf.DUMMYFUNCTION("""COMPUTED_VALUE"""),1.92)</f>
        <v>1.92</v>
      </c>
      <c r="J200" s="2">
        <f ca="1">IFERROR(__xludf.DUMMYFUNCTION("""COMPUTED_VALUE"""),2.4)</f>
        <v>2.4</v>
      </c>
      <c r="K200" s="2">
        <f ca="1">IFERROR(__xludf.DUMMYFUNCTION("""COMPUTED_VALUE"""),75.22)</f>
        <v>75.22</v>
      </c>
      <c r="L200" s="2">
        <f ca="1">IFERROR(__xludf.DUMMYFUNCTION("""COMPUTED_VALUE"""),69.86)</f>
        <v>69.86</v>
      </c>
      <c r="M200" s="2">
        <f ca="1">IFERROR(__xludf.DUMMYFUNCTION("""COMPUTED_VALUE"""),74.69)</f>
        <v>74.69</v>
      </c>
      <c r="N200" s="2">
        <f ca="1">IFERROR(__xludf.DUMMYFUNCTION("""COMPUTED_VALUE"""),73.09)</f>
        <v>73.09</v>
      </c>
      <c r="O200" s="2">
        <f ca="1">IFERROR(__xludf.DUMMYFUNCTION("""COMPUTED_VALUE"""),74.87)</f>
        <v>74.87</v>
      </c>
      <c r="P200" s="2">
        <f ca="1">IFERROR(__xludf.DUMMYFUNCTION("""COMPUTED_VALUE"""),82.45)</f>
        <v>82.45</v>
      </c>
      <c r="Q200" s="2">
        <f ca="1">IFERROR(__xludf.DUMMYFUNCTION("""COMPUTED_VALUE"""),77.75)</f>
        <v>77.75</v>
      </c>
    </row>
    <row r="201" spans="1:17" ht="15.75" customHeight="1" x14ac:dyDescent="0.25">
      <c r="A201" s="2">
        <v>3313</v>
      </c>
      <c r="B201" s="2" t="str">
        <f ca="1">IFERROR(__xludf.DUMMYFUNCTION("""COMPUTED_VALUE"""),"JAWA TENGAH")</f>
        <v>JAWA TENGAH</v>
      </c>
      <c r="C201" s="2" t="str">
        <f ca="1">IFERROR(__xludf.DUMMYFUNCTION("""COMPUTED_VALUE"""),"Karanganyar")</f>
        <v>Karanganyar</v>
      </c>
      <c r="D201" s="2">
        <f ca="1">IFERROR(__xludf.DUMMYFUNCTION("""COMPUTED_VALUE"""),2.28)</f>
        <v>2.2799999999999998</v>
      </c>
      <c r="E201" s="2">
        <f ca="1">IFERROR(__xludf.DUMMYFUNCTION("""COMPUTED_VALUE"""),3.12)</f>
        <v>3.12</v>
      </c>
      <c r="F201" s="2">
        <f ca="1">IFERROR(__xludf.DUMMYFUNCTION("""COMPUTED_VALUE"""),5.96)</f>
        <v>5.96</v>
      </c>
      <c r="G201" s="2">
        <f ca="1">IFERROR(__xludf.DUMMYFUNCTION("""COMPUTED_VALUE"""),5.89)</f>
        <v>5.89</v>
      </c>
      <c r="H201" s="2">
        <f ca="1">IFERROR(__xludf.DUMMYFUNCTION("""COMPUTED_VALUE"""),5.7)</f>
        <v>5.7</v>
      </c>
      <c r="I201" s="2">
        <f ca="1">IFERROR(__xludf.DUMMYFUNCTION("""COMPUTED_VALUE"""),4.35)</f>
        <v>4.3499999999999996</v>
      </c>
      <c r="J201" s="2">
        <f ca="1">IFERROR(__xludf.DUMMYFUNCTION("""COMPUTED_VALUE"""),3.47)</f>
        <v>3.47</v>
      </c>
      <c r="K201" s="2">
        <f ca="1">IFERROR(__xludf.DUMMYFUNCTION("""COMPUTED_VALUE"""),70.45)</f>
        <v>70.45</v>
      </c>
      <c r="L201" s="2">
        <f ca="1">IFERROR(__xludf.DUMMYFUNCTION("""COMPUTED_VALUE"""),70.19)</f>
        <v>70.19</v>
      </c>
      <c r="M201" s="2">
        <f ca="1">IFERROR(__xludf.DUMMYFUNCTION("""COMPUTED_VALUE"""),73.55)</f>
        <v>73.55</v>
      </c>
      <c r="N201" s="2">
        <f ca="1">IFERROR(__xludf.DUMMYFUNCTION("""COMPUTED_VALUE"""),73.15)</f>
        <v>73.150000000000006</v>
      </c>
      <c r="O201" s="2">
        <f ca="1">IFERROR(__xludf.DUMMYFUNCTION("""COMPUTED_VALUE"""),70.7)</f>
        <v>70.7</v>
      </c>
      <c r="P201" s="2">
        <f ca="1">IFERROR(__xludf.DUMMYFUNCTION("""COMPUTED_VALUE"""),70.69)</f>
        <v>70.69</v>
      </c>
      <c r="Q201" s="2">
        <f ca="1">IFERROR(__xludf.DUMMYFUNCTION("""COMPUTED_VALUE"""),74.57)</f>
        <v>74.569999999999993</v>
      </c>
    </row>
    <row r="202" spans="1:17" ht="15.75" customHeight="1" x14ac:dyDescent="0.25">
      <c r="A202" s="2">
        <v>3314</v>
      </c>
      <c r="B202" s="2" t="str">
        <f ca="1">IFERROR(__xludf.DUMMYFUNCTION("""COMPUTED_VALUE"""),"JAWA TENGAH")</f>
        <v>JAWA TENGAH</v>
      </c>
      <c r="C202" s="2" t="str">
        <f ca="1">IFERROR(__xludf.DUMMYFUNCTION("""COMPUTED_VALUE"""),"Sragen")</f>
        <v>Sragen</v>
      </c>
      <c r="D202" s="2">
        <f ca="1">IFERROR(__xludf.DUMMYFUNCTION("""COMPUTED_VALUE"""),4.83)</f>
        <v>4.83</v>
      </c>
      <c r="E202" s="2">
        <f ca="1">IFERROR(__xludf.DUMMYFUNCTION("""COMPUTED_VALUE"""),3.32)</f>
        <v>3.32</v>
      </c>
      <c r="F202" s="2">
        <f ca="1">IFERROR(__xludf.DUMMYFUNCTION("""COMPUTED_VALUE"""),4.75)</f>
        <v>4.75</v>
      </c>
      <c r="G202" s="2">
        <f ca="1">IFERROR(__xludf.DUMMYFUNCTION("""COMPUTED_VALUE"""),4.76)</f>
        <v>4.76</v>
      </c>
      <c r="H202" s="2">
        <f ca="1">IFERROR(__xludf.DUMMYFUNCTION("""COMPUTED_VALUE"""),4.69)</f>
        <v>4.6900000000000004</v>
      </c>
      <c r="I202" s="2">
        <f ca="1">IFERROR(__xludf.DUMMYFUNCTION("""COMPUTED_VALUE"""),3.87)</f>
        <v>3.87</v>
      </c>
      <c r="J202" s="2">
        <f ca="1">IFERROR(__xludf.DUMMYFUNCTION("""COMPUTED_VALUE"""),3.53)</f>
        <v>3.53</v>
      </c>
      <c r="K202" s="2">
        <f ca="1">IFERROR(__xludf.DUMMYFUNCTION("""COMPUTED_VALUE"""),67.23)</f>
        <v>67.23</v>
      </c>
      <c r="L202" s="2">
        <f ca="1">IFERROR(__xludf.DUMMYFUNCTION("""COMPUTED_VALUE"""),67.71)</f>
        <v>67.709999999999994</v>
      </c>
      <c r="M202" s="2">
        <f ca="1">IFERROR(__xludf.DUMMYFUNCTION("""COMPUTED_VALUE"""),68.44)</f>
        <v>68.44</v>
      </c>
      <c r="N202" s="2">
        <f ca="1">IFERROR(__xludf.DUMMYFUNCTION("""COMPUTED_VALUE"""),71.74)</f>
        <v>71.739999999999995</v>
      </c>
      <c r="O202" s="2">
        <f ca="1">IFERROR(__xludf.DUMMYFUNCTION("""COMPUTED_VALUE"""),69.4)</f>
        <v>69.400000000000006</v>
      </c>
      <c r="P202" s="2">
        <f ca="1">IFERROR(__xludf.DUMMYFUNCTION("""COMPUTED_VALUE"""),68.6)</f>
        <v>68.599999999999994</v>
      </c>
      <c r="Q202" s="2">
        <f ca="1">IFERROR(__xludf.DUMMYFUNCTION("""COMPUTED_VALUE"""),74.54)</f>
        <v>74.540000000000006</v>
      </c>
    </row>
    <row r="203" spans="1:17" ht="15.75" customHeight="1" x14ac:dyDescent="0.25">
      <c r="A203" s="2">
        <v>3315</v>
      </c>
      <c r="B203" s="2" t="str">
        <f ca="1">IFERROR(__xludf.DUMMYFUNCTION("""COMPUTED_VALUE"""),"JAWA TENGAH")</f>
        <v>JAWA TENGAH</v>
      </c>
      <c r="C203" s="2" t="str">
        <f ca="1">IFERROR(__xludf.DUMMYFUNCTION("""COMPUTED_VALUE"""),"Grobogan")</f>
        <v>Grobogan</v>
      </c>
      <c r="D203" s="2">
        <f ca="1">IFERROR(__xludf.DUMMYFUNCTION("""COMPUTED_VALUE"""),2.22)</f>
        <v>2.2200000000000002</v>
      </c>
      <c r="E203" s="2">
        <f ca="1">IFERROR(__xludf.DUMMYFUNCTION("""COMPUTED_VALUE"""),3.54)</f>
        <v>3.54</v>
      </c>
      <c r="F203" s="2">
        <f ca="1">IFERROR(__xludf.DUMMYFUNCTION("""COMPUTED_VALUE"""),4.5)</f>
        <v>4.5</v>
      </c>
      <c r="G203" s="2">
        <f ca="1">IFERROR(__xludf.DUMMYFUNCTION("""COMPUTED_VALUE"""),4.38)</f>
        <v>4.38</v>
      </c>
      <c r="H203" s="2">
        <f ca="1">IFERROR(__xludf.DUMMYFUNCTION("""COMPUTED_VALUE"""),4.4)</f>
        <v>4.4000000000000004</v>
      </c>
      <c r="I203" s="2">
        <f ca="1">IFERROR(__xludf.DUMMYFUNCTION("""COMPUTED_VALUE"""),4.02)</f>
        <v>4.0199999999999996</v>
      </c>
      <c r="J203" s="2">
        <f ca="1">IFERROR(__xludf.DUMMYFUNCTION("""COMPUTED_VALUE"""),3.23)</f>
        <v>3.23</v>
      </c>
      <c r="K203" s="2">
        <f ca="1">IFERROR(__xludf.DUMMYFUNCTION("""COMPUTED_VALUE"""),70.79)</f>
        <v>70.790000000000006</v>
      </c>
      <c r="L203" s="2">
        <f ca="1">IFERROR(__xludf.DUMMYFUNCTION("""COMPUTED_VALUE"""),69.25)</f>
        <v>69.25</v>
      </c>
      <c r="M203" s="2">
        <f ca="1">IFERROR(__xludf.DUMMYFUNCTION("""COMPUTED_VALUE"""),69.77)</f>
        <v>69.77</v>
      </c>
      <c r="N203" s="2">
        <f ca="1">IFERROR(__xludf.DUMMYFUNCTION("""COMPUTED_VALUE"""),72.88)</f>
        <v>72.88</v>
      </c>
      <c r="O203" s="2">
        <f ca="1">IFERROR(__xludf.DUMMYFUNCTION("""COMPUTED_VALUE"""),72.05)</f>
        <v>72.05</v>
      </c>
      <c r="P203" s="2">
        <f ca="1">IFERROR(__xludf.DUMMYFUNCTION("""COMPUTED_VALUE"""),75.81)</f>
        <v>75.81</v>
      </c>
      <c r="Q203" s="2">
        <f ca="1">IFERROR(__xludf.DUMMYFUNCTION("""COMPUTED_VALUE"""),76.56)</f>
        <v>76.56</v>
      </c>
    </row>
    <row r="204" spans="1:17" ht="15.75" customHeight="1" x14ac:dyDescent="0.25">
      <c r="A204" s="2">
        <v>3316</v>
      </c>
      <c r="B204" s="2" t="str">
        <f ca="1">IFERROR(__xludf.DUMMYFUNCTION("""COMPUTED_VALUE"""),"JAWA TENGAH")</f>
        <v>JAWA TENGAH</v>
      </c>
      <c r="C204" s="2" t="str">
        <f ca="1">IFERROR(__xludf.DUMMYFUNCTION("""COMPUTED_VALUE"""),"Blora")</f>
        <v>Blora</v>
      </c>
      <c r="D204" s="2">
        <f ca="1">IFERROR(__xludf.DUMMYFUNCTION("""COMPUTED_VALUE"""),3.3)</f>
        <v>3.3</v>
      </c>
      <c r="E204" s="2">
        <f ca="1">IFERROR(__xludf.DUMMYFUNCTION("""COMPUTED_VALUE"""),3.82)</f>
        <v>3.82</v>
      </c>
      <c r="F204" s="2">
        <f ca="1">IFERROR(__xludf.DUMMYFUNCTION("""COMPUTED_VALUE"""),4.89)</f>
        <v>4.8899999999999997</v>
      </c>
      <c r="G204" s="2">
        <f ca="1">IFERROR(__xludf.DUMMYFUNCTION("""COMPUTED_VALUE"""),3.81)</f>
        <v>3.81</v>
      </c>
      <c r="H204" s="2">
        <f ca="1">IFERROR(__xludf.DUMMYFUNCTION("""COMPUTED_VALUE"""),3.7)</f>
        <v>3.7</v>
      </c>
      <c r="I204" s="2">
        <f ca="1">IFERROR(__xludf.DUMMYFUNCTION("""COMPUTED_VALUE"""),3.1)</f>
        <v>3.1</v>
      </c>
      <c r="J204" s="2">
        <f ca="1">IFERROR(__xludf.DUMMYFUNCTION("""COMPUTED_VALUE"""),3.67)</f>
        <v>3.67</v>
      </c>
      <c r="K204" s="2">
        <f ca="1">IFERROR(__xludf.DUMMYFUNCTION("""COMPUTED_VALUE"""),72.99)</f>
        <v>72.989999999999995</v>
      </c>
      <c r="L204" s="2">
        <f ca="1">IFERROR(__xludf.DUMMYFUNCTION("""COMPUTED_VALUE"""),68.54)</f>
        <v>68.540000000000006</v>
      </c>
      <c r="M204" s="2">
        <f ca="1">IFERROR(__xludf.DUMMYFUNCTION("""COMPUTED_VALUE"""),71.9)</f>
        <v>71.900000000000006</v>
      </c>
      <c r="N204" s="2">
        <f ca="1">IFERROR(__xludf.DUMMYFUNCTION("""COMPUTED_VALUE"""),70.54)</f>
        <v>70.540000000000006</v>
      </c>
      <c r="O204" s="2">
        <f ca="1">IFERROR(__xludf.DUMMYFUNCTION("""COMPUTED_VALUE"""),75.08)</f>
        <v>75.08</v>
      </c>
      <c r="P204" s="2">
        <f ca="1">IFERROR(__xludf.DUMMYFUNCTION("""COMPUTED_VALUE"""),78.02)</f>
        <v>78.02</v>
      </c>
      <c r="Q204" s="2">
        <f ca="1">IFERROR(__xludf.DUMMYFUNCTION("""COMPUTED_VALUE"""),73.51)</f>
        <v>73.510000000000005</v>
      </c>
    </row>
    <row r="205" spans="1:17" ht="15.75" customHeight="1" x14ac:dyDescent="0.25">
      <c r="A205" s="2">
        <v>3317</v>
      </c>
      <c r="B205" s="2" t="str">
        <f ca="1">IFERROR(__xludf.DUMMYFUNCTION("""COMPUTED_VALUE"""),"JAWA TENGAH")</f>
        <v>JAWA TENGAH</v>
      </c>
      <c r="C205" s="2" t="str">
        <f ca="1">IFERROR(__xludf.DUMMYFUNCTION("""COMPUTED_VALUE"""),"Rembang")</f>
        <v>Rembang</v>
      </c>
      <c r="D205" s="2">
        <f ca="1">IFERROR(__xludf.DUMMYFUNCTION("""COMPUTED_VALUE"""),2.83)</f>
        <v>2.83</v>
      </c>
      <c r="E205" s="2">
        <f ca="1">IFERROR(__xludf.DUMMYFUNCTION("""COMPUTED_VALUE"""),3.6)</f>
        <v>3.6</v>
      </c>
      <c r="F205" s="2">
        <f ca="1">IFERROR(__xludf.DUMMYFUNCTION("""COMPUTED_VALUE"""),4.83)</f>
        <v>4.83</v>
      </c>
      <c r="G205" s="2">
        <f ca="1">IFERROR(__xludf.DUMMYFUNCTION("""COMPUTED_VALUE"""),3.67)</f>
        <v>3.67</v>
      </c>
      <c r="H205" s="2">
        <f ca="1">IFERROR(__xludf.DUMMYFUNCTION("""COMPUTED_VALUE"""),1.76)</f>
        <v>1.76</v>
      </c>
      <c r="I205" s="2">
        <f ca="1">IFERROR(__xludf.DUMMYFUNCTION("""COMPUTED_VALUE"""),2.6)</f>
        <v>2.6</v>
      </c>
      <c r="J205" s="2">
        <f ca="1">IFERROR(__xludf.DUMMYFUNCTION("""COMPUTED_VALUE"""),2.84)</f>
        <v>2.84</v>
      </c>
      <c r="K205" s="2">
        <f ca="1">IFERROR(__xludf.DUMMYFUNCTION("""COMPUTED_VALUE"""),67.71)</f>
        <v>67.709999999999994</v>
      </c>
      <c r="L205" s="2">
        <f ca="1">IFERROR(__xludf.DUMMYFUNCTION("""COMPUTED_VALUE"""),66.26)</f>
        <v>66.260000000000005</v>
      </c>
      <c r="M205" s="2">
        <f ca="1">IFERROR(__xludf.DUMMYFUNCTION("""COMPUTED_VALUE"""),65.17)</f>
        <v>65.17</v>
      </c>
      <c r="N205" s="2">
        <f ca="1">IFERROR(__xludf.DUMMYFUNCTION("""COMPUTED_VALUE"""),70.67)</f>
        <v>70.67</v>
      </c>
      <c r="O205" s="2">
        <f ca="1">IFERROR(__xludf.DUMMYFUNCTION("""COMPUTED_VALUE"""),73.98)</f>
        <v>73.98</v>
      </c>
      <c r="P205" s="2">
        <f ca="1">IFERROR(__xludf.DUMMYFUNCTION("""COMPUTED_VALUE"""),72.75)</f>
        <v>72.75</v>
      </c>
      <c r="Q205" s="2">
        <f ca="1">IFERROR(__xludf.DUMMYFUNCTION("""COMPUTED_VALUE"""),74.5)</f>
        <v>74.5</v>
      </c>
    </row>
    <row r="206" spans="1:17" ht="15.75" customHeight="1" x14ac:dyDescent="0.25">
      <c r="A206" s="2">
        <v>3318</v>
      </c>
      <c r="B206" s="2" t="str">
        <f ca="1">IFERROR(__xludf.DUMMYFUNCTION("""COMPUTED_VALUE"""),"JAWA TENGAH")</f>
        <v>JAWA TENGAH</v>
      </c>
      <c r="C206" s="2" t="str">
        <f ca="1">IFERROR(__xludf.DUMMYFUNCTION("""COMPUTED_VALUE"""),"Pati")</f>
        <v>Pati</v>
      </c>
      <c r="D206" s="2">
        <f ca="1">IFERROR(__xludf.DUMMYFUNCTION("""COMPUTED_VALUE"""),3.57)</f>
        <v>3.57</v>
      </c>
      <c r="E206" s="2">
        <f ca="1">IFERROR(__xludf.DUMMYFUNCTION("""COMPUTED_VALUE"""),3.64)</f>
        <v>3.64</v>
      </c>
      <c r="F206" s="2">
        <f ca="1">IFERROR(__xludf.DUMMYFUNCTION("""COMPUTED_VALUE"""),4.74)</f>
        <v>4.74</v>
      </c>
      <c r="G206" s="2">
        <f ca="1">IFERROR(__xludf.DUMMYFUNCTION("""COMPUTED_VALUE"""),4.6)</f>
        <v>4.5999999999999996</v>
      </c>
      <c r="H206" s="2">
        <f ca="1">IFERROR(__xludf.DUMMYFUNCTION("""COMPUTED_VALUE"""),4.45)</f>
        <v>4.45</v>
      </c>
      <c r="I206" s="2">
        <f ca="1">IFERROR(__xludf.DUMMYFUNCTION("""COMPUTED_VALUE"""),4.29)</f>
        <v>4.29</v>
      </c>
      <c r="J206" s="2">
        <f ca="1">IFERROR(__xludf.DUMMYFUNCTION("""COMPUTED_VALUE"""),3.87)</f>
        <v>3.87</v>
      </c>
      <c r="K206" s="2">
        <f ca="1">IFERROR(__xludf.DUMMYFUNCTION("""COMPUTED_VALUE"""),66.78)</f>
        <v>66.78</v>
      </c>
      <c r="L206" s="2">
        <f ca="1">IFERROR(__xludf.DUMMYFUNCTION("""COMPUTED_VALUE"""),66.08)</f>
        <v>66.08</v>
      </c>
      <c r="M206" s="2">
        <f ca="1">IFERROR(__xludf.DUMMYFUNCTION("""COMPUTED_VALUE"""),63.85)</f>
        <v>63.85</v>
      </c>
      <c r="N206" s="2">
        <f ca="1">IFERROR(__xludf.DUMMYFUNCTION("""COMPUTED_VALUE"""),68.99)</f>
        <v>68.989999999999995</v>
      </c>
      <c r="O206" s="2">
        <f ca="1">IFERROR(__xludf.DUMMYFUNCTION("""COMPUTED_VALUE"""),71.52)</f>
        <v>71.52</v>
      </c>
      <c r="P206" s="2">
        <f ca="1">IFERROR(__xludf.DUMMYFUNCTION("""COMPUTED_VALUE"""),73.1)</f>
        <v>73.099999999999994</v>
      </c>
      <c r="Q206" s="2">
        <f ca="1">IFERROR(__xludf.DUMMYFUNCTION("""COMPUTED_VALUE"""),76.75)</f>
        <v>76.75</v>
      </c>
    </row>
    <row r="207" spans="1:17" ht="15.75" customHeight="1" x14ac:dyDescent="0.25">
      <c r="A207" s="2">
        <v>3319</v>
      </c>
      <c r="B207" s="2" t="str">
        <f ca="1">IFERROR(__xludf.DUMMYFUNCTION("""COMPUTED_VALUE"""),"JAWA TENGAH")</f>
        <v>JAWA TENGAH</v>
      </c>
      <c r="C207" s="2" t="str">
        <f ca="1">IFERROR(__xludf.DUMMYFUNCTION("""COMPUTED_VALUE"""),"Kudus")</f>
        <v>Kudus</v>
      </c>
      <c r="D207" s="2">
        <f ca="1">IFERROR(__xludf.DUMMYFUNCTION("""COMPUTED_VALUE"""),3.28)</f>
        <v>3.28</v>
      </c>
      <c r="E207" s="2">
        <f ca="1">IFERROR(__xludf.DUMMYFUNCTION("""COMPUTED_VALUE"""),3.8)</f>
        <v>3.8</v>
      </c>
      <c r="F207" s="2">
        <f ca="1">IFERROR(__xludf.DUMMYFUNCTION("""COMPUTED_VALUE"""),5.53)</f>
        <v>5.53</v>
      </c>
      <c r="G207" s="2">
        <f ca="1">IFERROR(__xludf.DUMMYFUNCTION("""COMPUTED_VALUE"""),3.77)</f>
        <v>3.77</v>
      </c>
      <c r="H207" s="2">
        <f ca="1">IFERROR(__xludf.DUMMYFUNCTION("""COMPUTED_VALUE"""),3.21)</f>
        <v>3.21</v>
      </c>
      <c r="I207" s="2">
        <f ca="1">IFERROR(__xludf.DUMMYFUNCTION("""COMPUTED_VALUE"""),3.25)</f>
        <v>3.25</v>
      </c>
      <c r="J207" s="2">
        <f ca="1">IFERROR(__xludf.DUMMYFUNCTION("""COMPUTED_VALUE"""),3.19)</f>
        <v>3.19</v>
      </c>
      <c r="K207" s="2">
        <f ca="1">IFERROR(__xludf.DUMMYFUNCTION("""COMPUTED_VALUE"""),72.37)</f>
        <v>72.37</v>
      </c>
      <c r="L207" s="2">
        <f ca="1">IFERROR(__xludf.DUMMYFUNCTION("""COMPUTED_VALUE"""),72.05)</f>
        <v>72.05</v>
      </c>
      <c r="M207" s="2">
        <f ca="1">IFERROR(__xludf.DUMMYFUNCTION("""COMPUTED_VALUE"""),74.5)</f>
        <v>74.5</v>
      </c>
      <c r="N207" s="2">
        <f ca="1">IFERROR(__xludf.DUMMYFUNCTION("""COMPUTED_VALUE"""),74.77)</f>
        <v>74.77</v>
      </c>
      <c r="O207" s="2">
        <f ca="1">IFERROR(__xludf.DUMMYFUNCTION("""COMPUTED_VALUE"""),70.99)</f>
        <v>70.989999999999995</v>
      </c>
      <c r="P207" s="2">
        <f ca="1">IFERROR(__xludf.DUMMYFUNCTION("""COMPUTED_VALUE"""),72.19)</f>
        <v>72.19</v>
      </c>
      <c r="Q207" s="2">
        <f ca="1">IFERROR(__xludf.DUMMYFUNCTION("""COMPUTED_VALUE"""),75.53)</f>
        <v>75.53</v>
      </c>
    </row>
    <row r="208" spans="1:17" ht="15.75" customHeight="1" x14ac:dyDescent="0.25">
      <c r="A208" s="2">
        <v>3320</v>
      </c>
      <c r="B208" s="2" t="str">
        <f ca="1">IFERROR(__xludf.DUMMYFUNCTION("""COMPUTED_VALUE"""),"JAWA TENGAH")</f>
        <v>JAWA TENGAH</v>
      </c>
      <c r="C208" s="2" t="str">
        <f ca="1">IFERROR(__xludf.DUMMYFUNCTION("""COMPUTED_VALUE"""),"Jepara")</f>
        <v>Jepara</v>
      </c>
      <c r="D208" s="2">
        <f ca="1">IFERROR(__xludf.DUMMYFUNCTION("""COMPUTED_VALUE"""),3.75)</f>
        <v>3.75</v>
      </c>
      <c r="E208" s="2">
        <f ca="1">IFERROR(__xludf.DUMMYFUNCTION("""COMPUTED_VALUE"""),2.92)</f>
        <v>2.92</v>
      </c>
      <c r="F208" s="2">
        <f ca="1">IFERROR(__xludf.DUMMYFUNCTION("""COMPUTED_VALUE"""),6.7)</f>
        <v>6.7</v>
      </c>
      <c r="G208" s="2">
        <f ca="1">IFERROR(__xludf.DUMMYFUNCTION("""COMPUTED_VALUE"""),4.23)</f>
        <v>4.2300000000000004</v>
      </c>
      <c r="H208" s="2">
        <f ca="1">IFERROR(__xludf.DUMMYFUNCTION("""COMPUTED_VALUE"""),4.1)</f>
        <v>4.0999999999999996</v>
      </c>
      <c r="I208" s="2">
        <f ca="1">IFERROR(__xludf.DUMMYFUNCTION("""COMPUTED_VALUE"""),3.35)</f>
        <v>3.35</v>
      </c>
      <c r="J208" s="2">
        <f ca="1">IFERROR(__xludf.DUMMYFUNCTION("""COMPUTED_VALUE"""),3.34)</f>
        <v>3.34</v>
      </c>
      <c r="K208" s="2">
        <f ca="1">IFERROR(__xludf.DUMMYFUNCTION("""COMPUTED_VALUE"""),69.05)</f>
        <v>69.05</v>
      </c>
      <c r="L208" s="2">
        <f ca="1">IFERROR(__xludf.DUMMYFUNCTION("""COMPUTED_VALUE"""),68.43)</f>
        <v>68.430000000000007</v>
      </c>
      <c r="M208" s="2">
        <f ca="1">IFERROR(__xludf.DUMMYFUNCTION("""COMPUTED_VALUE"""),69.92)</f>
        <v>69.92</v>
      </c>
      <c r="N208" s="2">
        <f ca="1">IFERROR(__xludf.DUMMYFUNCTION("""COMPUTED_VALUE"""),69.55)</f>
        <v>69.55</v>
      </c>
      <c r="O208" s="2">
        <f ca="1">IFERROR(__xludf.DUMMYFUNCTION("""COMPUTED_VALUE"""),69.74)</f>
        <v>69.739999999999995</v>
      </c>
      <c r="P208" s="2">
        <f ca="1">IFERROR(__xludf.DUMMYFUNCTION("""COMPUTED_VALUE"""),71.57)</f>
        <v>71.569999999999993</v>
      </c>
      <c r="Q208" s="2">
        <f ca="1">IFERROR(__xludf.DUMMYFUNCTION("""COMPUTED_VALUE"""),71.94)</f>
        <v>71.94</v>
      </c>
    </row>
    <row r="209" spans="1:17" ht="15.75" customHeight="1" x14ac:dyDescent="0.25">
      <c r="A209" s="2">
        <v>3321</v>
      </c>
      <c r="B209" s="2" t="str">
        <f ca="1">IFERROR(__xludf.DUMMYFUNCTION("""COMPUTED_VALUE"""),"JAWA TENGAH")</f>
        <v>JAWA TENGAH</v>
      </c>
      <c r="C209" s="2" t="str">
        <f ca="1">IFERROR(__xludf.DUMMYFUNCTION("""COMPUTED_VALUE"""),"Demak")</f>
        <v>Demak</v>
      </c>
      <c r="D209" s="2">
        <f ca="1">IFERROR(__xludf.DUMMYFUNCTION("""COMPUTED_VALUE"""),7.03)</f>
        <v>7.03</v>
      </c>
      <c r="E209" s="2">
        <f ca="1">IFERROR(__xludf.DUMMYFUNCTION("""COMPUTED_VALUE"""),5.42)</f>
        <v>5.42</v>
      </c>
      <c r="F209" s="2">
        <f ca="1">IFERROR(__xludf.DUMMYFUNCTION("""COMPUTED_VALUE"""),7.31)</f>
        <v>7.31</v>
      </c>
      <c r="G209" s="2">
        <f ca="1">IFERROR(__xludf.DUMMYFUNCTION("""COMPUTED_VALUE"""),5.28)</f>
        <v>5.28</v>
      </c>
      <c r="H209" s="2">
        <f ca="1">IFERROR(__xludf.DUMMYFUNCTION("""COMPUTED_VALUE"""),6.11)</f>
        <v>6.11</v>
      </c>
      <c r="I209" s="2">
        <f ca="1">IFERROR(__xludf.DUMMYFUNCTION("""COMPUTED_VALUE"""),5.38)</f>
        <v>5.38</v>
      </c>
      <c r="J209" s="2">
        <f ca="1">IFERROR(__xludf.DUMMYFUNCTION("""COMPUTED_VALUE"""),4.75)</f>
        <v>4.75</v>
      </c>
      <c r="K209" s="2">
        <f ca="1">IFERROR(__xludf.DUMMYFUNCTION("""COMPUTED_VALUE"""),70.96)</f>
        <v>70.959999999999994</v>
      </c>
      <c r="L209" s="2">
        <f ca="1">IFERROR(__xludf.DUMMYFUNCTION("""COMPUTED_VALUE"""),67.72)</f>
        <v>67.72</v>
      </c>
      <c r="M209" s="2">
        <f ca="1">IFERROR(__xludf.DUMMYFUNCTION("""COMPUTED_VALUE"""),69.79)</f>
        <v>69.790000000000006</v>
      </c>
      <c r="N209" s="2">
        <f ca="1">IFERROR(__xludf.DUMMYFUNCTION("""COMPUTED_VALUE"""),66.23)</f>
        <v>66.23</v>
      </c>
      <c r="O209" s="2">
        <f ca="1">IFERROR(__xludf.DUMMYFUNCTION("""COMPUTED_VALUE"""),66.97)</f>
        <v>66.97</v>
      </c>
      <c r="P209" s="2">
        <f ca="1">IFERROR(__xludf.DUMMYFUNCTION("""COMPUTED_VALUE"""),70.76)</f>
        <v>70.760000000000005</v>
      </c>
      <c r="Q209" s="2">
        <f ca="1">IFERROR(__xludf.DUMMYFUNCTION("""COMPUTED_VALUE"""),72.36)</f>
        <v>72.36</v>
      </c>
    </row>
    <row r="210" spans="1:17" ht="15.75" customHeight="1" x14ac:dyDescent="0.25">
      <c r="A210" s="2">
        <v>3322</v>
      </c>
      <c r="B210" s="2" t="str">
        <f ca="1">IFERROR(__xludf.DUMMYFUNCTION("""COMPUTED_VALUE"""),"JAWA TENGAH")</f>
        <v>JAWA TENGAH</v>
      </c>
      <c r="C210" s="2" t="str">
        <f ca="1">IFERROR(__xludf.DUMMYFUNCTION("""COMPUTED_VALUE"""),"Semarang")</f>
        <v>Semarang</v>
      </c>
      <c r="D210" s="2">
        <f ca="1">IFERROR(__xludf.DUMMYFUNCTION("""COMPUTED_VALUE"""),2.25)</f>
        <v>2.25</v>
      </c>
      <c r="E210" s="2">
        <f ca="1">IFERROR(__xludf.DUMMYFUNCTION("""COMPUTED_VALUE"""),2.54)</f>
        <v>2.54</v>
      </c>
      <c r="F210" s="2">
        <f ca="1">IFERROR(__xludf.DUMMYFUNCTION("""COMPUTED_VALUE"""),4.57)</f>
        <v>4.57</v>
      </c>
      <c r="G210" s="2">
        <f ca="1">IFERROR(__xludf.DUMMYFUNCTION("""COMPUTED_VALUE"""),5.02)</f>
        <v>5.0199999999999996</v>
      </c>
      <c r="H210" s="2">
        <f ca="1">IFERROR(__xludf.DUMMYFUNCTION("""COMPUTED_VALUE"""),4.81)</f>
        <v>4.8099999999999996</v>
      </c>
      <c r="I210" s="2">
        <f ca="1">IFERROR(__xludf.DUMMYFUNCTION("""COMPUTED_VALUE"""),4.05)</f>
        <v>4.05</v>
      </c>
      <c r="J210" s="2">
        <f ca="1">IFERROR(__xludf.DUMMYFUNCTION("""COMPUTED_VALUE"""),3.73)</f>
        <v>3.73</v>
      </c>
      <c r="K210" s="2">
        <f ca="1">IFERROR(__xludf.DUMMYFUNCTION("""COMPUTED_VALUE"""),72.5)</f>
        <v>72.5</v>
      </c>
      <c r="L210" s="2">
        <f ca="1">IFERROR(__xludf.DUMMYFUNCTION("""COMPUTED_VALUE"""),74.69)</f>
        <v>74.69</v>
      </c>
      <c r="M210" s="2">
        <f ca="1">IFERROR(__xludf.DUMMYFUNCTION("""COMPUTED_VALUE"""),75.07)</f>
        <v>75.069999999999993</v>
      </c>
      <c r="N210" s="2">
        <f ca="1">IFERROR(__xludf.DUMMYFUNCTION("""COMPUTED_VALUE"""),74.1)</f>
        <v>74.099999999999994</v>
      </c>
      <c r="O210" s="2">
        <f ca="1">IFERROR(__xludf.DUMMYFUNCTION("""COMPUTED_VALUE"""),75.42)</f>
        <v>75.42</v>
      </c>
      <c r="P210" s="2">
        <f ca="1">IFERROR(__xludf.DUMMYFUNCTION("""COMPUTED_VALUE"""),76.07)</f>
        <v>76.069999999999993</v>
      </c>
      <c r="Q210" s="2">
        <f ca="1">IFERROR(__xludf.DUMMYFUNCTION("""COMPUTED_VALUE"""),79.29)</f>
        <v>79.290000000000006</v>
      </c>
    </row>
    <row r="211" spans="1:17" ht="15.75" customHeight="1" x14ac:dyDescent="0.25">
      <c r="A211" s="2">
        <v>3323</v>
      </c>
      <c r="B211" s="2" t="str">
        <f ca="1">IFERROR(__xludf.DUMMYFUNCTION("""COMPUTED_VALUE"""),"JAWA TENGAH")</f>
        <v>JAWA TENGAH</v>
      </c>
      <c r="C211" s="2" t="str">
        <f ca="1">IFERROR(__xludf.DUMMYFUNCTION("""COMPUTED_VALUE"""),"Temanggung")</f>
        <v>Temanggung</v>
      </c>
      <c r="D211" s="2">
        <f ca="1">IFERROR(__xludf.DUMMYFUNCTION("""COMPUTED_VALUE"""),3.23)</f>
        <v>3.23</v>
      </c>
      <c r="E211" s="2">
        <f ca="1">IFERROR(__xludf.DUMMYFUNCTION("""COMPUTED_VALUE"""),2.98)</f>
        <v>2.98</v>
      </c>
      <c r="F211" s="2">
        <f ca="1">IFERROR(__xludf.DUMMYFUNCTION("""COMPUTED_VALUE"""),3.85)</f>
        <v>3.85</v>
      </c>
      <c r="G211" s="2">
        <f ca="1">IFERROR(__xludf.DUMMYFUNCTION("""COMPUTED_VALUE"""),2.62)</f>
        <v>2.62</v>
      </c>
      <c r="H211" s="2">
        <f ca="1">IFERROR(__xludf.DUMMYFUNCTION("""COMPUTED_VALUE"""),2.54)</f>
        <v>2.54</v>
      </c>
      <c r="I211" s="2">
        <f ca="1">IFERROR(__xludf.DUMMYFUNCTION("""COMPUTED_VALUE"""),2.32)</f>
        <v>2.3199999999999998</v>
      </c>
      <c r="J211" s="2">
        <f ca="1">IFERROR(__xludf.DUMMYFUNCTION("""COMPUTED_VALUE"""),2.35)</f>
        <v>2.35</v>
      </c>
      <c r="K211" s="2">
        <f ca="1">IFERROR(__xludf.DUMMYFUNCTION("""COMPUTED_VALUE"""),74.11)</f>
        <v>74.11</v>
      </c>
      <c r="L211" s="2">
        <f ca="1">IFERROR(__xludf.DUMMYFUNCTION("""COMPUTED_VALUE"""),76.23)</f>
        <v>76.23</v>
      </c>
      <c r="M211" s="2">
        <f ca="1">IFERROR(__xludf.DUMMYFUNCTION("""COMPUTED_VALUE"""),58.73)</f>
        <v>58.73</v>
      </c>
      <c r="N211" s="2">
        <f ca="1">IFERROR(__xludf.DUMMYFUNCTION("""COMPUTED_VALUE"""),74.01)</f>
        <v>74.010000000000005</v>
      </c>
      <c r="O211" s="2">
        <f ca="1">IFERROR(__xludf.DUMMYFUNCTION("""COMPUTED_VALUE"""),76.14)</f>
        <v>76.14</v>
      </c>
      <c r="P211" s="2">
        <f ca="1">IFERROR(__xludf.DUMMYFUNCTION("""COMPUTED_VALUE"""),75.8)</f>
        <v>75.8</v>
      </c>
      <c r="Q211" s="2">
        <f ca="1">IFERROR(__xludf.DUMMYFUNCTION("""COMPUTED_VALUE"""),78.06)</f>
        <v>78.06</v>
      </c>
    </row>
    <row r="212" spans="1:17" ht="15.75" customHeight="1" x14ac:dyDescent="0.25">
      <c r="A212" s="2">
        <v>3324</v>
      </c>
      <c r="B212" s="2" t="str">
        <f ca="1">IFERROR(__xludf.DUMMYFUNCTION("""COMPUTED_VALUE"""),"JAWA TENGAH")</f>
        <v>JAWA TENGAH</v>
      </c>
      <c r="C212" s="2" t="str">
        <f ca="1">IFERROR(__xludf.DUMMYFUNCTION("""COMPUTED_VALUE"""),"Kendal")</f>
        <v>Kendal</v>
      </c>
      <c r="D212" s="2">
        <f ca="1">IFERROR(__xludf.DUMMYFUNCTION("""COMPUTED_VALUE"""),6.02)</f>
        <v>6.02</v>
      </c>
      <c r="E212" s="2">
        <f ca="1">IFERROR(__xludf.DUMMYFUNCTION("""COMPUTED_VALUE"""),6.26)</f>
        <v>6.26</v>
      </c>
      <c r="F212" s="2">
        <f ca="1">IFERROR(__xludf.DUMMYFUNCTION("""COMPUTED_VALUE"""),7.56)</f>
        <v>7.56</v>
      </c>
      <c r="G212" s="2">
        <f ca="1">IFERROR(__xludf.DUMMYFUNCTION("""COMPUTED_VALUE"""),7.55)</f>
        <v>7.55</v>
      </c>
      <c r="H212" s="2">
        <f ca="1">IFERROR(__xludf.DUMMYFUNCTION("""COMPUTED_VALUE"""),7.34)</f>
        <v>7.34</v>
      </c>
      <c r="I212" s="2">
        <f ca="1">IFERROR(__xludf.DUMMYFUNCTION("""COMPUTED_VALUE"""),5.76)</f>
        <v>5.76</v>
      </c>
      <c r="J212" s="2">
        <f ca="1">IFERROR(__xludf.DUMMYFUNCTION("""COMPUTED_VALUE"""),5.01)</f>
        <v>5.01</v>
      </c>
      <c r="K212" s="2">
        <f ca="1">IFERROR(__xludf.DUMMYFUNCTION("""COMPUTED_VALUE"""),66.34)</f>
        <v>66.34</v>
      </c>
      <c r="L212" s="2">
        <f ca="1">IFERROR(__xludf.DUMMYFUNCTION("""COMPUTED_VALUE"""),67.91)</f>
        <v>67.91</v>
      </c>
      <c r="M212" s="2">
        <f ca="1">IFERROR(__xludf.DUMMYFUNCTION("""COMPUTED_VALUE"""),70.5)</f>
        <v>70.5</v>
      </c>
      <c r="N212" s="2">
        <f ca="1">IFERROR(__xludf.DUMMYFUNCTION("""COMPUTED_VALUE"""),69.93)</f>
        <v>69.930000000000007</v>
      </c>
      <c r="O212" s="2">
        <f ca="1">IFERROR(__xludf.DUMMYFUNCTION("""COMPUTED_VALUE"""),73.44)</f>
        <v>73.44</v>
      </c>
      <c r="P212" s="2">
        <f ca="1">IFERROR(__xludf.DUMMYFUNCTION("""COMPUTED_VALUE"""),76.93)</f>
        <v>76.930000000000007</v>
      </c>
      <c r="Q212" s="2">
        <f ca="1">IFERROR(__xludf.DUMMYFUNCTION("""COMPUTED_VALUE"""),76.85)</f>
        <v>76.849999999999994</v>
      </c>
    </row>
    <row r="213" spans="1:17" ht="15.75" customHeight="1" x14ac:dyDescent="0.25">
      <c r="A213" s="2">
        <v>3325</v>
      </c>
      <c r="B213" s="2" t="str">
        <f ca="1">IFERROR(__xludf.DUMMYFUNCTION("""COMPUTED_VALUE"""),"JAWA TENGAH")</f>
        <v>JAWA TENGAH</v>
      </c>
      <c r="C213" s="2" t="str">
        <f ca="1">IFERROR(__xludf.DUMMYFUNCTION("""COMPUTED_VALUE"""),"Batang")</f>
        <v>Batang</v>
      </c>
      <c r="D213" s="2">
        <f ca="1">IFERROR(__xludf.DUMMYFUNCTION("""COMPUTED_VALUE"""),4.2)</f>
        <v>4.2</v>
      </c>
      <c r="E213" s="2">
        <f ca="1">IFERROR(__xludf.DUMMYFUNCTION("""COMPUTED_VALUE"""),4.11)</f>
        <v>4.1100000000000003</v>
      </c>
      <c r="F213" s="2">
        <f ca="1">IFERROR(__xludf.DUMMYFUNCTION("""COMPUTED_VALUE"""),6.92)</f>
        <v>6.92</v>
      </c>
      <c r="G213" s="2">
        <f ca="1">IFERROR(__xludf.DUMMYFUNCTION("""COMPUTED_VALUE"""),6.59)</f>
        <v>6.59</v>
      </c>
      <c r="H213" s="2">
        <f ca="1">IFERROR(__xludf.DUMMYFUNCTION("""COMPUTED_VALUE"""),6.64)</f>
        <v>6.64</v>
      </c>
      <c r="I213" s="2">
        <f ca="1">IFERROR(__xludf.DUMMYFUNCTION("""COMPUTED_VALUE"""),6.06)</f>
        <v>6.06</v>
      </c>
      <c r="J213" s="2">
        <f ca="1">IFERROR(__xludf.DUMMYFUNCTION("""COMPUTED_VALUE"""),5.67)</f>
        <v>5.67</v>
      </c>
      <c r="K213" s="2">
        <f ca="1">IFERROR(__xludf.DUMMYFUNCTION("""COMPUTED_VALUE"""),70.28)</f>
        <v>70.28</v>
      </c>
      <c r="L213" s="2">
        <f ca="1">IFERROR(__xludf.DUMMYFUNCTION("""COMPUTED_VALUE"""),68.75)</f>
        <v>68.75</v>
      </c>
      <c r="M213" s="2">
        <f ca="1">IFERROR(__xludf.DUMMYFUNCTION("""COMPUTED_VALUE"""),69.78)</f>
        <v>69.78</v>
      </c>
      <c r="N213" s="2">
        <f ca="1">IFERROR(__xludf.DUMMYFUNCTION("""COMPUTED_VALUE"""),71.4)</f>
        <v>71.400000000000006</v>
      </c>
      <c r="O213" s="2">
        <f ca="1">IFERROR(__xludf.DUMMYFUNCTION("""COMPUTED_VALUE"""),74.9)</f>
        <v>74.900000000000006</v>
      </c>
      <c r="P213" s="2">
        <f ca="1">IFERROR(__xludf.DUMMYFUNCTION("""COMPUTED_VALUE"""),76.62)</f>
        <v>76.62</v>
      </c>
      <c r="Q213" s="2">
        <f ca="1">IFERROR(__xludf.DUMMYFUNCTION("""COMPUTED_VALUE"""),77.91)</f>
        <v>77.91</v>
      </c>
    </row>
    <row r="214" spans="1:17" ht="15.75" customHeight="1" x14ac:dyDescent="0.25">
      <c r="A214" s="2">
        <v>3326</v>
      </c>
      <c r="B214" s="2" t="str">
        <f ca="1">IFERROR(__xludf.DUMMYFUNCTION("""COMPUTED_VALUE"""),"JAWA TENGAH")</f>
        <v>JAWA TENGAH</v>
      </c>
      <c r="C214" s="2" t="str">
        <f ca="1">IFERROR(__xludf.DUMMYFUNCTION("""COMPUTED_VALUE"""),"Pekalongan")</f>
        <v>Pekalongan</v>
      </c>
      <c r="D214" s="2">
        <f ca="1">IFERROR(__xludf.DUMMYFUNCTION("""COMPUTED_VALUE"""),4.36)</f>
        <v>4.3600000000000003</v>
      </c>
      <c r="E214" s="2">
        <f ca="1">IFERROR(__xludf.DUMMYFUNCTION("""COMPUTED_VALUE"""),4.35)</f>
        <v>4.3499999999999996</v>
      </c>
      <c r="F214" s="2">
        <f ca="1">IFERROR(__xludf.DUMMYFUNCTION("""COMPUTED_VALUE"""),6.97)</f>
        <v>6.97</v>
      </c>
      <c r="G214" s="2">
        <f ca="1">IFERROR(__xludf.DUMMYFUNCTION("""COMPUTED_VALUE"""),4.28)</f>
        <v>4.28</v>
      </c>
      <c r="H214" s="2">
        <f ca="1">IFERROR(__xludf.DUMMYFUNCTION("""COMPUTED_VALUE"""),3.23)</f>
        <v>3.23</v>
      </c>
      <c r="I214" s="2">
        <f ca="1">IFERROR(__xludf.DUMMYFUNCTION("""COMPUTED_VALUE"""),3.25)</f>
        <v>3.25</v>
      </c>
      <c r="J214" s="2">
        <f ca="1">IFERROR(__xludf.DUMMYFUNCTION("""COMPUTED_VALUE"""),3.3)</f>
        <v>3.3</v>
      </c>
      <c r="K214" s="2">
        <f ca="1">IFERROR(__xludf.DUMMYFUNCTION("""COMPUTED_VALUE"""),70.68)</f>
        <v>70.680000000000007</v>
      </c>
      <c r="L214" s="2">
        <f ca="1">IFERROR(__xludf.DUMMYFUNCTION("""COMPUTED_VALUE"""),71.15)</f>
        <v>71.150000000000006</v>
      </c>
      <c r="M214" s="2">
        <f ca="1">IFERROR(__xludf.DUMMYFUNCTION("""COMPUTED_VALUE"""),71.23)</f>
        <v>71.23</v>
      </c>
      <c r="N214" s="2">
        <f ca="1">IFERROR(__xludf.DUMMYFUNCTION("""COMPUTED_VALUE"""),71.46)</f>
        <v>71.459999999999994</v>
      </c>
      <c r="O214" s="2">
        <f ca="1">IFERROR(__xludf.DUMMYFUNCTION("""COMPUTED_VALUE"""),70.4)</f>
        <v>70.400000000000006</v>
      </c>
      <c r="P214" s="2">
        <f ca="1">IFERROR(__xludf.DUMMYFUNCTION("""COMPUTED_VALUE"""),70.46)</f>
        <v>70.459999999999994</v>
      </c>
      <c r="Q214" s="2">
        <f ca="1">IFERROR(__xludf.DUMMYFUNCTION("""COMPUTED_VALUE"""),76.38)</f>
        <v>76.38</v>
      </c>
    </row>
    <row r="215" spans="1:17" ht="15.75" customHeight="1" x14ac:dyDescent="0.25">
      <c r="A215" s="2">
        <v>3327</v>
      </c>
      <c r="B215" s="2" t="str">
        <f ca="1">IFERROR(__xludf.DUMMYFUNCTION("""COMPUTED_VALUE"""),"JAWA TENGAH")</f>
        <v>JAWA TENGAH</v>
      </c>
      <c r="C215" s="2" t="str">
        <f ca="1">IFERROR(__xludf.DUMMYFUNCTION("""COMPUTED_VALUE"""),"Pemalang")</f>
        <v>Pemalang</v>
      </c>
      <c r="D215" s="2">
        <f ca="1">IFERROR(__xludf.DUMMYFUNCTION("""COMPUTED_VALUE"""),6.17)</f>
        <v>6.17</v>
      </c>
      <c r="E215" s="2">
        <f ca="1">IFERROR(__xludf.DUMMYFUNCTION("""COMPUTED_VALUE"""),6.45)</f>
        <v>6.45</v>
      </c>
      <c r="F215" s="2">
        <f ca="1">IFERROR(__xludf.DUMMYFUNCTION("""COMPUTED_VALUE"""),7.64)</f>
        <v>7.64</v>
      </c>
      <c r="G215" s="2">
        <f ca="1">IFERROR(__xludf.DUMMYFUNCTION("""COMPUTED_VALUE"""),6.71)</f>
        <v>6.71</v>
      </c>
      <c r="H215" s="2">
        <f ca="1">IFERROR(__xludf.DUMMYFUNCTION("""COMPUTED_VALUE"""),6.63)</f>
        <v>6.63</v>
      </c>
      <c r="I215" s="2">
        <f ca="1">IFERROR(__xludf.DUMMYFUNCTION("""COMPUTED_VALUE"""),6.55)</f>
        <v>6.55</v>
      </c>
      <c r="J215" s="2">
        <f ca="1">IFERROR(__xludf.DUMMYFUNCTION("""COMPUTED_VALUE"""),6.63)</f>
        <v>6.63</v>
      </c>
      <c r="K215" s="2">
        <f ca="1">IFERROR(__xludf.DUMMYFUNCTION("""COMPUTED_VALUE"""),65.29)</f>
        <v>65.290000000000006</v>
      </c>
      <c r="L215" s="2">
        <f ca="1">IFERROR(__xludf.DUMMYFUNCTION("""COMPUTED_VALUE"""),66.27)</f>
        <v>66.27</v>
      </c>
      <c r="M215" s="2">
        <f ca="1">IFERROR(__xludf.DUMMYFUNCTION("""COMPUTED_VALUE"""),65.57)</f>
        <v>65.569999999999993</v>
      </c>
      <c r="N215" s="2">
        <f ca="1">IFERROR(__xludf.DUMMYFUNCTION("""COMPUTED_VALUE"""),65.9)</f>
        <v>65.900000000000006</v>
      </c>
      <c r="O215" s="2">
        <f ca="1">IFERROR(__xludf.DUMMYFUNCTION("""COMPUTED_VALUE"""),69.91)</f>
        <v>69.91</v>
      </c>
      <c r="P215" s="2">
        <f ca="1">IFERROR(__xludf.DUMMYFUNCTION("""COMPUTED_VALUE"""),69.58)</f>
        <v>69.58</v>
      </c>
      <c r="Q215" s="2">
        <f ca="1">IFERROR(__xludf.DUMMYFUNCTION("""COMPUTED_VALUE"""),72.24)</f>
        <v>72.239999999999995</v>
      </c>
    </row>
    <row r="216" spans="1:17" ht="15.75" customHeight="1" x14ac:dyDescent="0.25">
      <c r="A216" s="2">
        <v>3328</v>
      </c>
      <c r="B216" s="2" t="str">
        <f ca="1">IFERROR(__xludf.DUMMYFUNCTION("""COMPUTED_VALUE"""),"JAWA TENGAH")</f>
        <v>JAWA TENGAH</v>
      </c>
      <c r="C216" s="2" t="str">
        <f ca="1">IFERROR(__xludf.DUMMYFUNCTION("""COMPUTED_VALUE"""),"Tegal")</f>
        <v>Tegal</v>
      </c>
      <c r="D216" s="2">
        <f ca="1">IFERROR(__xludf.DUMMYFUNCTION("""COMPUTED_VALUE"""),8.24)</f>
        <v>8.24</v>
      </c>
      <c r="E216" s="2">
        <f ca="1">IFERROR(__xludf.DUMMYFUNCTION("""COMPUTED_VALUE"""),8.12)</f>
        <v>8.1199999999999992</v>
      </c>
      <c r="F216" s="2">
        <f ca="1">IFERROR(__xludf.DUMMYFUNCTION("""COMPUTED_VALUE"""),9.82)</f>
        <v>9.82</v>
      </c>
      <c r="G216" s="2">
        <f ca="1">IFERROR(__xludf.DUMMYFUNCTION("""COMPUTED_VALUE"""),9.97)</f>
        <v>9.9700000000000006</v>
      </c>
      <c r="H216" s="2">
        <f ca="1">IFERROR(__xludf.DUMMYFUNCTION("""COMPUTED_VALUE"""),9.64)</f>
        <v>9.64</v>
      </c>
      <c r="I216" s="2">
        <f ca="1">IFERROR(__xludf.DUMMYFUNCTION("""COMPUTED_VALUE"""),8.6)</f>
        <v>8.6</v>
      </c>
      <c r="J216" s="2">
        <f ca="1">IFERROR(__xludf.DUMMYFUNCTION("""COMPUTED_VALUE"""),7.53)</f>
        <v>7.53</v>
      </c>
      <c r="K216" s="2">
        <f ca="1">IFERROR(__xludf.DUMMYFUNCTION("""COMPUTED_VALUE"""),65.41)</f>
        <v>65.41</v>
      </c>
      <c r="L216" s="2">
        <f ca="1">IFERROR(__xludf.DUMMYFUNCTION("""COMPUTED_VALUE"""),66.5)</f>
        <v>66.5</v>
      </c>
      <c r="M216" s="2">
        <f ca="1">IFERROR(__xludf.DUMMYFUNCTION("""COMPUTED_VALUE"""),66.52)</f>
        <v>66.52</v>
      </c>
      <c r="N216" s="2">
        <f ca="1">IFERROR(__xludf.DUMMYFUNCTION("""COMPUTED_VALUE"""),66.24)</f>
        <v>66.239999999999995</v>
      </c>
      <c r="O216" s="2">
        <f ca="1">IFERROR(__xludf.DUMMYFUNCTION("""COMPUTED_VALUE"""),65.54)</f>
        <v>65.540000000000006</v>
      </c>
      <c r="P216" s="2">
        <f ca="1">IFERROR(__xludf.DUMMYFUNCTION("""COMPUTED_VALUE"""),67.61)</f>
        <v>67.61</v>
      </c>
      <c r="Q216" s="2">
        <f ca="1">IFERROR(__xludf.DUMMYFUNCTION("""COMPUTED_VALUE"""),73.49)</f>
        <v>73.489999999999995</v>
      </c>
    </row>
    <row r="217" spans="1:17" ht="15.75" customHeight="1" x14ac:dyDescent="0.25">
      <c r="A217" s="2">
        <v>3329</v>
      </c>
      <c r="B217" s="2" t="str">
        <f ca="1">IFERROR(__xludf.DUMMYFUNCTION("""COMPUTED_VALUE"""),"JAWA TENGAH")</f>
        <v>JAWA TENGAH</v>
      </c>
      <c r="C217" s="2" t="str">
        <f ca="1">IFERROR(__xludf.DUMMYFUNCTION("""COMPUTED_VALUE"""),"Brebes")</f>
        <v>Brebes</v>
      </c>
      <c r="D217" s="2">
        <f ca="1">IFERROR(__xludf.DUMMYFUNCTION("""COMPUTED_VALUE"""),7.2)</f>
        <v>7.2</v>
      </c>
      <c r="E217" s="2">
        <f ca="1">IFERROR(__xludf.DUMMYFUNCTION("""COMPUTED_VALUE"""),7.39)</f>
        <v>7.39</v>
      </c>
      <c r="F217" s="2">
        <f ca="1">IFERROR(__xludf.DUMMYFUNCTION("""COMPUTED_VALUE"""),9.83)</f>
        <v>9.83</v>
      </c>
      <c r="G217" s="2">
        <f ca="1">IFERROR(__xludf.DUMMYFUNCTION("""COMPUTED_VALUE"""),9.78)</f>
        <v>9.7799999999999994</v>
      </c>
      <c r="H217" s="2">
        <f ca="1">IFERROR(__xludf.DUMMYFUNCTION("""COMPUTED_VALUE"""),9.48)</f>
        <v>9.48</v>
      </c>
      <c r="I217" s="2">
        <f ca="1">IFERROR(__xludf.DUMMYFUNCTION("""COMPUTED_VALUE"""),8.98)</f>
        <v>8.98</v>
      </c>
      <c r="J217" s="2">
        <f ca="1">IFERROR(__xludf.DUMMYFUNCTION("""COMPUTED_VALUE"""),8.35)</f>
        <v>8.35</v>
      </c>
      <c r="K217" s="2">
        <f ca="1">IFERROR(__xludf.DUMMYFUNCTION("""COMPUTED_VALUE"""),67.18)</f>
        <v>67.180000000000007</v>
      </c>
      <c r="L217" s="2">
        <f ca="1">IFERROR(__xludf.DUMMYFUNCTION("""COMPUTED_VALUE"""),66.08)</f>
        <v>66.08</v>
      </c>
      <c r="M217" s="2">
        <f ca="1">IFERROR(__xludf.DUMMYFUNCTION("""COMPUTED_VALUE"""),66.65)</f>
        <v>66.650000000000006</v>
      </c>
      <c r="N217" s="2">
        <f ca="1">IFERROR(__xludf.DUMMYFUNCTION("""COMPUTED_VALUE"""),63.97)</f>
        <v>63.97</v>
      </c>
      <c r="O217" s="2">
        <f ca="1">IFERROR(__xludf.DUMMYFUNCTION("""COMPUTED_VALUE"""),66.01)</f>
        <v>66.010000000000005</v>
      </c>
      <c r="P217" s="2">
        <f ca="1">IFERROR(__xludf.DUMMYFUNCTION("""COMPUTED_VALUE"""),66.1)</f>
        <v>66.099999999999994</v>
      </c>
      <c r="Q217" s="2">
        <f ca="1">IFERROR(__xludf.DUMMYFUNCTION("""COMPUTED_VALUE"""),71.92)</f>
        <v>71.92</v>
      </c>
    </row>
    <row r="218" spans="1:17" ht="15.75" customHeight="1" x14ac:dyDescent="0.25">
      <c r="A218" s="2">
        <v>3371</v>
      </c>
      <c r="B218" s="2" t="str">
        <f ca="1">IFERROR(__xludf.DUMMYFUNCTION("""COMPUTED_VALUE"""),"JAWA TENGAH")</f>
        <v>JAWA TENGAH</v>
      </c>
      <c r="C218" s="2" t="str">
        <f ca="1">IFERROR(__xludf.DUMMYFUNCTION("""COMPUTED_VALUE"""),"Kota Magelang")</f>
        <v>Kota Magelang</v>
      </c>
      <c r="D218" s="2">
        <f ca="1">IFERROR(__xludf.DUMMYFUNCTION("""COMPUTED_VALUE"""),4.78)</f>
        <v>4.78</v>
      </c>
      <c r="E218" s="2">
        <f ca="1">IFERROR(__xludf.DUMMYFUNCTION("""COMPUTED_VALUE"""),4.37)</f>
        <v>4.37</v>
      </c>
      <c r="F218" s="2">
        <f ca="1">IFERROR(__xludf.DUMMYFUNCTION("""COMPUTED_VALUE"""),8.59)</f>
        <v>8.59</v>
      </c>
      <c r="G218" s="2">
        <f ca="1">IFERROR(__xludf.DUMMYFUNCTION("""COMPUTED_VALUE"""),8.73)</f>
        <v>8.73</v>
      </c>
      <c r="H218" s="2">
        <f ca="1">IFERROR(__xludf.DUMMYFUNCTION("""COMPUTED_VALUE"""),6.71)</f>
        <v>6.71</v>
      </c>
      <c r="I218" s="2">
        <f ca="1">IFERROR(__xludf.DUMMYFUNCTION("""COMPUTED_VALUE"""),5.25)</f>
        <v>5.25</v>
      </c>
      <c r="J218" s="2">
        <f ca="1">IFERROR(__xludf.DUMMYFUNCTION("""COMPUTED_VALUE"""),4.4)</f>
        <v>4.4000000000000004</v>
      </c>
      <c r="K218" s="2">
        <f ca="1">IFERROR(__xludf.DUMMYFUNCTION("""COMPUTED_VALUE"""),68.89)</f>
        <v>68.89</v>
      </c>
      <c r="L218" s="2">
        <f ca="1">IFERROR(__xludf.DUMMYFUNCTION("""COMPUTED_VALUE"""),64.95)</f>
        <v>64.95</v>
      </c>
      <c r="M218" s="2">
        <f ca="1">IFERROR(__xludf.DUMMYFUNCTION("""COMPUTED_VALUE"""),67.61)</f>
        <v>67.61</v>
      </c>
      <c r="N218" s="2">
        <f ca="1">IFERROR(__xludf.DUMMYFUNCTION("""COMPUTED_VALUE"""),67.07)</f>
        <v>67.069999999999993</v>
      </c>
      <c r="O218" s="2">
        <f ca="1">IFERROR(__xludf.DUMMYFUNCTION("""COMPUTED_VALUE"""),67.56)</f>
        <v>67.56</v>
      </c>
      <c r="P218" s="2">
        <f ca="1">IFERROR(__xludf.DUMMYFUNCTION("""COMPUTED_VALUE"""),69.66)</f>
        <v>69.66</v>
      </c>
      <c r="Q218" s="2">
        <f ca="1">IFERROR(__xludf.DUMMYFUNCTION("""COMPUTED_VALUE"""),67.66)</f>
        <v>67.66</v>
      </c>
    </row>
    <row r="219" spans="1:17" ht="15.75" customHeight="1" x14ac:dyDescent="0.25">
      <c r="A219" s="2">
        <v>3372</v>
      </c>
      <c r="B219" s="2" t="str">
        <f ca="1">IFERROR(__xludf.DUMMYFUNCTION("""COMPUTED_VALUE"""),"JAWA TENGAH")</f>
        <v>JAWA TENGAH</v>
      </c>
      <c r="C219" s="2" t="str">
        <f ca="1">IFERROR(__xludf.DUMMYFUNCTION("""COMPUTED_VALUE"""),"Kota Surakarta")</f>
        <v>Kota Surakarta</v>
      </c>
      <c r="D219" s="2">
        <f ca="1">IFERROR(__xludf.DUMMYFUNCTION("""COMPUTED_VALUE"""),4.35)</f>
        <v>4.3499999999999996</v>
      </c>
      <c r="E219" s="2">
        <f ca="1">IFERROR(__xludf.DUMMYFUNCTION("""COMPUTED_VALUE"""),4.16)</f>
        <v>4.16</v>
      </c>
      <c r="F219" s="2">
        <f ca="1">IFERROR(__xludf.DUMMYFUNCTION("""COMPUTED_VALUE"""),7.92)</f>
        <v>7.92</v>
      </c>
      <c r="G219" s="2">
        <f ca="1">IFERROR(__xludf.DUMMYFUNCTION("""COMPUTED_VALUE"""),7.85)</f>
        <v>7.85</v>
      </c>
      <c r="H219" s="2">
        <f ca="1">IFERROR(__xludf.DUMMYFUNCTION("""COMPUTED_VALUE"""),5.83)</f>
        <v>5.83</v>
      </c>
      <c r="I219" s="2">
        <f ca="1">IFERROR(__xludf.DUMMYFUNCTION("""COMPUTED_VALUE"""),4.58)</f>
        <v>4.58</v>
      </c>
      <c r="J219" s="2">
        <f ca="1">IFERROR(__xludf.DUMMYFUNCTION("""COMPUTED_VALUE"""),4.61)</f>
        <v>4.6100000000000003</v>
      </c>
      <c r="K219" s="2">
        <f ca="1">IFERROR(__xludf.DUMMYFUNCTION("""COMPUTED_VALUE"""),66.01)</f>
        <v>66.010000000000005</v>
      </c>
      <c r="L219" s="2">
        <f ca="1">IFERROR(__xludf.DUMMYFUNCTION("""COMPUTED_VALUE"""),69.27)</f>
        <v>69.27</v>
      </c>
      <c r="M219" s="2">
        <f ca="1">IFERROR(__xludf.DUMMYFUNCTION("""COMPUTED_VALUE"""),68.84)</f>
        <v>68.84</v>
      </c>
      <c r="N219" s="2">
        <f ca="1">IFERROR(__xludf.DUMMYFUNCTION("""COMPUTED_VALUE"""),66.89)</f>
        <v>66.89</v>
      </c>
      <c r="O219" s="2">
        <f ca="1">IFERROR(__xludf.DUMMYFUNCTION("""COMPUTED_VALUE"""),68.15)</f>
        <v>68.150000000000006</v>
      </c>
      <c r="P219" s="2">
        <f ca="1">IFERROR(__xludf.DUMMYFUNCTION("""COMPUTED_VALUE"""),69.18)</f>
        <v>69.180000000000007</v>
      </c>
      <c r="Q219" s="2">
        <f ca="1">IFERROR(__xludf.DUMMYFUNCTION("""COMPUTED_VALUE"""),67.42)</f>
        <v>67.42</v>
      </c>
    </row>
    <row r="220" spans="1:17" ht="15.75" customHeight="1" x14ac:dyDescent="0.25">
      <c r="A220" s="2">
        <v>3373</v>
      </c>
      <c r="B220" s="2" t="str">
        <f ca="1">IFERROR(__xludf.DUMMYFUNCTION("""COMPUTED_VALUE"""),"JAWA TENGAH")</f>
        <v>JAWA TENGAH</v>
      </c>
      <c r="C220" s="2" t="str">
        <f ca="1">IFERROR(__xludf.DUMMYFUNCTION("""COMPUTED_VALUE"""),"Kota Salatiga")</f>
        <v>Kota Salatiga</v>
      </c>
      <c r="D220" s="2">
        <f ca="1">IFERROR(__xludf.DUMMYFUNCTION("""COMPUTED_VALUE"""),4.23)</f>
        <v>4.2300000000000004</v>
      </c>
      <c r="E220" s="2">
        <f ca="1">IFERROR(__xludf.DUMMYFUNCTION("""COMPUTED_VALUE"""),4.33)</f>
        <v>4.33</v>
      </c>
      <c r="F220" s="2">
        <f ca="1">IFERROR(__xludf.DUMMYFUNCTION("""COMPUTED_VALUE"""),7.44)</f>
        <v>7.44</v>
      </c>
      <c r="G220" s="2">
        <f ca="1">IFERROR(__xludf.DUMMYFUNCTION("""COMPUTED_VALUE"""),7.26)</f>
        <v>7.26</v>
      </c>
      <c r="H220" s="2">
        <f ca="1">IFERROR(__xludf.DUMMYFUNCTION("""COMPUTED_VALUE"""),5.58)</f>
        <v>5.58</v>
      </c>
      <c r="I220" s="2">
        <f ca="1">IFERROR(__xludf.DUMMYFUNCTION("""COMPUTED_VALUE"""),4.57)</f>
        <v>4.57</v>
      </c>
      <c r="J220" s="2">
        <f ca="1">IFERROR(__xludf.DUMMYFUNCTION("""COMPUTED_VALUE"""),3.86)</f>
        <v>3.86</v>
      </c>
      <c r="K220" s="2">
        <f ca="1">IFERROR(__xludf.DUMMYFUNCTION("""COMPUTED_VALUE"""),72.15)</f>
        <v>72.150000000000006</v>
      </c>
      <c r="L220" s="2">
        <f ca="1">IFERROR(__xludf.DUMMYFUNCTION("""COMPUTED_VALUE"""),66.96)</f>
        <v>66.959999999999994</v>
      </c>
      <c r="M220" s="2">
        <f ca="1">IFERROR(__xludf.DUMMYFUNCTION("""COMPUTED_VALUE"""),70.23)</f>
        <v>70.23</v>
      </c>
      <c r="N220" s="2">
        <f ca="1">IFERROR(__xludf.DUMMYFUNCTION("""COMPUTED_VALUE"""),70.36)</f>
        <v>70.36</v>
      </c>
      <c r="O220" s="2">
        <f ca="1">IFERROR(__xludf.DUMMYFUNCTION("""COMPUTED_VALUE"""),71)</f>
        <v>71</v>
      </c>
      <c r="P220" s="2">
        <f ca="1">IFERROR(__xludf.DUMMYFUNCTION("""COMPUTED_VALUE"""),72.09)</f>
        <v>72.09</v>
      </c>
      <c r="Q220" s="2">
        <f ca="1">IFERROR(__xludf.DUMMYFUNCTION("""COMPUTED_VALUE"""),70.72)</f>
        <v>70.72</v>
      </c>
    </row>
    <row r="221" spans="1:17" ht="15.75" customHeight="1" x14ac:dyDescent="0.25">
      <c r="A221" s="2">
        <v>3374</v>
      </c>
      <c r="B221" s="2" t="str">
        <f ca="1">IFERROR(__xludf.DUMMYFUNCTION("""COMPUTED_VALUE"""),"JAWA TENGAH")</f>
        <v>JAWA TENGAH</v>
      </c>
      <c r="C221" s="2" t="str">
        <f ca="1">IFERROR(__xludf.DUMMYFUNCTION("""COMPUTED_VALUE"""),"Kota Semarang")</f>
        <v>Kota Semarang</v>
      </c>
      <c r="D221" s="2">
        <f ca="1">IFERROR(__xludf.DUMMYFUNCTION("""COMPUTED_VALUE"""),5.21)</f>
        <v>5.21</v>
      </c>
      <c r="E221" s="2">
        <f ca="1">IFERROR(__xludf.DUMMYFUNCTION("""COMPUTED_VALUE"""),4.5)</f>
        <v>4.5</v>
      </c>
      <c r="F221" s="2">
        <f ca="1">IFERROR(__xludf.DUMMYFUNCTION("""COMPUTED_VALUE"""),9.57)</f>
        <v>9.57</v>
      </c>
      <c r="G221" s="2">
        <f ca="1">IFERROR(__xludf.DUMMYFUNCTION("""COMPUTED_VALUE"""),9.54)</f>
        <v>9.5399999999999991</v>
      </c>
      <c r="H221" s="2">
        <f ca="1">IFERROR(__xludf.DUMMYFUNCTION("""COMPUTED_VALUE"""),7.6)</f>
        <v>7.6</v>
      </c>
      <c r="I221" s="2">
        <f ca="1">IFERROR(__xludf.DUMMYFUNCTION("""COMPUTED_VALUE"""),5.99)</f>
        <v>5.99</v>
      </c>
      <c r="J221" s="2">
        <f ca="1">IFERROR(__xludf.DUMMYFUNCTION("""COMPUTED_VALUE"""),5.82)</f>
        <v>5.82</v>
      </c>
      <c r="K221" s="2">
        <f ca="1">IFERROR(__xludf.DUMMYFUNCTION("""COMPUTED_VALUE"""),65.93)</f>
        <v>65.930000000000007</v>
      </c>
      <c r="L221" s="2">
        <f ca="1">IFERROR(__xludf.DUMMYFUNCTION("""COMPUTED_VALUE"""),66.87)</f>
        <v>66.87</v>
      </c>
      <c r="M221" s="2">
        <f ca="1">IFERROR(__xludf.DUMMYFUNCTION("""COMPUTED_VALUE"""),69.89)</f>
        <v>69.89</v>
      </c>
      <c r="N221" s="2">
        <f ca="1">IFERROR(__xludf.DUMMYFUNCTION("""COMPUTED_VALUE"""),69.41)</f>
        <v>69.41</v>
      </c>
      <c r="O221" s="2">
        <f ca="1">IFERROR(__xludf.DUMMYFUNCTION("""COMPUTED_VALUE"""),70.96)</f>
        <v>70.959999999999994</v>
      </c>
      <c r="P221" s="2">
        <f ca="1">IFERROR(__xludf.DUMMYFUNCTION("""COMPUTED_VALUE"""),69.42)</f>
        <v>69.42</v>
      </c>
      <c r="Q221" s="2">
        <f ca="1">IFERROR(__xludf.DUMMYFUNCTION("""COMPUTED_VALUE"""),69.88)</f>
        <v>69.88</v>
      </c>
    </row>
    <row r="222" spans="1:17" ht="15.75" customHeight="1" x14ac:dyDescent="0.25">
      <c r="A222" s="2">
        <v>3375</v>
      </c>
      <c r="B222" s="2" t="str">
        <f ca="1">IFERROR(__xludf.DUMMYFUNCTION("""COMPUTED_VALUE"""),"JAWA TENGAH")</f>
        <v>JAWA TENGAH</v>
      </c>
      <c r="C222" s="2" t="str">
        <f ca="1">IFERROR(__xludf.DUMMYFUNCTION("""COMPUTED_VALUE"""),"Kota Pekalongan")</f>
        <v>Kota Pekalongan</v>
      </c>
      <c r="D222" s="2">
        <f ca="1">IFERROR(__xludf.DUMMYFUNCTION("""COMPUTED_VALUE"""),6.08)</f>
        <v>6.08</v>
      </c>
      <c r="E222" s="2">
        <f ca="1">IFERROR(__xludf.DUMMYFUNCTION("""COMPUTED_VALUE"""),5.8)</f>
        <v>5.8</v>
      </c>
      <c r="F222" s="2">
        <f ca="1">IFERROR(__xludf.DUMMYFUNCTION("""COMPUTED_VALUE"""),7.02)</f>
        <v>7.02</v>
      </c>
      <c r="G222" s="2">
        <f ca="1">IFERROR(__xludf.DUMMYFUNCTION("""COMPUTED_VALUE"""),6.89)</f>
        <v>6.89</v>
      </c>
      <c r="H222" s="2">
        <f ca="1">IFERROR(__xludf.DUMMYFUNCTION("""COMPUTED_VALUE"""),4.98)</f>
        <v>4.9800000000000004</v>
      </c>
      <c r="I222" s="2">
        <f ca="1">IFERROR(__xludf.DUMMYFUNCTION("""COMPUTED_VALUE"""),5.02)</f>
        <v>5.0199999999999996</v>
      </c>
      <c r="J222" s="2">
        <f ca="1">IFERROR(__xludf.DUMMYFUNCTION("""COMPUTED_VALUE"""),4.91)</f>
        <v>4.91</v>
      </c>
      <c r="K222" s="2">
        <f ca="1">IFERROR(__xludf.DUMMYFUNCTION("""COMPUTED_VALUE"""),70.36)</f>
        <v>70.36</v>
      </c>
      <c r="L222" s="2">
        <f ca="1">IFERROR(__xludf.DUMMYFUNCTION("""COMPUTED_VALUE"""),72.46)</f>
        <v>72.459999999999994</v>
      </c>
      <c r="M222" s="2">
        <f ca="1">IFERROR(__xludf.DUMMYFUNCTION("""COMPUTED_VALUE"""),66.45)</f>
        <v>66.45</v>
      </c>
      <c r="N222" s="2">
        <f ca="1">IFERROR(__xludf.DUMMYFUNCTION("""COMPUTED_VALUE"""),75.77)</f>
        <v>75.77</v>
      </c>
      <c r="O222" s="2">
        <f ca="1">IFERROR(__xludf.DUMMYFUNCTION("""COMPUTED_VALUE"""),70.35)</f>
        <v>70.349999999999994</v>
      </c>
      <c r="P222" s="2">
        <f ca="1">IFERROR(__xludf.DUMMYFUNCTION("""COMPUTED_VALUE"""),73.95)</f>
        <v>73.95</v>
      </c>
      <c r="Q222" s="2">
        <f ca="1">IFERROR(__xludf.DUMMYFUNCTION("""COMPUTED_VALUE"""),76.06)</f>
        <v>76.06</v>
      </c>
    </row>
    <row r="223" spans="1:17" ht="15.75" customHeight="1" x14ac:dyDescent="0.25">
      <c r="A223" s="2">
        <v>3376</v>
      </c>
      <c r="B223" s="2" t="str">
        <f ca="1">IFERROR(__xludf.DUMMYFUNCTION("""COMPUTED_VALUE"""),"JAWA TENGAH")</f>
        <v>JAWA TENGAH</v>
      </c>
      <c r="C223" s="2" t="str">
        <f ca="1">IFERROR(__xludf.DUMMYFUNCTION("""COMPUTED_VALUE"""),"Kota Tegal")</f>
        <v>Kota Tegal</v>
      </c>
      <c r="D223" s="2">
        <f ca="1">IFERROR(__xludf.DUMMYFUNCTION("""COMPUTED_VALUE"""),7.81)</f>
        <v>7.81</v>
      </c>
      <c r="E223" s="2">
        <f ca="1">IFERROR(__xludf.DUMMYFUNCTION("""COMPUTED_VALUE"""),8.08)</f>
        <v>8.08</v>
      </c>
      <c r="F223" s="2">
        <f ca="1">IFERROR(__xludf.DUMMYFUNCTION("""COMPUTED_VALUE"""),8.4)</f>
        <v>8.4</v>
      </c>
      <c r="G223" s="2">
        <f ca="1">IFERROR(__xludf.DUMMYFUNCTION("""COMPUTED_VALUE"""),8.25)</f>
        <v>8.25</v>
      </c>
      <c r="H223" s="2">
        <f ca="1">IFERROR(__xludf.DUMMYFUNCTION("""COMPUTED_VALUE"""),6.68)</f>
        <v>6.68</v>
      </c>
      <c r="I223" s="2">
        <f ca="1">IFERROR(__xludf.DUMMYFUNCTION("""COMPUTED_VALUE"""),6.05)</f>
        <v>6.05</v>
      </c>
      <c r="J223" s="2">
        <f ca="1">IFERROR(__xludf.DUMMYFUNCTION("""COMPUTED_VALUE"""),5.88)</f>
        <v>5.88</v>
      </c>
      <c r="K223" s="2">
        <f ca="1">IFERROR(__xludf.DUMMYFUNCTION("""COMPUTED_VALUE"""),65.54)</f>
        <v>65.540000000000006</v>
      </c>
      <c r="L223" s="2">
        <f ca="1">IFERROR(__xludf.DUMMYFUNCTION("""COMPUTED_VALUE"""),69.61)</f>
        <v>69.61</v>
      </c>
      <c r="M223" s="2">
        <f ca="1">IFERROR(__xludf.DUMMYFUNCTION("""COMPUTED_VALUE"""),64.57)</f>
        <v>64.569999999999993</v>
      </c>
      <c r="N223" s="2">
        <f ca="1">IFERROR(__xludf.DUMMYFUNCTION("""COMPUTED_VALUE"""),68.25)</f>
        <v>68.25</v>
      </c>
      <c r="O223" s="2">
        <f ca="1">IFERROR(__xludf.DUMMYFUNCTION("""COMPUTED_VALUE"""),68.6)</f>
        <v>68.599999999999994</v>
      </c>
      <c r="P223" s="2">
        <f ca="1">IFERROR(__xludf.DUMMYFUNCTION("""COMPUTED_VALUE"""),66.64)</f>
        <v>66.64</v>
      </c>
      <c r="Q223" s="2">
        <f ca="1">IFERROR(__xludf.DUMMYFUNCTION("""COMPUTED_VALUE"""),69.61)</f>
        <v>69.61</v>
      </c>
    </row>
    <row r="224" spans="1:17" ht="15.75" customHeight="1" x14ac:dyDescent="0.25">
      <c r="A224" s="2">
        <v>3401</v>
      </c>
      <c r="B224" s="2" t="str">
        <f ca="1">IFERROR(__xludf.DUMMYFUNCTION("""COMPUTED_VALUE"""),"DI YOGYAKARTA")</f>
        <v>DI YOGYAKARTA</v>
      </c>
      <c r="C224" s="2" t="str">
        <f ca="1">IFERROR(__xludf.DUMMYFUNCTION("""COMPUTED_VALUE"""),"Kulonprogo")</f>
        <v>Kulonprogo</v>
      </c>
      <c r="D224" s="2">
        <f ca="1">IFERROR(__xludf.DUMMYFUNCTION("""COMPUTED_VALUE"""),1.49)</f>
        <v>1.49</v>
      </c>
      <c r="E224" s="2">
        <f ca="1">IFERROR(__xludf.DUMMYFUNCTION("""COMPUTED_VALUE"""),1.8)</f>
        <v>1.8</v>
      </c>
      <c r="F224" s="2">
        <f ca="1">IFERROR(__xludf.DUMMYFUNCTION("""COMPUTED_VALUE"""),3.71)</f>
        <v>3.71</v>
      </c>
      <c r="G224" s="2">
        <f ca="1">IFERROR(__xludf.DUMMYFUNCTION("""COMPUTED_VALUE"""),3.69)</f>
        <v>3.69</v>
      </c>
      <c r="H224" s="2">
        <f ca="1">IFERROR(__xludf.DUMMYFUNCTION("""COMPUTED_VALUE"""),2.8)</f>
        <v>2.8</v>
      </c>
      <c r="I224" s="2">
        <f ca="1">IFERROR(__xludf.DUMMYFUNCTION("""COMPUTED_VALUE"""),2.4)</f>
        <v>2.4</v>
      </c>
      <c r="J224" s="2">
        <f ca="1">IFERROR(__xludf.DUMMYFUNCTION("""COMPUTED_VALUE"""),2.01)</f>
        <v>2.0099999999999998</v>
      </c>
      <c r="K224" s="2">
        <f ca="1">IFERROR(__xludf.DUMMYFUNCTION("""COMPUTED_VALUE"""),76.36)</f>
        <v>76.36</v>
      </c>
      <c r="L224" s="2">
        <f ca="1">IFERROR(__xludf.DUMMYFUNCTION("""COMPUTED_VALUE"""),76.54)</f>
        <v>76.540000000000006</v>
      </c>
      <c r="M224" s="2">
        <f ca="1">IFERROR(__xludf.DUMMYFUNCTION("""COMPUTED_VALUE"""),77.88)</f>
        <v>77.88</v>
      </c>
      <c r="N224" s="2">
        <f ca="1">IFERROR(__xludf.DUMMYFUNCTION("""COMPUTED_VALUE"""),76.72)</f>
        <v>76.72</v>
      </c>
      <c r="O224" s="2">
        <f ca="1">IFERROR(__xludf.DUMMYFUNCTION("""COMPUTED_VALUE"""),78.83)</f>
        <v>78.83</v>
      </c>
      <c r="P224" s="2">
        <f ca="1">IFERROR(__xludf.DUMMYFUNCTION("""COMPUTED_VALUE"""),75.75)</f>
        <v>75.75</v>
      </c>
      <c r="Q224" s="2">
        <f ca="1">IFERROR(__xludf.DUMMYFUNCTION("""COMPUTED_VALUE"""),78.57)</f>
        <v>78.569999999999993</v>
      </c>
    </row>
    <row r="225" spans="1:17" ht="15.75" customHeight="1" x14ac:dyDescent="0.25">
      <c r="A225" s="2">
        <v>3402</v>
      </c>
      <c r="B225" s="2" t="str">
        <f ca="1">IFERROR(__xludf.DUMMYFUNCTION("""COMPUTED_VALUE"""),"DI YOGYAKARTA")</f>
        <v>DI YOGYAKARTA</v>
      </c>
      <c r="C225" s="2" t="str">
        <f ca="1">IFERROR(__xludf.DUMMYFUNCTION("""COMPUTED_VALUE"""),"Bantul")</f>
        <v>Bantul</v>
      </c>
      <c r="D225" s="2">
        <f ca="1">IFERROR(__xludf.DUMMYFUNCTION("""COMPUTED_VALUE"""),2.72)</f>
        <v>2.72</v>
      </c>
      <c r="E225" s="2">
        <f ca="1">IFERROR(__xludf.DUMMYFUNCTION("""COMPUTED_VALUE"""),3.06)</f>
        <v>3.06</v>
      </c>
      <c r="F225" s="2">
        <f ca="1">IFERROR(__xludf.DUMMYFUNCTION("""COMPUTED_VALUE"""),4.06)</f>
        <v>4.0599999999999996</v>
      </c>
      <c r="G225" s="2">
        <f ca="1">IFERROR(__xludf.DUMMYFUNCTION("""COMPUTED_VALUE"""),4.04)</f>
        <v>4.04</v>
      </c>
      <c r="H225" s="2">
        <f ca="1">IFERROR(__xludf.DUMMYFUNCTION("""COMPUTED_VALUE"""),3.97)</f>
        <v>3.97</v>
      </c>
      <c r="I225" s="2">
        <f ca="1">IFERROR(__xludf.DUMMYFUNCTION("""COMPUTED_VALUE"""),3.78)</f>
        <v>3.78</v>
      </c>
      <c r="J225" s="2">
        <f ca="1">IFERROR(__xludf.DUMMYFUNCTION("""COMPUTED_VALUE"""),3.62)</f>
        <v>3.62</v>
      </c>
      <c r="K225" s="2">
        <f ca="1">IFERROR(__xludf.DUMMYFUNCTION("""COMPUTED_VALUE"""),73.66)</f>
        <v>73.66</v>
      </c>
      <c r="L225" s="2">
        <f ca="1">IFERROR(__xludf.DUMMYFUNCTION("""COMPUTED_VALUE"""),73.01)</f>
        <v>73.010000000000005</v>
      </c>
      <c r="M225" s="2">
        <f ca="1">IFERROR(__xludf.DUMMYFUNCTION("""COMPUTED_VALUE"""),74.45)</f>
        <v>74.45</v>
      </c>
      <c r="N225" s="2">
        <f ca="1">IFERROR(__xludf.DUMMYFUNCTION("""COMPUTED_VALUE"""),71.64)</f>
        <v>71.64</v>
      </c>
      <c r="O225" s="2">
        <f ca="1">IFERROR(__xludf.DUMMYFUNCTION("""COMPUTED_VALUE"""),74.39)</f>
        <v>74.39</v>
      </c>
      <c r="P225" s="2">
        <f ca="1">IFERROR(__xludf.DUMMYFUNCTION("""COMPUTED_VALUE"""),75.06)</f>
        <v>75.06</v>
      </c>
      <c r="Q225" s="2">
        <f ca="1">IFERROR(__xludf.DUMMYFUNCTION("""COMPUTED_VALUE"""),74.87)</f>
        <v>74.87</v>
      </c>
    </row>
    <row r="226" spans="1:17" ht="15.75" customHeight="1" x14ac:dyDescent="0.25">
      <c r="A226" s="2">
        <v>3403</v>
      </c>
      <c r="B226" s="2" t="str">
        <f ca="1">IFERROR(__xludf.DUMMYFUNCTION("""COMPUTED_VALUE"""),"DI YOGYAKARTA")</f>
        <v>DI YOGYAKARTA</v>
      </c>
      <c r="C226" s="2" t="str">
        <f ca="1">IFERROR(__xludf.DUMMYFUNCTION("""COMPUTED_VALUE"""),"Gunungkidul")</f>
        <v>Gunungkidul</v>
      </c>
      <c r="D226" s="2">
        <f ca="1">IFERROR(__xludf.DUMMYFUNCTION("""COMPUTED_VALUE"""),2.07)</f>
        <v>2.0699999999999998</v>
      </c>
      <c r="E226" s="2">
        <f ca="1">IFERROR(__xludf.DUMMYFUNCTION("""COMPUTED_VALUE"""),1.92)</f>
        <v>1.92</v>
      </c>
      <c r="F226" s="2">
        <f ca="1">IFERROR(__xludf.DUMMYFUNCTION("""COMPUTED_VALUE"""),2.16)</f>
        <v>2.16</v>
      </c>
      <c r="G226" s="3">
        <f ca="1">IFERROR(__xludf.DUMMYFUNCTION("""COMPUTED_VALUE"""),2.2)</f>
        <v>2.2000000000000002</v>
      </c>
      <c r="H226" s="2">
        <f ca="1">IFERROR(__xludf.DUMMYFUNCTION("""COMPUTED_VALUE"""),2.08)</f>
        <v>2.08</v>
      </c>
      <c r="I226" s="2">
        <f ca="1">IFERROR(__xludf.DUMMYFUNCTION("""COMPUTED_VALUE"""),2.09)</f>
        <v>2.09</v>
      </c>
      <c r="J226" s="2">
        <f ca="1">IFERROR(__xludf.DUMMYFUNCTION("""COMPUTED_VALUE"""),2.16)</f>
        <v>2.16</v>
      </c>
      <c r="K226" s="2">
        <f ca="1">IFERROR(__xludf.DUMMYFUNCTION("""COMPUTED_VALUE"""),76.63)</f>
        <v>76.63</v>
      </c>
      <c r="L226" s="2">
        <f ca="1">IFERROR(__xludf.DUMMYFUNCTION("""COMPUTED_VALUE"""),76.09)</f>
        <v>76.09</v>
      </c>
      <c r="M226" s="2">
        <f ca="1">IFERROR(__xludf.DUMMYFUNCTION("""COMPUTED_VALUE"""),65.3)</f>
        <v>65.3</v>
      </c>
      <c r="N226" s="2">
        <f ca="1">IFERROR(__xludf.DUMMYFUNCTION("""COMPUTED_VALUE"""),75.99)</f>
        <v>75.989999999999995</v>
      </c>
      <c r="O226" s="2">
        <f ca="1">IFERROR(__xludf.DUMMYFUNCTION("""COMPUTED_VALUE"""),74.07)</f>
        <v>74.069999999999993</v>
      </c>
      <c r="P226" s="2">
        <f ca="1">IFERROR(__xludf.DUMMYFUNCTION("""COMPUTED_VALUE"""),76.66)</f>
        <v>76.66</v>
      </c>
      <c r="Q226" s="2">
        <f ca="1">IFERROR(__xludf.DUMMYFUNCTION("""COMPUTED_VALUE"""),76.87)</f>
        <v>76.87</v>
      </c>
    </row>
    <row r="227" spans="1:17" ht="15.75" customHeight="1" x14ac:dyDescent="0.25">
      <c r="A227" s="2">
        <v>3404</v>
      </c>
      <c r="B227" s="2" t="str">
        <f ca="1">IFERROR(__xludf.DUMMYFUNCTION("""COMPUTED_VALUE"""),"DI YOGYAKARTA")</f>
        <v>DI YOGYAKARTA</v>
      </c>
      <c r="C227" s="2" t="str">
        <f ca="1">IFERROR(__xludf.DUMMYFUNCTION("""COMPUTED_VALUE"""),"Sleman")</f>
        <v>Sleman</v>
      </c>
      <c r="D227" s="2">
        <f ca="1">IFERROR(__xludf.DUMMYFUNCTION("""COMPUTED_VALUE"""),4.4)</f>
        <v>4.4000000000000004</v>
      </c>
      <c r="E227" s="2">
        <f ca="1">IFERROR(__xludf.DUMMYFUNCTION("""COMPUTED_VALUE"""),3.93)</f>
        <v>3.93</v>
      </c>
      <c r="F227" s="2">
        <f ca="1">IFERROR(__xludf.DUMMYFUNCTION("""COMPUTED_VALUE"""),5.09)</f>
        <v>5.09</v>
      </c>
      <c r="G227" s="2">
        <f ca="1">IFERROR(__xludf.DUMMYFUNCTION("""COMPUTED_VALUE"""),5.17)</f>
        <v>5.17</v>
      </c>
      <c r="H227" s="2">
        <f ca="1">IFERROR(__xludf.DUMMYFUNCTION("""COMPUTED_VALUE"""),4.78)</f>
        <v>4.78</v>
      </c>
      <c r="I227" s="2">
        <f ca="1">IFERROR(__xludf.DUMMYFUNCTION("""COMPUTED_VALUE"""),4.47)</f>
        <v>4.47</v>
      </c>
      <c r="J227" s="2">
        <f ca="1">IFERROR(__xludf.DUMMYFUNCTION("""COMPUTED_VALUE"""),4.13)</f>
        <v>4.13</v>
      </c>
      <c r="K227" s="2">
        <f ca="1">IFERROR(__xludf.DUMMYFUNCTION("""COMPUTED_VALUE"""),70.94)</f>
        <v>70.94</v>
      </c>
      <c r="L227" s="2">
        <f ca="1">IFERROR(__xludf.DUMMYFUNCTION("""COMPUTED_VALUE"""),70.27)</f>
        <v>70.27</v>
      </c>
      <c r="M227" s="2">
        <f ca="1">IFERROR(__xludf.DUMMYFUNCTION("""COMPUTED_VALUE"""),70.51)</f>
        <v>70.510000000000005</v>
      </c>
      <c r="N227" s="2">
        <f ca="1">IFERROR(__xludf.DUMMYFUNCTION("""COMPUTED_VALUE"""),73.05)</f>
        <v>73.05</v>
      </c>
      <c r="O227" s="2">
        <f ca="1">IFERROR(__xludf.DUMMYFUNCTION("""COMPUTED_VALUE"""),68.12)</f>
        <v>68.12</v>
      </c>
      <c r="P227" s="2">
        <f ca="1">IFERROR(__xludf.DUMMYFUNCTION("""COMPUTED_VALUE"""),71.18)</f>
        <v>71.180000000000007</v>
      </c>
      <c r="Q227" s="2">
        <f ca="1">IFERROR(__xludf.DUMMYFUNCTION("""COMPUTED_VALUE"""),73.27)</f>
        <v>73.27</v>
      </c>
    </row>
    <row r="228" spans="1:17" ht="15.75" customHeight="1" x14ac:dyDescent="0.25">
      <c r="A228" s="2">
        <v>3471</v>
      </c>
      <c r="B228" s="2" t="str">
        <f ca="1">IFERROR(__xludf.DUMMYFUNCTION("""COMPUTED_VALUE"""),"DI YOGYAKARTA")</f>
        <v>DI YOGYAKARTA</v>
      </c>
      <c r="C228" s="2" t="str">
        <f ca="1">IFERROR(__xludf.DUMMYFUNCTION("""COMPUTED_VALUE"""),"Kota Yogyakarta")</f>
        <v>Kota Yogyakarta</v>
      </c>
      <c r="D228" s="2">
        <f ca="1">IFERROR(__xludf.DUMMYFUNCTION("""COMPUTED_VALUE"""),6.22)</f>
        <v>6.22</v>
      </c>
      <c r="E228" s="2">
        <f ca="1">IFERROR(__xludf.DUMMYFUNCTION("""COMPUTED_VALUE"""),4.8)</f>
        <v>4.8</v>
      </c>
      <c r="F228" s="2">
        <f ca="1">IFERROR(__xludf.DUMMYFUNCTION("""COMPUTED_VALUE"""),9.16)</f>
        <v>9.16</v>
      </c>
      <c r="G228" s="2">
        <f ca="1">IFERROR(__xludf.DUMMYFUNCTION("""COMPUTED_VALUE"""),9.13)</f>
        <v>9.1300000000000008</v>
      </c>
      <c r="H228" s="2">
        <f ca="1">IFERROR(__xludf.DUMMYFUNCTION("""COMPUTED_VALUE"""),7.18)</f>
        <v>7.18</v>
      </c>
      <c r="I228" s="2">
        <f ca="1">IFERROR(__xludf.DUMMYFUNCTION("""COMPUTED_VALUE"""),6.07)</f>
        <v>6.07</v>
      </c>
      <c r="J228" s="2">
        <f ca="1">IFERROR(__xludf.DUMMYFUNCTION("""COMPUTED_VALUE"""),5.8)</f>
        <v>5.8</v>
      </c>
      <c r="K228" s="2">
        <f ca="1">IFERROR(__xludf.DUMMYFUNCTION("""COMPUTED_VALUE"""),68.89)</f>
        <v>68.89</v>
      </c>
      <c r="L228" s="2">
        <f ca="1">IFERROR(__xludf.DUMMYFUNCTION("""COMPUTED_VALUE"""),69.48)</f>
        <v>69.48</v>
      </c>
      <c r="M228" s="2">
        <f ca="1">IFERROR(__xludf.DUMMYFUNCTION("""COMPUTED_VALUE"""),68.62)</f>
        <v>68.62</v>
      </c>
      <c r="N228" s="2">
        <f ca="1">IFERROR(__xludf.DUMMYFUNCTION("""COMPUTED_VALUE"""),71.86)</f>
        <v>71.86</v>
      </c>
      <c r="O228" s="2">
        <f ca="1">IFERROR(__xludf.DUMMYFUNCTION("""COMPUTED_VALUE"""),72.48)</f>
        <v>72.48</v>
      </c>
      <c r="P228" s="2">
        <f ca="1">IFERROR(__xludf.DUMMYFUNCTION("""COMPUTED_VALUE"""),73.2)</f>
        <v>73.2</v>
      </c>
      <c r="Q228" s="2">
        <f ca="1">IFERROR(__xludf.DUMMYFUNCTION("""COMPUTED_VALUE"""),70.56)</f>
        <v>70.56</v>
      </c>
    </row>
    <row r="229" spans="1:17" ht="15.75" customHeight="1" x14ac:dyDescent="0.25">
      <c r="A229" s="2">
        <v>3501</v>
      </c>
      <c r="B229" s="2" t="str">
        <f ca="1">IFERROR(__xludf.DUMMYFUNCTION("""COMPUTED_VALUE"""),"JAWA TIMUR")</f>
        <v>JAWA TIMUR</v>
      </c>
      <c r="C229" s="2" t="str">
        <f ca="1">IFERROR(__xludf.DUMMYFUNCTION("""COMPUTED_VALUE"""),"Pacitan")</f>
        <v>Pacitan</v>
      </c>
      <c r="D229" s="2">
        <f ca="1">IFERROR(__xludf.DUMMYFUNCTION("""COMPUTED_VALUE"""),1.39)</f>
        <v>1.39</v>
      </c>
      <c r="E229" s="2">
        <f ca="1">IFERROR(__xludf.DUMMYFUNCTION("""COMPUTED_VALUE"""),0.91)</f>
        <v>0.91</v>
      </c>
      <c r="F229" s="2">
        <f ca="1">IFERROR(__xludf.DUMMYFUNCTION("""COMPUTED_VALUE"""),2.28)</f>
        <v>2.2799999999999998</v>
      </c>
      <c r="G229" s="2">
        <f ca="1">IFERROR(__xludf.DUMMYFUNCTION("""COMPUTED_VALUE"""),2.04)</f>
        <v>2.04</v>
      </c>
      <c r="H229" s="2">
        <f ca="1">IFERROR(__xludf.DUMMYFUNCTION("""COMPUTED_VALUE"""),3.65)</f>
        <v>3.65</v>
      </c>
      <c r="I229" s="2">
        <f ca="1">IFERROR(__xludf.DUMMYFUNCTION("""COMPUTED_VALUE"""),1.83)</f>
        <v>1.83</v>
      </c>
      <c r="J229" s="2">
        <f ca="1">IFERROR(__xludf.DUMMYFUNCTION("""COMPUTED_VALUE"""),1.56)</f>
        <v>1.56</v>
      </c>
      <c r="K229" s="2">
        <f ca="1">IFERROR(__xludf.DUMMYFUNCTION("""COMPUTED_VALUE"""),79.48)</f>
        <v>79.48</v>
      </c>
      <c r="L229" s="2">
        <f ca="1">IFERROR(__xludf.DUMMYFUNCTION("""COMPUTED_VALUE"""),79.62)</f>
        <v>79.62</v>
      </c>
      <c r="M229" s="2">
        <f ca="1">IFERROR(__xludf.DUMMYFUNCTION("""COMPUTED_VALUE"""),80.36)</f>
        <v>80.36</v>
      </c>
      <c r="N229" s="2">
        <f ca="1">IFERROR(__xludf.DUMMYFUNCTION("""COMPUTED_VALUE"""),80.57)</f>
        <v>80.569999999999993</v>
      </c>
      <c r="O229" s="2">
        <f ca="1">IFERROR(__xludf.DUMMYFUNCTION("""COMPUTED_VALUE"""),82.99)</f>
        <v>82.99</v>
      </c>
      <c r="P229" s="2">
        <f ca="1">IFERROR(__xludf.DUMMYFUNCTION("""COMPUTED_VALUE"""),81.64)</f>
        <v>81.64</v>
      </c>
      <c r="Q229" s="2">
        <f ca="1">IFERROR(__xludf.DUMMYFUNCTION("""COMPUTED_VALUE"""),86.62)</f>
        <v>86.62</v>
      </c>
    </row>
    <row r="230" spans="1:17" ht="15.75" customHeight="1" x14ac:dyDescent="0.25">
      <c r="A230" s="2">
        <v>3502</v>
      </c>
      <c r="B230" s="2" t="str">
        <f ca="1">IFERROR(__xludf.DUMMYFUNCTION("""COMPUTED_VALUE"""),"JAWA TIMUR")</f>
        <v>JAWA TIMUR</v>
      </c>
      <c r="C230" s="2" t="str">
        <f ca="1">IFERROR(__xludf.DUMMYFUNCTION("""COMPUTED_VALUE"""),"Ponorogo")</f>
        <v>Ponorogo</v>
      </c>
      <c r="D230" s="2">
        <f ca="1">IFERROR(__xludf.DUMMYFUNCTION("""COMPUTED_VALUE"""),3.77)</f>
        <v>3.77</v>
      </c>
      <c r="E230" s="2">
        <f ca="1">IFERROR(__xludf.DUMMYFUNCTION("""COMPUTED_VALUE"""),3.5)</f>
        <v>3.5</v>
      </c>
      <c r="F230" s="2">
        <f ca="1">IFERROR(__xludf.DUMMYFUNCTION("""COMPUTED_VALUE"""),4.45)</f>
        <v>4.45</v>
      </c>
      <c r="G230" s="2">
        <f ca="1">IFERROR(__xludf.DUMMYFUNCTION("""COMPUTED_VALUE"""),4.38)</f>
        <v>4.38</v>
      </c>
      <c r="H230" s="2">
        <f ca="1">IFERROR(__xludf.DUMMYFUNCTION("""COMPUTED_VALUE"""),5.51)</f>
        <v>5.51</v>
      </c>
      <c r="I230" s="2">
        <f ca="1">IFERROR(__xludf.DUMMYFUNCTION("""COMPUTED_VALUE"""),4.66)</f>
        <v>4.66</v>
      </c>
      <c r="J230" s="2">
        <f ca="1">IFERROR(__xludf.DUMMYFUNCTION("""COMPUTED_VALUE"""),4.19)</f>
        <v>4.1900000000000004</v>
      </c>
      <c r="K230" s="2">
        <f ca="1">IFERROR(__xludf.DUMMYFUNCTION("""COMPUTED_VALUE"""),72.21)</f>
        <v>72.209999999999994</v>
      </c>
      <c r="L230" s="2">
        <f ca="1">IFERROR(__xludf.DUMMYFUNCTION("""COMPUTED_VALUE"""),71.15)</f>
        <v>71.150000000000006</v>
      </c>
      <c r="M230" s="2">
        <f ca="1">IFERROR(__xludf.DUMMYFUNCTION("""COMPUTED_VALUE"""),71.51)</f>
        <v>71.510000000000005</v>
      </c>
      <c r="N230" s="2">
        <f ca="1">IFERROR(__xludf.DUMMYFUNCTION("""COMPUTED_VALUE"""),72.63)</f>
        <v>72.63</v>
      </c>
      <c r="O230" s="2">
        <f ca="1">IFERROR(__xludf.DUMMYFUNCTION("""COMPUTED_VALUE"""),72.92)</f>
        <v>72.92</v>
      </c>
      <c r="P230" s="2">
        <f ca="1">IFERROR(__xludf.DUMMYFUNCTION("""COMPUTED_VALUE"""),75.88)</f>
        <v>75.88</v>
      </c>
      <c r="Q230" s="2">
        <f ca="1">IFERROR(__xludf.DUMMYFUNCTION("""COMPUTED_VALUE"""),78.75)</f>
        <v>78.75</v>
      </c>
    </row>
    <row r="231" spans="1:17" ht="15.75" customHeight="1" x14ac:dyDescent="0.25">
      <c r="A231" s="2">
        <v>3503</v>
      </c>
      <c r="B231" s="2" t="str">
        <f ca="1">IFERROR(__xludf.DUMMYFUNCTION("""COMPUTED_VALUE"""),"JAWA TIMUR")</f>
        <v>JAWA TIMUR</v>
      </c>
      <c r="C231" s="2" t="str">
        <f ca="1">IFERROR(__xludf.DUMMYFUNCTION("""COMPUTED_VALUE"""),"Trenggalek")</f>
        <v>Trenggalek</v>
      </c>
      <c r="D231" s="2">
        <f ca="1">IFERROR(__xludf.DUMMYFUNCTION("""COMPUTED_VALUE"""),4.12)</f>
        <v>4.12</v>
      </c>
      <c r="E231" s="2">
        <f ca="1">IFERROR(__xludf.DUMMYFUNCTION("""COMPUTED_VALUE"""),3.36)</f>
        <v>3.36</v>
      </c>
      <c r="F231" s="2">
        <f ca="1">IFERROR(__xludf.DUMMYFUNCTION("""COMPUTED_VALUE"""),4.11)</f>
        <v>4.1100000000000003</v>
      </c>
      <c r="G231" s="2">
        <f ca="1">IFERROR(__xludf.DUMMYFUNCTION("""COMPUTED_VALUE"""),3.53)</f>
        <v>3.53</v>
      </c>
      <c r="H231" s="2">
        <f ca="1">IFERROR(__xludf.DUMMYFUNCTION("""COMPUTED_VALUE"""),5.37)</f>
        <v>5.37</v>
      </c>
      <c r="I231" s="2">
        <f ca="1">IFERROR(__xludf.DUMMYFUNCTION("""COMPUTED_VALUE"""),4.52)</f>
        <v>4.5199999999999996</v>
      </c>
      <c r="J231" s="2">
        <f ca="1">IFERROR(__xludf.DUMMYFUNCTION("""COMPUTED_VALUE"""),3.9)</f>
        <v>3.9</v>
      </c>
      <c r="K231" s="2">
        <f ca="1">IFERROR(__xludf.DUMMYFUNCTION("""COMPUTED_VALUE"""),75.38)</f>
        <v>75.38</v>
      </c>
      <c r="L231" s="2">
        <f ca="1">IFERROR(__xludf.DUMMYFUNCTION("""COMPUTED_VALUE"""),73.45)</f>
        <v>73.45</v>
      </c>
      <c r="M231" s="2">
        <f ca="1">IFERROR(__xludf.DUMMYFUNCTION("""COMPUTED_VALUE"""),75.72)</f>
        <v>75.72</v>
      </c>
      <c r="N231" s="2">
        <f ca="1">IFERROR(__xludf.DUMMYFUNCTION("""COMPUTED_VALUE"""),72.36)</f>
        <v>72.36</v>
      </c>
      <c r="O231" s="2">
        <f ca="1">IFERROR(__xludf.DUMMYFUNCTION("""COMPUTED_VALUE"""),72.01)</f>
        <v>72.010000000000005</v>
      </c>
      <c r="P231" s="2">
        <f ca="1">IFERROR(__xludf.DUMMYFUNCTION("""COMPUTED_VALUE"""),80.72)</f>
        <v>80.72</v>
      </c>
      <c r="Q231" s="2">
        <f ca="1">IFERROR(__xludf.DUMMYFUNCTION("""COMPUTED_VALUE"""),80.08)</f>
        <v>80.08</v>
      </c>
    </row>
    <row r="232" spans="1:17" ht="15.75" customHeight="1" x14ac:dyDescent="0.25">
      <c r="A232" s="2">
        <v>3504</v>
      </c>
      <c r="B232" s="2" t="str">
        <f ca="1">IFERROR(__xludf.DUMMYFUNCTION("""COMPUTED_VALUE"""),"JAWA TIMUR")</f>
        <v>JAWA TIMUR</v>
      </c>
      <c r="C232" s="2" t="str">
        <f ca="1">IFERROR(__xludf.DUMMYFUNCTION("""COMPUTED_VALUE"""),"Tulungagung")</f>
        <v>Tulungagung</v>
      </c>
      <c r="D232" s="2">
        <f ca="1">IFERROR(__xludf.DUMMYFUNCTION("""COMPUTED_VALUE"""),2.53)</f>
        <v>2.5299999999999998</v>
      </c>
      <c r="E232" s="2">
        <f ca="1">IFERROR(__xludf.DUMMYFUNCTION("""COMPUTED_VALUE"""),3.29)</f>
        <v>3.29</v>
      </c>
      <c r="F232" s="2">
        <f ca="1">IFERROR(__xludf.DUMMYFUNCTION("""COMPUTED_VALUE"""),4.61)</f>
        <v>4.6100000000000003</v>
      </c>
      <c r="G232" s="2">
        <f ca="1">IFERROR(__xludf.DUMMYFUNCTION("""COMPUTED_VALUE"""),4.91)</f>
        <v>4.91</v>
      </c>
      <c r="H232" s="2">
        <f ca="1">IFERROR(__xludf.DUMMYFUNCTION("""COMPUTED_VALUE"""),6.65)</f>
        <v>6.65</v>
      </c>
      <c r="I232" s="2">
        <f ca="1">IFERROR(__xludf.DUMMYFUNCTION("""COMPUTED_VALUE"""),5.65)</f>
        <v>5.65</v>
      </c>
      <c r="J232" s="2">
        <f ca="1">IFERROR(__xludf.DUMMYFUNCTION("""COMPUTED_VALUE"""),4.12)</f>
        <v>4.12</v>
      </c>
      <c r="K232" s="2">
        <f ca="1">IFERROR(__xludf.DUMMYFUNCTION("""COMPUTED_VALUE"""),70.72)</f>
        <v>70.72</v>
      </c>
      <c r="L232" s="2">
        <f ca="1">IFERROR(__xludf.DUMMYFUNCTION("""COMPUTED_VALUE"""),70.48)</f>
        <v>70.48</v>
      </c>
      <c r="M232" s="2">
        <f ca="1">IFERROR(__xludf.DUMMYFUNCTION("""COMPUTED_VALUE"""),73.17)</f>
        <v>73.17</v>
      </c>
      <c r="N232" s="2">
        <f ca="1">IFERROR(__xludf.DUMMYFUNCTION("""COMPUTED_VALUE"""),72.26)</f>
        <v>72.260000000000005</v>
      </c>
      <c r="O232" s="2">
        <f ca="1">IFERROR(__xludf.DUMMYFUNCTION("""COMPUTED_VALUE"""),71.95)</f>
        <v>71.95</v>
      </c>
      <c r="P232" s="2">
        <f ca="1">IFERROR(__xludf.DUMMYFUNCTION("""COMPUTED_VALUE"""),74.7)</f>
        <v>74.7</v>
      </c>
      <c r="Q232" s="2">
        <f ca="1">IFERROR(__xludf.DUMMYFUNCTION("""COMPUTED_VALUE"""),75.57)</f>
        <v>75.569999999999993</v>
      </c>
    </row>
    <row r="233" spans="1:17" ht="15.75" customHeight="1" x14ac:dyDescent="0.25">
      <c r="A233" s="2">
        <v>3505</v>
      </c>
      <c r="B233" s="2" t="str">
        <f ca="1">IFERROR(__xludf.DUMMYFUNCTION("""COMPUTED_VALUE"""),"JAWA TIMUR")</f>
        <v>JAWA TIMUR</v>
      </c>
      <c r="C233" s="2" t="str">
        <f ca="1">IFERROR(__xludf.DUMMYFUNCTION("""COMPUTED_VALUE"""),"Blitar")</f>
        <v>Blitar</v>
      </c>
      <c r="D233" s="2">
        <f ca="1">IFERROR(__xludf.DUMMYFUNCTION("""COMPUTED_VALUE"""),3.38)</f>
        <v>3.38</v>
      </c>
      <c r="E233" s="2">
        <f ca="1">IFERROR(__xludf.DUMMYFUNCTION("""COMPUTED_VALUE"""),3.05)</f>
        <v>3.05</v>
      </c>
      <c r="F233" s="2">
        <f ca="1">IFERROR(__xludf.DUMMYFUNCTION("""COMPUTED_VALUE"""),3.82)</f>
        <v>3.82</v>
      </c>
      <c r="G233" s="2">
        <f ca="1">IFERROR(__xludf.DUMMYFUNCTION("""COMPUTED_VALUE"""),3.66)</f>
        <v>3.66</v>
      </c>
      <c r="H233" s="2">
        <f ca="1">IFERROR(__xludf.DUMMYFUNCTION("""COMPUTED_VALUE"""),5.45)</f>
        <v>5.45</v>
      </c>
      <c r="I233" s="2">
        <f ca="1">IFERROR(__xludf.DUMMYFUNCTION("""COMPUTED_VALUE"""),4.91)</f>
        <v>4.91</v>
      </c>
      <c r="J233" s="2">
        <f ca="1">IFERROR(__xludf.DUMMYFUNCTION("""COMPUTED_VALUE"""),4.77)</f>
        <v>4.7699999999999996</v>
      </c>
      <c r="K233" s="2">
        <f ca="1">IFERROR(__xludf.DUMMYFUNCTION("""COMPUTED_VALUE"""),70.61)</f>
        <v>70.61</v>
      </c>
      <c r="L233" s="2">
        <f ca="1">IFERROR(__xludf.DUMMYFUNCTION("""COMPUTED_VALUE"""),72.93)</f>
        <v>72.930000000000007</v>
      </c>
      <c r="M233" s="2">
        <f ca="1">IFERROR(__xludf.DUMMYFUNCTION("""COMPUTED_VALUE"""),70.83)</f>
        <v>70.83</v>
      </c>
      <c r="N233" s="2">
        <f ca="1">IFERROR(__xludf.DUMMYFUNCTION("""COMPUTED_VALUE"""),70.44)</f>
        <v>70.44</v>
      </c>
      <c r="O233" s="2">
        <f ca="1">IFERROR(__xludf.DUMMYFUNCTION("""COMPUTED_VALUE"""),72.79)</f>
        <v>72.790000000000006</v>
      </c>
      <c r="P233" s="2">
        <f ca="1">IFERROR(__xludf.DUMMYFUNCTION("""COMPUTED_VALUE"""),73.5)</f>
        <v>73.5</v>
      </c>
      <c r="Q233" s="2">
        <f ca="1">IFERROR(__xludf.DUMMYFUNCTION("""COMPUTED_VALUE"""),72.36)</f>
        <v>72.36</v>
      </c>
    </row>
    <row r="234" spans="1:17" ht="15.75" customHeight="1" x14ac:dyDescent="0.25">
      <c r="A234" s="2">
        <v>3506</v>
      </c>
      <c r="B234" s="2" t="str">
        <f ca="1">IFERROR(__xludf.DUMMYFUNCTION("""COMPUTED_VALUE"""),"JAWA TIMUR")</f>
        <v>JAWA TIMUR</v>
      </c>
      <c r="C234" s="2" t="str">
        <f ca="1">IFERROR(__xludf.DUMMYFUNCTION("""COMPUTED_VALUE"""),"Kediri")</f>
        <v>Kediri</v>
      </c>
      <c r="D234" s="2">
        <f ca="1">IFERROR(__xludf.DUMMYFUNCTION("""COMPUTED_VALUE"""),4.15)</f>
        <v>4.1500000000000004</v>
      </c>
      <c r="E234" s="2">
        <f ca="1">IFERROR(__xludf.DUMMYFUNCTION("""COMPUTED_VALUE"""),3.58)</f>
        <v>3.58</v>
      </c>
      <c r="F234" s="2">
        <f ca="1">IFERROR(__xludf.DUMMYFUNCTION("""COMPUTED_VALUE"""),5.24)</f>
        <v>5.24</v>
      </c>
      <c r="G234" s="2">
        <f ca="1">IFERROR(__xludf.DUMMYFUNCTION("""COMPUTED_VALUE"""),5.15)</f>
        <v>5.15</v>
      </c>
      <c r="H234" s="2">
        <f ca="1">IFERROR(__xludf.DUMMYFUNCTION("""COMPUTED_VALUE"""),6.83)</f>
        <v>6.83</v>
      </c>
      <c r="I234" s="2">
        <f ca="1">IFERROR(__xludf.DUMMYFUNCTION("""COMPUTED_VALUE"""),5.79)</f>
        <v>5.79</v>
      </c>
      <c r="J234" s="2">
        <f ca="1">IFERROR(__xludf.DUMMYFUNCTION("""COMPUTED_VALUE"""),5.1)</f>
        <v>5.0999999999999996</v>
      </c>
      <c r="K234" s="2">
        <f ca="1">IFERROR(__xludf.DUMMYFUNCTION("""COMPUTED_VALUE"""),67.81)</f>
        <v>67.81</v>
      </c>
      <c r="L234" s="2">
        <f ca="1">IFERROR(__xludf.DUMMYFUNCTION("""COMPUTED_VALUE"""),71.76)</f>
        <v>71.760000000000005</v>
      </c>
      <c r="M234" s="2">
        <f ca="1">IFERROR(__xludf.DUMMYFUNCTION("""COMPUTED_VALUE"""),70.65)</f>
        <v>70.650000000000006</v>
      </c>
      <c r="N234" s="2">
        <f ca="1">IFERROR(__xludf.DUMMYFUNCTION("""COMPUTED_VALUE"""),69.34)</f>
        <v>69.34</v>
      </c>
      <c r="O234" s="2">
        <f ca="1">IFERROR(__xludf.DUMMYFUNCTION("""COMPUTED_VALUE"""),68.73)</f>
        <v>68.73</v>
      </c>
      <c r="P234" s="2">
        <f ca="1">IFERROR(__xludf.DUMMYFUNCTION("""COMPUTED_VALUE"""),68.74)</f>
        <v>68.739999999999995</v>
      </c>
      <c r="Q234" s="2">
        <f ca="1">IFERROR(__xludf.DUMMYFUNCTION("""COMPUTED_VALUE"""),71.31)</f>
        <v>71.31</v>
      </c>
    </row>
    <row r="235" spans="1:17" ht="15.75" customHeight="1" x14ac:dyDescent="0.25">
      <c r="A235" s="2">
        <v>3507</v>
      </c>
      <c r="B235" s="2" t="str">
        <f ca="1">IFERROR(__xludf.DUMMYFUNCTION("""COMPUTED_VALUE"""),"JAWA TIMUR")</f>
        <v>JAWA TIMUR</v>
      </c>
      <c r="C235" s="2" t="str">
        <f ca="1">IFERROR(__xludf.DUMMYFUNCTION("""COMPUTED_VALUE"""),"Malang")</f>
        <v>Malang</v>
      </c>
      <c r="D235" s="2">
        <f ca="1">IFERROR(__xludf.DUMMYFUNCTION("""COMPUTED_VALUE"""),3.15)</f>
        <v>3.15</v>
      </c>
      <c r="E235" s="2">
        <f ca="1">IFERROR(__xludf.DUMMYFUNCTION("""COMPUTED_VALUE"""),3.7)</f>
        <v>3.7</v>
      </c>
      <c r="F235" s="2">
        <f ca="1">IFERROR(__xludf.DUMMYFUNCTION("""COMPUTED_VALUE"""),5.49)</f>
        <v>5.49</v>
      </c>
      <c r="G235" s="2">
        <f ca="1">IFERROR(__xludf.DUMMYFUNCTION("""COMPUTED_VALUE"""),5.4)</f>
        <v>5.4</v>
      </c>
      <c r="H235" s="2">
        <f ca="1">IFERROR(__xludf.DUMMYFUNCTION("""COMPUTED_VALUE"""),6.57)</f>
        <v>6.57</v>
      </c>
      <c r="I235" s="2">
        <f ca="1">IFERROR(__xludf.DUMMYFUNCTION("""COMPUTED_VALUE"""),5.7)</f>
        <v>5.7</v>
      </c>
      <c r="J235" s="2">
        <f ca="1">IFERROR(__xludf.DUMMYFUNCTION("""COMPUTED_VALUE"""),5.13)</f>
        <v>5.13</v>
      </c>
      <c r="K235" s="2">
        <f ca="1">IFERROR(__xludf.DUMMYFUNCTION("""COMPUTED_VALUE"""),69.85)</f>
        <v>69.849999999999994</v>
      </c>
      <c r="L235" s="2">
        <f ca="1">IFERROR(__xludf.DUMMYFUNCTION("""COMPUTED_VALUE"""),70.07)</f>
        <v>70.069999999999993</v>
      </c>
      <c r="M235" s="2">
        <f ca="1">IFERROR(__xludf.DUMMYFUNCTION("""COMPUTED_VALUE"""),71.62)</f>
        <v>71.62</v>
      </c>
      <c r="N235" s="2">
        <f ca="1">IFERROR(__xludf.DUMMYFUNCTION("""COMPUTED_VALUE"""),68.49)</f>
        <v>68.489999999999995</v>
      </c>
      <c r="O235" s="2">
        <f ca="1">IFERROR(__xludf.DUMMYFUNCTION("""COMPUTED_VALUE"""),70.38)</f>
        <v>70.38</v>
      </c>
      <c r="P235" s="2">
        <f ca="1">IFERROR(__xludf.DUMMYFUNCTION("""COMPUTED_VALUE"""),70.66)</f>
        <v>70.66</v>
      </c>
      <c r="Q235" s="2">
        <f ca="1">IFERROR(__xludf.DUMMYFUNCTION("""COMPUTED_VALUE"""),72.9)</f>
        <v>72.900000000000006</v>
      </c>
    </row>
    <row r="236" spans="1:17" ht="15.75" customHeight="1" x14ac:dyDescent="0.25">
      <c r="A236" s="2">
        <v>3508</v>
      </c>
      <c r="B236" s="2" t="str">
        <f ca="1">IFERROR(__xludf.DUMMYFUNCTION("""COMPUTED_VALUE"""),"JAWA TIMUR")</f>
        <v>JAWA TIMUR</v>
      </c>
      <c r="C236" s="2" t="str">
        <f ca="1">IFERROR(__xludf.DUMMYFUNCTION("""COMPUTED_VALUE"""),"Lumajang")</f>
        <v>Lumajang</v>
      </c>
      <c r="D236" s="2">
        <f ca="1">IFERROR(__xludf.DUMMYFUNCTION("""COMPUTED_VALUE"""),2.46)</f>
        <v>2.46</v>
      </c>
      <c r="E236" s="2">
        <f ca="1">IFERROR(__xludf.DUMMYFUNCTION("""COMPUTED_VALUE"""),2.73)</f>
        <v>2.73</v>
      </c>
      <c r="F236" s="2">
        <f ca="1">IFERROR(__xludf.DUMMYFUNCTION("""COMPUTED_VALUE"""),3.36)</f>
        <v>3.36</v>
      </c>
      <c r="G236" s="2">
        <f ca="1">IFERROR(__xludf.DUMMYFUNCTION("""COMPUTED_VALUE"""),3.51)</f>
        <v>3.51</v>
      </c>
      <c r="H236" s="2">
        <f ca="1">IFERROR(__xludf.DUMMYFUNCTION("""COMPUTED_VALUE"""),4.97)</f>
        <v>4.97</v>
      </c>
      <c r="I236" s="2">
        <f ca="1">IFERROR(__xludf.DUMMYFUNCTION("""COMPUTED_VALUE"""),3.67)</f>
        <v>3.67</v>
      </c>
      <c r="J236" s="2">
        <f ca="1">IFERROR(__xludf.DUMMYFUNCTION("""COMPUTED_VALUE"""),3.28)</f>
        <v>3.28</v>
      </c>
      <c r="K236" s="2">
        <f ca="1">IFERROR(__xludf.DUMMYFUNCTION("""COMPUTED_VALUE"""),68.25)</f>
        <v>68.25</v>
      </c>
      <c r="L236" s="2">
        <f ca="1">IFERROR(__xludf.DUMMYFUNCTION("""COMPUTED_VALUE"""),66.14)</f>
        <v>66.14</v>
      </c>
      <c r="M236" s="2">
        <f ca="1">IFERROR(__xludf.DUMMYFUNCTION("""COMPUTED_VALUE"""),66.92)</f>
        <v>66.92</v>
      </c>
      <c r="N236" s="2">
        <f ca="1">IFERROR(__xludf.DUMMYFUNCTION("""COMPUTED_VALUE"""),66.19)</f>
        <v>66.19</v>
      </c>
      <c r="O236" s="2">
        <f ca="1">IFERROR(__xludf.DUMMYFUNCTION("""COMPUTED_VALUE"""),69.75)</f>
        <v>69.75</v>
      </c>
      <c r="P236" s="2">
        <f ca="1">IFERROR(__xludf.DUMMYFUNCTION("""COMPUTED_VALUE"""),68.49)</f>
        <v>68.489999999999995</v>
      </c>
      <c r="Q236" s="2">
        <f ca="1">IFERROR(__xludf.DUMMYFUNCTION("""COMPUTED_VALUE"""),70.86)</f>
        <v>70.86</v>
      </c>
    </row>
    <row r="237" spans="1:17" ht="15.75" customHeight="1" x14ac:dyDescent="0.25">
      <c r="A237" s="2">
        <v>3509</v>
      </c>
      <c r="B237" s="2" t="str">
        <f ca="1">IFERROR(__xludf.DUMMYFUNCTION("""COMPUTED_VALUE"""),"JAWA TIMUR")</f>
        <v>JAWA TIMUR</v>
      </c>
      <c r="C237" s="2" t="str">
        <f ca="1">IFERROR(__xludf.DUMMYFUNCTION("""COMPUTED_VALUE"""),"Jember")</f>
        <v>Jember</v>
      </c>
      <c r="D237" s="2">
        <f ca="1">IFERROR(__xludf.DUMMYFUNCTION("""COMPUTED_VALUE"""),4.01)</f>
        <v>4.01</v>
      </c>
      <c r="E237" s="2">
        <f ca="1">IFERROR(__xludf.DUMMYFUNCTION("""COMPUTED_VALUE"""),3.69)</f>
        <v>3.69</v>
      </c>
      <c r="F237" s="2">
        <f ca="1">IFERROR(__xludf.DUMMYFUNCTION("""COMPUTED_VALUE"""),5.12)</f>
        <v>5.12</v>
      </c>
      <c r="G237" s="2">
        <f ca="1">IFERROR(__xludf.DUMMYFUNCTION("""COMPUTED_VALUE"""),5.44)</f>
        <v>5.44</v>
      </c>
      <c r="H237" s="2">
        <f ca="1">IFERROR(__xludf.DUMMYFUNCTION("""COMPUTED_VALUE"""),4.06)</f>
        <v>4.0599999999999996</v>
      </c>
      <c r="I237" s="2">
        <f ca="1">IFERROR(__xludf.DUMMYFUNCTION("""COMPUTED_VALUE"""),4.01)</f>
        <v>4.01</v>
      </c>
      <c r="J237" s="2">
        <f ca="1">IFERROR(__xludf.DUMMYFUNCTION("""COMPUTED_VALUE"""),3.23)</f>
        <v>3.23</v>
      </c>
      <c r="K237" s="2">
        <f ca="1">IFERROR(__xludf.DUMMYFUNCTION("""COMPUTED_VALUE"""),68.14)</f>
        <v>68.14</v>
      </c>
      <c r="L237" s="2">
        <f ca="1">IFERROR(__xludf.DUMMYFUNCTION("""COMPUTED_VALUE"""),67.16)</f>
        <v>67.16</v>
      </c>
      <c r="M237" s="2">
        <f ca="1">IFERROR(__xludf.DUMMYFUNCTION("""COMPUTED_VALUE"""),68.04)</f>
        <v>68.040000000000006</v>
      </c>
      <c r="N237" s="2">
        <f ca="1">IFERROR(__xludf.DUMMYFUNCTION("""COMPUTED_VALUE"""),68.97)</f>
        <v>68.97</v>
      </c>
      <c r="O237" s="2">
        <f ca="1">IFERROR(__xludf.DUMMYFUNCTION("""COMPUTED_VALUE"""),69.44)</f>
        <v>69.44</v>
      </c>
      <c r="P237" s="2">
        <f ca="1">IFERROR(__xludf.DUMMYFUNCTION("""COMPUTED_VALUE"""),72.3)</f>
        <v>72.3</v>
      </c>
      <c r="Q237" s="2">
        <f ca="1">IFERROR(__xludf.DUMMYFUNCTION("""COMPUTED_VALUE"""),73.76)</f>
        <v>73.760000000000005</v>
      </c>
    </row>
    <row r="238" spans="1:17" ht="15.75" customHeight="1" x14ac:dyDescent="0.25">
      <c r="A238" s="2">
        <v>3510</v>
      </c>
      <c r="B238" s="2" t="str">
        <f ca="1">IFERROR(__xludf.DUMMYFUNCTION("""COMPUTED_VALUE"""),"JAWA TIMUR")</f>
        <v>JAWA TIMUR</v>
      </c>
      <c r="C238" s="2" t="str">
        <f ca="1">IFERROR(__xludf.DUMMYFUNCTION("""COMPUTED_VALUE"""),"Banyuwangi")</f>
        <v>Banyuwangi</v>
      </c>
      <c r="D238" s="2">
        <f ca="1">IFERROR(__xludf.DUMMYFUNCTION("""COMPUTED_VALUE"""),3.59)</f>
        <v>3.59</v>
      </c>
      <c r="E238" s="2">
        <f ca="1">IFERROR(__xludf.DUMMYFUNCTION("""COMPUTED_VALUE"""),3.95)</f>
        <v>3.95</v>
      </c>
      <c r="F238" s="2">
        <f ca="1">IFERROR(__xludf.DUMMYFUNCTION("""COMPUTED_VALUE"""),5.34)</f>
        <v>5.34</v>
      </c>
      <c r="G238" s="2">
        <f ca="1">IFERROR(__xludf.DUMMYFUNCTION("""COMPUTED_VALUE"""),5.42)</f>
        <v>5.42</v>
      </c>
      <c r="H238" s="2">
        <f ca="1">IFERROR(__xludf.DUMMYFUNCTION("""COMPUTED_VALUE"""),5.26)</f>
        <v>5.26</v>
      </c>
      <c r="I238" s="2">
        <f ca="1">IFERROR(__xludf.DUMMYFUNCTION("""COMPUTED_VALUE"""),4.75)</f>
        <v>4.75</v>
      </c>
      <c r="J238" s="2">
        <f ca="1">IFERROR(__xludf.DUMMYFUNCTION("""COMPUTED_VALUE"""),4.03)</f>
        <v>4.03</v>
      </c>
      <c r="K238" s="2">
        <f ca="1">IFERROR(__xludf.DUMMYFUNCTION("""COMPUTED_VALUE"""),72.21)</f>
        <v>72.209999999999994</v>
      </c>
      <c r="L238" s="2">
        <f ca="1">IFERROR(__xludf.DUMMYFUNCTION("""COMPUTED_VALUE"""),72.13)</f>
        <v>72.13</v>
      </c>
      <c r="M238" s="2">
        <f ca="1">IFERROR(__xludf.DUMMYFUNCTION("""COMPUTED_VALUE"""),71.8)</f>
        <v>71.8</v>
      </c>
      <c r="N238" s="2">
        <f ca="1">IFERROR(__xludf.DUMMYFUNCTION("""COMPUTED_VALUE"""),72.32)</f>
        <v>72.319999999999993</v>
      </c>
      <c r="O238" s="2">
        <f ca="1">IFERROR(__xludf.DUMMYFUNCTION("""COMPUTED_VALUE"""),72)</f>
        <v>72</v>
      </c>
      <c r="P238" s="2">
        <f ca="1">IFERROR(__xludf.DUMMYFUNCTION("""COMPUTED_VALUE"""),79.04)</f>
        <v>79.040000000000006</v>
      </c>
      <c r="Q238" s="2">
        <f ca="1">IFERROR(__xludf.DUMMYFUNCTION("""COMPUTED_VALUE"""),75.36)</f>
        <v>75.36</v>
      </c>
    </row>
    <row r="239" spans="1:17" ht="15.75" customHeight="1" x14ac:dyDescent="0.25">
      <c r="A239" s="2">
        <v>3511</v>
      </c>
      <c r="B239" s="2" t="str">
        <f ca="1">IFERROR(__xludf.DUMMYFUNCTION("""COMPUTED_VALUE"""),"JAWA TIMUR")</f>
        <v>JAWA TIMUR</v>
      </c>
      <c r="C239" s="2" t="str">
        <f ca="1">IFERROR(__xludf.DUMMYFUNCTION("""COMPUTED_VALUE"""),"Bondowoso")</f>
        <v>Bondowoso</v>
      </c>
      <c r="D239" s="2">
        <f ca="1">IFERROR(__xludf.DUMMYFUNCTION("""COMPUTED_VALUE"""),3.84)</f>
        <v>3.84</v>
      </c>
      <c r="E239" s="2">
        <f ca="1">IFERROR(__xludf.DUMMYFUNCTION("""COMPUTED_VALUE"""),2.86)</f>
        <v>2.86</v>
      </c>
      <c r="F239" s="2">
        <f ca="1">IFERROR(__xludf.DUMMYFUNCTION("""COMPUTED_VALUE"""),4.13)</f>
        <v>4.13</v>
      </c>
      <c r="G239" s="2">
        <f ca="1">IFERROR(__xludf.DUMMYFUNCTION("""COMPUTED_VALUE"""),4.46)</f>
        <v>4.46</v>
      </c>
      <c r="H239" s="2">
        <f ca="1">IFERROR(__xludf.DUMMYFUNCTION("""COMPUTED_VALUE"""),4.32)</f>
        <v>4.32</v>
      </c>
      <c r="I239" s="2">
        <f ca="1">IFERROR(__xludf.DUMMYFUNCTION("""COMPUTED_VALUE"""),4.15)</f>
        <v>4.1500000000000004</v>
      </c>
      <c r="J239" s="2">
        <f ca="1">IFERROR(__xludf.DUMMYFUNCTION("""COMPUTED_VALUE"""),3.63)</f>
        <v>3.63</v>
      </c>
      <c r="K239" s="2">
        <f ca="1">IFERROR(__xludf.DUMMYFUNCTION("""COMPUTED_VALUE"""),71.63)</f>
        <v>71.63</v>
      </c>
      <c r="L239" s="2">
        <f ca="1">IFERROR(__xludf.DUMMYFUNCTION("""COMPUTED_VALUE"""),76.01)</f>
        <v>76.010000000000005</v>
      </c>
      <c r="M239" s="2">
        <f ca="1">IFERROR(__xludf.DUMMYFUNCTION("""COMPUTED_VALUE"""),75.09)</f>
        <v>75.09</v>
      </c>
      <c r="N239" s="2">
        <f ca="1">IFERROR(__xludf.DUMMYFUNCTION("""COMPUTED_VALUE"""),73.89)</f>
        <v>73.89</v>
      </c>
      <c r="O239" s="2">
        <f ca="1">IFERROR(__xludf.DUMMYFUNCTION("""COMPUTED_VALUE"""),74.61)</f>
        <v>74.61</v>
      </c>
      <c r="P239" s="2">
        <f ca="1">IFERROR(__xludf.DUMMYFUNCTION("""COMPUTED_VALUE"""),74.39)</f>
        <v>74.39</v>
      </c>
      <c r="Q239" s="2">
        <f ca="1">IFERROR(__xludf.DUMMYFUNCTION("""COMPUTED_VALUE"""),75.1)</f>
        <v>75.099999999999994</v>
      </c>
    </row>
    <row r="240" spans="1:17" ht="15.75" customHeight="1" x14ac:dyDescent="0.25">
      <c r="A240" s="2">
        <v>3512</v>
      </c>
      <c r="B240" s="2" t="str">
        <f ca="1">IFERROR(__xludf.DUMMYFUNCTION("""COMPUTED_VALUE"""),"JAWA TIMUR")</f>
        <v>JAWA TIMUR</v>
      </c>
      <c r="C240" s="2" t="str">
        <f ca="1">IFERROR(__xludf.DUMMYFUNCTION("""COMPUTED_VALUE"""),"Situbondo")</f>
        <v>Situbondo</v>
      </c>
      <c r="D240" s="2">
        <f ca="1">IFERROR(__xludf.DUMMYFUNCTION("""COMPUTED_VALUE"""),1.85)</f>
        <v>1.85</v>
      </c>
      <c r="E240" s="2">
        <f ca="1">IFERROR(__xludf.DUMMYFUNCTION("""COMPUTED_VALUE"""),2.77)</f>
        <v>2.77</v>
      </c>
      <c r="F240" s="2">
        <f ca="1">IFERROR(__xludf.DUMMYFUNCTION("""COMPUTED_VALUE"""),3.85)</f>
        <v>3.85</v>
      </c>
      <c r="G240" s="2">
        <f ca="1">IFERROR(__xludf.DUMMYFUNCTION("""COMPUTED_VALUE"""),3.68)</f>
        <v>3.68</v>
      </c>
      <c r="H240" s="2">
        <f ca="1">IFERROR(__xludf.DUMMYFUNCTION("""COMPUTED_VALUE"""),3.38)</f>
        <v>3.38</v>
      </c>
      <c r="I240" s="2">
        <f ca="1">IFERROR(__xludf.DUMMYFUNCTION("""COMPUTED_VALUE"""),3.27)</f>
        <v>3.27</v>
      </c>
      <c r="J240" s="2">
        <f ca="1">IFERROR(__xludf.DUMMYFUNCTION("""COMPUTED_VALUE"""),3.15)</f>
        <v>3.15</v>
      </c>
      <c r="K240" s="2">
        <f ca="1">IFERROR(__xludf.DUMMYFUNCTION("""COMPUTED_VALUE"""),72.13)</f>
        <v>72.13</v>
      </c>
      <c r="L240" s="2">
        <f ca="1">IFERROR(__xludf.DUMMYFUNCTION("""COMPUTED_VALUE"""),72.4)</f>
        <v>72.400000000000006</v>
      </c>
      <c r="M240" s="2">
        <f ca="1">IFERROR(__xludf.DUMMYFUNCTION("""COMPUTED_VALUE"""),73.17)</f>
        <v>73.17</v>
      </c>
      <c r="N240" s="2">
        <f ca="1">IFERROR(__xludf.DUMMYFUNCTION("""COMPUTED_VALUE"""),71.63)</f>
        <v>71.63</v>
      </c>
      <c r="O240" s="2">
        <f ca="1">IFERROR(__xludf.DUMMYFUNCTION("""COMPUTED_VALUE"""),72.15)</f>
        <v>72.150000000000006</v>
      </c>
      <c r="P240" s="2">
        <f ca="1">IFERROR(__xludf.DUMMYFUNCTION("""COMPUTED_VALUE"""),75.28)</f>
        <v>75.28</v>
      </c>
      <c r="Q240" s="2">
        <f ca="1">IFERROR(__xludf.DUMMYFUNCTION("""COMPUTED_VALUE"""),76.66)</f>
        <v>76.66</v>
      </c>
    </row>
    <row r="241" spans="1:17" ht="15.75" customHeight="1" x14ac:dyDescent="0.25">
      <c r="A241" s="2">
        <v>3513</v>
      </c>
      <c r="B241" s="2" t="str">
        <f ca="1">IFERROR(__xludf.DUMMYFUNCTION("""COMPUTED_VALUE"""),"JAWA TIMUR")</f>
        <v>JAWA TIMUR</v>
      </c>
      <c r="C241" s="2" t="str">
        <f ca="1">IFERROR(__xludf.DUMMYFUNCTION("""COMPUTED_VALUE"""),"Probolinggo")</f>
        <v>Probolinggo</v>
      </c>
      <c r="D241" s="2">
        <f ca="1">IFERROR(__xludf.DUMMYFUNCTION("""COMPUTED_VALUE"""),4)</f>
        <v>4</v>
      </c>
      <c r="E241" s="2">
        <f ca="1">IFERROR(__xludf.DUMMYFUNCTION("""COMPUTED_VALUE"""),3.77)</f>
        <v>3.77</v>
      </c>
      <c r="F241" s="2">
        <f ca="1">IFERROR(__xludf.DUMMYFUNCTION("""COMPUTED_VALUE"""),4.86)</f>
        <v>4.8600000000000003</v>
      </c>
      <c r="G241" s="2">
        <f ca="1">IFERROR(__xludf.DUMMYFUNCTION("""COMPUTED_VALUE"""),4.55)</f>
        <v>4.55</v>
      </c>
      <c r="H241" s="2">
        <f ca="1">IFERROR(__xludf.DUMMYFUNCTION("""COMPUTED_VALUE"""),3.25)</f>
        <v>3.25</v>
      </c>
      <c r="I241" s="2">
        <f ca="1">IFERROR(__xludf.DUMMYFUNCTION("""COMPUTED_VALUE"""),3.24)</f>
        <v>3.24</v>
      </c>
      <c r="J241" s="2">
        <f ca="1">IFERROR(__xludf.DUMMYFUNCTION("""COMPUTED_VALUE"""),3)</f>
        <v>3</v>
      </c>
      <c r="K241" s="2">
        <f ca="1">IFERROR(__xludf.DUMMYFUNCTION("""COMPUTED_VALUE"""),68.59)</f>
        <v>68.59</v>
      </c>
      <c r="L241" s="2">
        <f ca="1">IFERROR(__xludf.DUMMYFUNCTION("""COMPUTED_VALUE"""),68.88)</f>
        <v>68.88</v>
      </c>
      <c r="M241" s="2">
        <f ca="1">IFERROR(__xludf.DUMMYFUNCTION("""COMPUTED_VALUE"""),72.89)</f>
        <v>72.89</v>
      </c>
      <c r="N241" s="2">
        <f ca="1">IFERROR(__xludf.DUMMYFUNCTION("""COMPUTED_VALUE"""),73.24)</f>
        <v>73.239999999999995</v>
      </c>
      <c r="O241" s="2">
        <f ca="1">IFERROR(__xludf.DUMMYFUNCTION("""COMPUTED_VALUE"""),71.56)</f>
        <v>71.56</v>
      </c>
      <c r="P241" s="2">
        <f ca="1">IFERROR(__xludf.DUMMYFUNCTION("""COMPUTED_VALUE"""),69.48)</f>
        <v>69.48</v>
      </c>
      <c r="Q241" s="2">
        <f ca="1">IFERROR(__xludf.DUMMYFUNCTION("""COMPUTED_VALUE"""),73.18)</f>
        <v>73.180000000000007</v>
      </c>
    </row>
    <row r="242" spans="1:17" ht="15.75" customHeight="1" x14ac:dyDescent="0.25">
      <c r="A242" s="2">
        <v>3514</v>
      </c>
      <c r="B242" s="2" t="str">
        <f ca="1">IFERROR(__xludf.DUMMYFUNCTION("""COMPUTED_VALUE"""),"JAWA TIMUR")</f>
        <v>JAWA TIMUR</v>
      </c>
      <c r="C242" s="2" t="str">
        <f ca="1">IFERROR(__xludf.DUMMYFUNCTION("""COMPUTED_VALUE"""),"Pasuruan")</f>
        <v>Pasuruan</v>
      </c>
      <c r="D242" s="2">
        <f ca="1">IFERROR(__xludf.DUMMYFUNCTION("""COMPUTED_VALUE"""),5.94)</f>
        <v>5.94</v>
      </c>
      <c r="E242" s="2">
        <f ca="1">IFERROR(__xludf.DUMMYFUNCTION("""COMPUTED_VALUE"""),5.22)</f>
        <v>5.22</v>
      </c>
      <c r="F242" s="2">
        <f ca="1">IFERROR(__xludf.DUMMYFUNCTION("""COMPUTED_VALUE"""),6.24)</f>
        <v>6.24</v>
      </c>
      <c r="G242" s="2">
        <f ca="1">IFERROR(__xludf.DUMMYFUNCTION("""COMPUTED_VALUE"""),6.03)</f>
        <v>6.03</v>
      </c>
      <c r="H242" s="2">
        <f ca="1">IFERROR(__xludf.DUMMYFUNCTION("""COMPUTED_VALUE"""),5.91)</f>
        <v>5.91</v>
      </c>
      <c r="I242" s="2">
        <f ca="1">IFERROR(__xludf.DUMMYFUNCTION("""COMPUTED_VALUE"""),5.48)</f>
        <v>5.48</v>
      </c>
      <c r="J242" s="2">
        <f ca="1">IFERROR(__xludf.DUMMYFUNCTION("""COMPUTED_VALUE"""),5.02)</f>
        <v>5.0199999999999996</v>
      </c>
      <c r="K242" s="2">
        <f ca="1">IFERROR(__xludf.DUMMYFUNCTION("""COMPUTED_VALUE"""),69.77)</f>
        <v>69.77</v>
      </c>
      <c r="L242" s="2">
        <f ca="1">IFERROR(__xludf.DUMMYFUNCTION("""COMPUTED_VALUE"""),68.82)</f>
        <v>68.819999999999993</v>
      </c>
      <c r="M242" s="2">
        <f ca="1">IFERROR(__xludf.DUMMYFUNCTION("""COMPUTED_VALUE"""),67.67)</f>
        <v>67.67</v>
      </c>
      <c r="N242" s="2">
        <f ca="1">IFERROR(__xludf.DUMMYFUNCTION("""COMPUTED_VALUE"""),69.03)</f>
        <v>69.03</v>
      </c>
      <c r="O242" s="2">
        <f ca="1">IFERROR(__xludf.DUMMYFUNCTION("""COMPUTED_VALUE"""),70.19)</f>
        <v>70.19</v>
      </c>
      <c r="P242" s="2">
        <f ca="1">IFERROR(__xludf.DUMMYFUNCTION("""COMPUTED_VALUE"""),71.21)</f>
        <v>71.209999999999994</v>
      </c>
      <c r="Q242" s="2">
        <f ca="1">IFERROR(__xludf.DUMMYFUNCTION("""COMPUTED_VALUE"""),75.31)</f>
        <v>75.31</v>
      </c>
    </row>
    <row r="243" spans="1:17" ht="15.75" customHeight="1" x14ac:dyDescent="0.25">
      <c r="A243" s="2">
        <v>3515</v>
      </c>
      <c r="B243" s="2" t="str">
        <f ca="1">IFERROR(__xludf.DUMMYFUNCTION("""COMPUTED_VALUE"""),"JAWA TIMUR")</f>
        <v>JAWA TIMUR</v>
      </c>
      <c r="C243" s="2" t="str">
        <f ca="1">IFERROR(__xludf.DUMMYFUNCTION("""COMPUTED_VALUE"""),"Sidoarjo")</f>
        <v>Sidoarjo</v>
      </c>
      <c r="D243" s="2">
        <f ca="1">IFERROR(__xludf.DUMMYFUNCTION("""COMPUTED_VALUE"""),4.62)</f>
        <v>4.62</v>
      </c>
      <c r="E243" s="2">
        <f ca="1">IFERROR(__xludf.DUMMYFUNCTION("""COMPUTED_VALUE"""),4.62)</f>
        <v>4.62</v>
      </c>
      <c r="F243" s="2">
        <f ca="1">IFERROR(__xludf.DUMMYFUNCTION("""COMPUTED_VALUE"""),10.97)</f>
        <v>10.97</v>
      </c>
      <c r="G243" s="2">
        <f ca="1">IFERROR(__xludf.DUMMYFUNCTION("""COMPUTED_VALUE"""),10.87)</f>
        <v>10.87</v>
      </c>
      <c r="H243" s="2">
        <f ca="1">IFERROR(__xludf.DUMMYFUNCTION("""COMPUTED_VALUE"""),8.8)</f>
        <v>8.8000000000000007</v>
      </c>
      <c r="I243" s="2">
        <f ca="1">IFERROR(__xludf.DUMMYFUNCTION("""COMPUTED_VALUE"""),8.05)</f>
        <v>8.0500000000000007</v>
      </c>
      <c r="J243" s="2">
        <f ca="1">IFERROR(__xludf.DUMMYFUNCTION("""COMPUTED_VALUE"""),6.49)</f>
        <v>6.49</v>
      </c>
      <c r="K243" s="2">
        <f ca="1">IFERROR(__xludf.DUMMYFUNCTION("""COMPUTED_VALUE"""),64.89)</f>
        <v>64.89</v>
      </c>
      <c r="L243" s="2">
        <f ca="1">IFERROR(__xludf.DUMMYFUNCTION("""COMPUTED_VALUE"""),66.98)</f>
        <v>66.98</v>
      </c>
      <c r="M243" s="2">
        <f ca="1">IFERROR(__xludf.DUMMYFUNCTION("""COMPUTED_VALUE"""),67.17)</f>
        <v>67.17</v>
      </c>
      <c r="N243" s="2">
        <f ca="1">IFERROR(__xludf.DUMMYFUNCTION("""COMPUTED_VALUE"""),66.47)</f>
        <v>66.47</v>
      </c>
      <c r="O243" s="2">
        <f ca="1">IFERROR(__xludf.DUMMYFUNCTION("""COMPUTED_VALUE"""),72.87)</f>
        <v>72.87</v>
      </c>
      <c r="P243" s="2">
        <f ca="1">IFERROR(__xludf.DUMMYFUNCTION("""COMPUTED_VALUE"""),69.62)</f>
        <v>69.62</v>
      </c>
      <c r="Q243" s="2">
        <f ca="1">IFERROR(__xludf.DUMMYFUNCTION("""COMPUTED_VALUE"""),68.37)</f>
        <v>68.37</v>
      </c>
    </row>
    <row r="244" spans="1:17" ht="15.75" customHeight="1" x14ac:dyDescent="0.25">
      <c r="A244" s="2">
        <v>3516</v>
      </c>
      <c r="B244" s="2" t="str">
        <f ca="1">IFERROR(__xludf.DUMMYFUNCTION("""COMPUTED_VALUE"""),"JAWA TIMUR")</f>
        <v>JAWA TIMUR</v>
      </c>
      <c r="C244" s="2" t="str">
        <f ca="1">IFERROR(__xludf.DUMMYFUNCTION("""COMPUTED_VALUE"""),"Mojokerto")</f>
        <v>Mojokerto</v>
      </c>
      <c r="D244" s="2">
        <f ca="1">IFERROR(__xludf.DUMMYFUNCTION("""COMPUTED_VALUE"""),4.21)</f>
        <v>4.21</v>
      </c>
      <c r="E244" s="2">
        <f ca="1">IFERROR(__xludf.DUMMYFUNCTION("""COMPUTED_VALUE"""),3.61)</f>
        <v>3.61</v>
      </c>
      <c r="F244" s="2">
        <f ca="1">IFERROR(__xludf.DUMMYFUNCTION("""COMPUTED_VALUE"""),5.75)</f>
        <v>5.75</v>
      </c>
      <c r="G244" s="2">
        <f ca="1">IFERROR(__xludf.DUMMYFUNCTION("""COMPUTED_VALUE"""),5.54)</f>
        <v>5.54</v>
      </c>
      <c r="H244" s="2">
        <f ca="1">IFERROR(__xludf.DUMMYFUNCTION("""COMPUTED_VALUE"""),4.83)</f>
        <v>4.83</v>
      </c>
      <c r="I244" s="2">
        <f ca="1">IFERROR(__xludf.DUMMYFUNCTION("""COMPUTED_VALUE"""),4.67)</f>
        <v>4.67</v>
      </c>
      <c r="J244" s="2">
        <f ca="1">IFERROR(__xludf.DUMMYFUNCTION("""COMPUTED_VALUE"""),3.87)</f>
        <v>3.87</v>
      </c>
      <c r="K244" s="2">
        <f ca="1">IFERROR(__xludf.DUMMYFUNCTION("""COMPUTED_VALUE"""),72.01)</f>
        <v>72.010000000000005</v>
      </c>
      <c r="L244" s="2">
        <f ca="1">IFERROR(__xludf.DUMMYFUNCTION("""COMPUTED_VALUE"""),69.46)</f>
        <v>69.459999999999994</v>
      </c>
      <c r="M244" s="2">
        <f ca="1">IFERROR(__xludf.DUMMYFUNCTION("""COMPUTED_VALUE"""),69.79)</f>
        <v>69.790000000000006</v>
      </c>
      <c r="N244" s="2">
        <f ca="1">IFERROR(__xludf.DUMMYFUNCTION("""COMPUTED_VALUE"""),70.47)</f>
        <v>70.47</v>
      </c>
      <c r="O244" s="2">
        <f ca="1">IFERROR(__xludf.DUMMYFUNCTION("""COMPUTED_VALUE"""),71.34)</f>
        <v>71.34</v>
      </c>
      <c r="P244" s="2">
        <f ca="1">IFERROR(__xludf.DUMMYFUNCTION("""COMPUTED_VALUE"""),72.51)</f>
        <v>72.510000000000005</v>
      </c>
      <c r="Q244" s="2">
        <f ca="1">IFERROR(__xludf.DUMMYFUNCTION("""COMPUTED_VALUE"""),73.94)</f>
        <v>73.94</v>
      </c>
    </row>
    <row r="245" spans="1:17" ht="15.75" customHeight="1" x14ac:dyDescent="0.25">
      <c r="A245" s="2">
        <v>3517</v>
      </c>
      <c r="B245" s="2" t="str">
        <f ca="1">IFERROR(__xludf.DUMMYFUNCTION("""COMPUTED_VALUE"""),"JAWA TIMUR")</f>
        <v>JAWA TIMUR</v>
      </c>
      <c r="C245" s="2" t="str">
        <f ca="1">IFERROR(__xludf.DUMMYFUNCTION("""COMPUTED_VALUE"""),"Jombang")</f>
        <v>Jombang</v>
      </c>
      <c r="D245" s="2">
        <f ca="1">IFERROR(__xludf.DUMMYFUNCTION("""COMPUTED_VALUE"""),4.56)</f>
        <v>4.5599999999999996</v>
      </c>
      <c r="E245" s="2">
        <f ca="1">IFERROR(__xludf.DUMMYFUNCTION("""COMPUTED_VALUE"""),4.28)</f>
        <v>4.28</v>
      </c>
      <c r="F245" s="2">
        <f ca="1">IFERROR(__xludf.DUMMYFUNCTION("""COMPUTED_VALUE"""),7.48)</f>
        <v>7.48</v>
      </c>
      <c r="G245" s="2">
        <f ca="1">IFERROR(__xludf.DUMMYFUNCTION("""COMPUTED_VALUE"""),7.09)</f>
        <v>7.09</v>
      </c>
      <c r="H245" s="2">
        <f ca="1">IFERROR(__xludf.DUMMYFUNCTION("""COMPUTED_VALUE"""),5.47)</f>
        <v>5.47</v>
      </c>
      <c r="I245" s="2">
        <f ca="1">IFERROR(__xludf.DUMMYFUNCTION("""COMPUTED_VALUE"""),4.66)</f>
        <v>4.66</v>
      </c>
      <c r="J245" s="2">
        <f ca="1">IFERROR(__xludf.DUMMYFUNCTION("""COMPUTED_VALUE"""),3.75)</f>
        <v>3.75</v>
      </c>
      <c r="K245" s="2">
        <f ca="1">IFERROR(__xludf.DUMMYFUNCTION("""COMPUTED_VALUE"""),70.11)</f>
        <v>70.11</v>
      </c>
      <c r="L245" s="2">
        <f ca="1">IFERROR(__xludf.DUMMYFUNCTION("""COMPUTED_VALUE"""),71.04)</f>
        <v>71.040000000000006</v>
      </c>
      <c r="M245" s="2">
        <f ca="1">IFERROR(__xludf.DUMMYFUNCTION("""COMPUTED_VALUE"""),70.23)</f>
        <v>70.23</v>
      </c>
      <c r="N245" s="2">
        <f ca="1">IFERROR(__xludf.DUMMYFUNCTION("""COMPUTED_VALUE"""),70.69)</f>
        <v>70.69</v>
      </c>
      <c r="O245" s="2">
        <f ca="1">IFERROR(__xludf.DUMMYFUNCTION("""COMPUTED_VALUE"""),66.65)</f>
        <v>66.650000000000006</v>
      </c>
      <c r="P245" s="2">
        <f ca="1">IFERROR(__xludf.DUMMYFUNCTION("""COMPUTED_VALUE"""),71.91)</f>
        <v>71.91</v>
      </c>
      <c r="Q245" s="2">
        <f ca="1">IFERROR(__xludf.DUMMYFUNCTION("""COMPUTED_VALUE"""),71.88)</f>
        <v>71.88</v>
      </c>
    </row>
    <row r="246" spans="1:17" ht="15.75" customHeight="1" x14ac:dyDescent="0.25">
      <c r="A246" s="2">
        <v>3518</v>
      </c>
      <c r="B246" s="2" t="str">
        <f ca="1">IFERROR(__xludf.DUMMYFUNCTION("""COMPUTED_VALUE"""),"JAWA TIMUR")</f>
        <v>JAWA TIMUR</v>
      </c>
      <c r="C246" s="2" t="str">
        <f ca="1">IFERROR(__xludf.DUMMYFUNCTION("""COMPUTED_VALUE"""),"Nganjuk")</f>
        <v>Nganjuk</v>
      </c>
      <c r="D246" s="2">
        <f ca="1">IFERROR(__xludf.DUMMYFUNCTION("""COMPUTED_VALUE"""),2.6)</f>
        <v>2.6</v>
      </c>
      <c r="E246" s="2">
        <f ca="1">IFERROR(__xludf.DUMMYFUNCTION("""COMPUTED_VALUE"""),3.16)</f>
        <v>3.16</v>
      </c>
      <c r="F246" s="2">
        <f ca="1">IFERROR(__xludf.DUMMYFUNCTION("""COMPUTED_VALUE"""),4.8)</f>
        <v>4.8</v>
      </c>
      <c r="G246" s="2">
        <f ca="1">IFERROR(__xludf.DUMMYFUNCTION("""COMPUTED_VALUE"""),4.98)</f>
        <v>4.9800000000000004</v>
      </c>
      <c r="H246" s="2">
        <f ca="1">IFERROR(__xludf.DUMMYFUNCTION("""COMPUTED_VALUE"""),4.74)</f>
        <v>4.74</v>
      </c>
      <c r="I246" s="2">
        <f ca="1">IFERROR(__xludf.DUMMYFUNCTION("""COMPUTED_VALUE"""),4.68)</f>
        <v>4.68</v>
      </c>
      <c r="J246" s="2">
        <f ca="1">IFERROR(__xludf.DUMMYFUNCTION("""COMPUTED_VALUE"""),3.87)</f>
        <v>3.87</v>
      </c>
      <c r="K246" s="2">
        <f ca="1">IFERROR(__xludf.DUMMYFUNCTION("""COMPUTED_VALUE"""),68.03)</f>
        <v>68.03</v>
      </c>
      <c r="L246" s="2">
        <f ca="1">IFERROR(__xludf.DUMMYFUNCTION("""COMPUTED_VALUE"""),66.78)</f>
        <v>66.78</v>
      </c>
      <c r="M246" s="2">
        <f ca="1">IFERROR(__xludf.DUMMYFUNCTION("""COMPUTED_VALUE"""),65.75)</f>
        <v>65.75</v>
      </c>
      <c r="N246" s="2">
        <f ca="1">IFERROR(__xludf.DUMMYFUNCTION("""COMPUTED_VALUE"""),64.24)</f>
        <v>64.239999999999995</v>
      </c>
      <c r="O246" s="2">
        <f ca="1">IFERROR(__xludf.DUMMYFUNCTION("""COMPUTED_VALUE"""),66.79)</f>
        <v>66.790000000000006</v>
      </c>
      <c r="P246" s="2">
        <f ca="1">IFERROR(__xludf.DUMMYFUNCTION("""COMPUTED_VALUE"""),66.89)</f>
        <v>66.89</v>
      </c>
      <c r="Q246" s="2">
        <f ca="1">IFERROR(__xludf.DUMMYFUNCTION("""COMPUTED_VALUE"""),69.79)</f>
        <v>69.790000000000006</v>
      </c>
    </row>
    <row r="247" spans="1:17" ht="15.75" customHeight="1" x14ac:dyDescent="0.25">
      <c r="A247" s="2">
        <v>3519</v>
      </c>
      <c r="B247" s="2" t="str">
        <f ca="1">IFERROR(__xludf.DUMMYFUNCTION("""COMPUTED_VALUE"""),"JAWA TIMUR")</f>
        <v>JAWA TIMUR</v>
      </c>
      <c r="C247" s="2" t="str">
        <f ca="1">IFERROR(__xludf.DUMMYFUNCTION("""COMPUTED_VALUE"""),"Madiun")</f>
        <v>Madiun</v>
      </c>
      <c r="D247" s="2">
        <f ca="1">IFERROR(__xludf.DUMMYFUNCTION("""COMPUTED_VALUE"""),3.71)</f>
        <v>3.71</v>
      </c>
      <c r="E247" s="2">
        <f ca="1">IFERROR(__xludf.DUMMYFUNCTION("""COMPUTED_VALUE"""),3.52)</f>
        <v>3.52</v>
      </c>
      <c r="F247" s="2">
        <f ca="1">IFERROR(__xludf.DUMMYFUNCTION("""COMPUTED_VALUE"""),4.8)</f>
        <v>4.8</v>
      </c>
      <c r="G247" s="2">
        <f ca="1">IFERROR(__xludf.DUMMYFUNCTION("""COMPUTED_VALUE"""),4.99)</f>
        <v>4.99</v>
      </c>
      <c r="H247" s="2">
        <f ca="1">IFERROR(__xludf.DUMMYFUNCTION("""COMPUTED_VALUE"""),5.84)</f>
        <v>5.84</v>
      </c>
      <c r="I247" s="2">
        <f ca="1">IFERROR(__xludf.DUMMYFUNCTION("""COMPUTED_VALUE"""),5.14)</f>
        <v>5.14</v>
      </c>
      <c r="J247" s="2">
        <f ca="1">IFERROR(__xludf.DUMMYFUNCTION("""COMPUTED_VALUE"""),4.34)</f>
        <v>4.34</v>
      </c>
      <c r="K247" s="2">
        <f ca="1">IFERROR(__xludf.DUMMYFUNCTION("""COMPUTED_VALUE"""),69.58)</f>
        <v>69.58</v>
      </c>
      <c r="L247" s="2">
        <f ca="1">IFERROR(__xludf.DUMMYFUNCTION("""COMPUTED_VALUE"""),70.47)</f>
        <v>70.47</v>
      </c>
      <c r="M247" s="2">
        <f ca="1">IFERROR(__xludf.DUMMYFUNCTION("""COMPUTED_VALUE"""),71.42)</f>
        <v>71.42</v>
      </c>
      <c r="N247" s="2">
        <f ca="1">IFERROR(__xludf.DUMMYFUNCTION("""COMPUTED_VALUE"""),67.77)</f>
        <v>67.77</v>
      </c>
      <c r="O247" s="2">
        <f ca="1">IFERROR(__xludf.DUMMYFUNCTION("""COMPUTED_VALUE"""),72.72)</f>
        <v>72.72</v>
      </c>
      <c r="P247" s="2">
        <f ca="1">IFERROR(__xludf.DUMMYFUNCTION("""COMPUTED_VALUE"""),72.49)</f>
        <v>72.489999999999995</v>
      </c>
      <c r="Q247" s="2">
        <f ca="1">IFERROR(__xludf.DUMMYFUNCTION("""COMPUTED_VALUE"""),72.34)</f>
        <v>72.34</v>
      </c>
    </row>
    <row r="248" spans="1:17" ht="15.75" customHeight="1" x14ac:dyDescent="0.25">
      <c r="A248" s="2">
        <v>3520</v>
      </c>
      <c r="B248" s="2" t="str">
        <f ca="1">IFERROR(__xludf.DUMMYFUNCTION("""COMPUTED_VALUE"""),"JAWA TIMUR")</f>
        <v>JAWA TIMUR</v>
      </c>
      <c r="C248" s="2" t="str">
        <f ca="1">IFERROR(__xludf.DUMMYFUNCTION("""COMPUTED_VALUE"""),"Magetan")</f>
        <v>Magetan</v>
      </c>
      <c r="D248" s="2">
        <f ca="1">IFERROR(__xludf.DUMMYFUNCTION("""COMPUTED_VALUE"""),3.82)</f>
        <v>3.82</v>
      </c>
      <c r="E248" s="2">
        <f ca="1">IFERROR(__xludf.DUMMYFUNCTION("""COMPUTED_VALUE"""),2.98)</f>
        <v>2.98</v>
      </c>
      <c r="F248" s="2">
        <f ca="1">IFERROR(__xludf.DUMMYFUNCTION("""COMPUTED_VALUE"""),3.74)</f>
        <v>3.74</v>
      </c>
      <c r="G248" s="2">
        <f ca="1">IFERROR(__xludf.DUMMYFUNCTION("""COMPUTED_VALUE"""),3.86)</f>
        <v>3.86</v>
      </c>
      <c r="H248" s="2">
        <f ca="1">IFERROR(__xludf.DUMMYFUNCTION("""COMPUTED_VALUE"""),4.33)</f>
        <v>4.33</v>
      </c>
      <c r="I248" s="2">
        <f ca="1">IFERROR(__xludf.DUMMYFUNCTION("""COMPUTED_VALUE"""),4.16)</f>
        <v>4.16</v>
      </c>
      <c r="J248" s="2">
        <f ca="1">IFERROR(__xludf.DUMMYFUNCTION("""COMPUTED_VALUE"""),3.28)</f>
        <v>3.28</v>
      </c>
      <c r="K248" s="2">
        <f ca="1">IFERROR(__xludf.DUMMYFUNCTION("""COMPUTED_VALUE"""),77.66)</f>
        <v>77.66</v>
      </c>
      <c r="L248" s="2">
        <f ca="1">IFERROR(__xludf.DUMMYFUNCTION("""COMPUTED_VALUE"""),72.34)</f>
        <v>72.34</v>
      </c>
      <c r="M248" s="2">
        <f ca="1">IFERROR(__xludf.DUMMYFUNCTION("""COMPUTED_VALUE"""),73.23)</f>
        <v>73.23</v>
      </c>
      <c r="N248" s="2">
        <f ca="1">IFERROR(__xludf.DUMMYFUNCTION("""COMPUTED_VALUE"""),73.31)</f>
        <v>73.31</v>
      </c>
      <c r="O248" s="2">
        <f ca="1">IFERROR(__xludf.DUMMYFUNCTION("""COMPUTED_VALUE"""),74.03)</f>
        <v>74.03</v>
      </c>
      <c r="P248" s="2">
        <f ca="1">IFERROR(__xludf.DUMMYFUNCTION("""COMPUTED_VALUE"""),78.48)</f>
        <v>78.48</v>
      </c>
      <c r="Q248" s="2">
        <f ca="1">IFERROR(__xludf.DUMMYFUNCTION("""COMPUTED_VALUE"""),77.04)</f>
        <v>77.040000000000006</v>
      </c>
    </row>
    <row r="249" spans="1:17" ht="15.75" customHeight="1" x14ac:dyDescent="0.25">
      <c r="A249" s="2">
        <v>3521</v>
      </c>
      <c r="B249" s="2" t="str">
        <f ca="1">IFERROR(__xludf.DUMMYFUNCTION("""COMPUTED_VALUE"""),"JAWA TIMUR")</f>
        <v>JAWA TIMUR</v>
      </c>
      <c r="C249" s="2" t="str">
        <f ca="1">IFERROR(__xludf.DUMMYFUNCTION("""COMPUTED_VALUE"""),"Ngawi")</f>
        <v>Ngawi</v>
      </c>
      <c r="D249" s="2">
        <f ca="1">IFERROR(__xludf.DUMMYFUNCTION("""COMPUTED_VALUE"""),3.75)</f>
        <v>3.75</v>
      </c>
      <c r="E249" s="2">
        <f ca="1">IFERROR(__xludf.DUMMYFUNCTION("""COMPUTED_VALUE"""),3.6)</f>
        <v>3.6</v>
      </c>
      <c r="F249" s="2">
        <f ca="1">IFERROR(__xludf.DUMMYFUNCTION("""COMPUTED_VALUE"""),5.44)</f>
        <v>5.44</v>
      </c>
      <c r="G249" s="2">
        <f ca="1">IFERROR(__xludf.DUMMYFUNCTION("""COMPUTED_VALUE"""),4.25)</f>
        <v>4.25</v>
      </c>
      <c r="H249" s="2">
        <f ca="1">IFERROR(__xludf.DUMMYFUNCTION("""COMPUTED_VALUE"""),2.48)</f>
        <v>2.48</v>
      </c>
      <c r="I249" s="2">
        <f ca="1">IFERROR(__xludf.DUMMYFUNCTION("""COMPUTED_VALUE"""),2.41)</f>
        <v>2.41</v>
      </c>
      <c r="J249" s="2">
        <f ca="1">IFERROR(__xludf.DUMMYFUNCTION("""COMPUTED_VALUE"""),2.4)</f>
        <v>2.4</v>
      </c>
      <c r="K249" s="2">
        <f ca="1">IFERROR(__xludf.DUMMYFUNCTION("""COMPUTED_VALUE"""),75.51)</f>
        <v>75.510000000000005</v>
      </c>
      <c r="L249" s="2">
        <f ca="1">IFERROR(__xludf.DUMMYFUNCTION("""COMPUTED_VALUE"""),72.48)</f>
        <v>72.48</v>
      </c>
      <c r="M249" s="2">
        <f ca="1">IFERROR(__xludf.DUMMYFUNCTION("""COMPUTED_VALUE"""),72.69)</f>
        <v>72.69</v>
      </c>
      <c r="N249" s="2">
        <f ca="1">IFERROR(__xludf.DUMMYFUNCTION("""COMPUTED_VALUE"""),72.88)</f>
        <v>72.88</v>
      </c>
      <c r="O249" s="2">
        <f ca="1">IFERROR(__xludf.DUMMYFUNCTION("""COMPUTED_VALUE"""),78.6)</f>
        <v>78.599999999999994</v>
      </c>
      <c r="P249" s="2">
        <f ca="1">IFERROR(__xludf.DUMMYFUNCTION("""COMPUTED_VALUE"""),69.43)</f>
        <v>69.430000000000007</v>
      </c>
      <c r="Q249" s="2">
        <f ca="1">IFERROR(__xludf.DUMMYFUNCTION("""COMPUTED_VALUE"""),75.73)</f>
        <v>75.73</v>
      </c>
    </row>
    <row r="250" spans="1:17" ht="15.75" customHeight="1" x14ac:dyDescent="0.25">
      <c r="A250" s="2">
        <v>3522</v>
      </c>
      <c r="B250" s="2" t="str">
        <f ca="1">IFERROR(__xludf.DUMMYFUNCTION("""COMPUTED_VALUE"""),"JAWA TIMUR")</f>
        <v>JAWA TIMUR</v>
      </c>
      <c r="C250" s="2" t="str">
        <f ca="1">IFERROR(__xludf.DUMMYFUNCTION("""COMPUTED_VALUE"""),"Bojonegoro")</f>
        <v>Bojonegoro</v>
      </c>
      <c r="D250" s="2">
        <f ca="1">IFERROR(__xludf.DUMMYFUNCTION("""COMPUTED_VALUE"""),4.11)</f>
        <v>4.1100000000000003</v>
      </c>
      <c r="E250" s="2">
        <f ca="1">IFERROR(__xludf.DUMMYFUNCTION("""COMPUTED_VALUE"""),3.56)</f>
        <v>3.56</v>
      </c>
      <c r="F250" s="2">
        <f ca="1">IFERROR(__xludf.DUMMYFUNCTION("""COMPUTED_VALUE"""),4.92)</f>
        <v>4.92</v>
      </c>
      <c r="G250" s="2">
        <f ca="1">IFERROR(__xludf.DUMMYFUNCTION("""COMPUTED_VALUE"""),4.82)</f>
        <v>4.82</v>
      </c>
      <c r="H250" s="2">
        <f ca="1">IFERROR(__xludf.DUMMYFUNCTION("""COMPUTED_VALUE"""),4.69)</f>
        <v>4.6900000000000004</v>
      </c>
      <c r="I250" s="2">
        <f ca="1">IFERROR(__xludf.DUMMYFUNCTION("""COMPUTED_VALUE"""),4.63)</f>
        <v>4.63</v>
      </c>
      <c r="J250" s="2">
        <f ca="1">IFERROR(__xludf.DUMMYFUNCTION("""COMPUTED_VALUE"""),4.42)</f>
        <v>4.42</v>
      </c>
      <c r="K250" s="2">
        <f ca="1">IFERROR(__xludf.DUMMYFUNCTION("""COMPUTED_VALUE"""),67.36)</f>
        <v>67.36</v>
      </c>
      <c r="L250" s="2">
        <f ca="1">IFERROR(__xludf.DUMMYFUNCTION("""COMPUTED_VALUE"""),71.29)</f>
        <v>71.290000000000006</v>
      </c>
      <c r="M250" s="2">
        <f ca="1">IFERROR(__xludf.DUMMYFUNCTION("""COMPUTED_VALUE"""),74.6)</f>
        <v>74.599999999999994</v>
      </c>
      <c r="N250" s="2">
        <f ca="1">IFERROR(__xludf.DUMMYFUNCTION("""COMPUTED_VALUE"""),71.84)</f>
        <v>71.84</v>
      </c>
      <c r="O250" s="2">
        <f ca="1">IFERROR(__xludf.DUMMYFUNCTION("""COMPUTED_VALUE"""),72.16)</f>
        <v>72.16</v>
      </c>
      <c r="P250" s="2">
        <f ca="1">IFERROR(__xludf.DUMMYFUNCTION("""COMPUTED_VALUE"""),74.29)</f>
        <v>74.290000000000006</v>
      </c>
      <c r="Q250" s="2">
        <f ca="1">IFERROR(__xludf.DUMMYFUNCTION("""COMPUTED_VALUE"""),73.86)</f>
        <v>73.86</v>
      </c>
    </row>
    <row r="251" spans="1:17" ht="15.75" customHeight="1" x14ac:dyDescent="0.25">
      <c r="A251" s="2">
        <v>3523</v>
      </c>
      <c r="B251" s="2" t="str">
        <f ca="1">IFERROR(__xludf.DUMMYFUNCTION("""COMPUTED_VALUE"""),"JAWA TIMUR")</f>
        <v>JAWA TIMUR</v>
      </c>
      <c r="C251" s="2" t="str">
        <f ca="1">IFERROR(__xludf.DUMMYFUNCTION("""COMPUTED_VALUE"""),"Tuban")</f>
        <v>Tuban</v>
      </c>
      <c r="D251" s="2">
        <f ca="1">IFERROR(__xludf.DUMMYFUNCTION("""COMPUTED_VALUE"""),2.76)</f>
        <v>2.76</v>
      </c>
      <c r="E251" s="2">
        <f ca="1">IFERROR(__xludf.DUMMYFUNCTION("""COMPUTED_VALUE"""),2.7)</f>
        <v>2.7</v>
      </c>
      <c r="F251" s="2">
        <f ca="1">IFERROR(__xludf.DUMMYFUNCTION("""COMPUTED_VALUE"""),4.81)</f>
        <v>4.8099999999999996</v>
      </c>
      <c r="G251" s="2">
        <f ca="1">IFERROR(__xludf.DUMMYFUNCTION("""COMPUTED_VALUE"""),4.68)</f>
        <v>4.68</v>
      </c>
      <c r="H251" s="2">
        <f ca="1">IFERROR(__xludf.DUMMYFUNCTION("""COMPUTED_VALUE"""),4.54)</f>
        <v>4.54</v>
      </c>
      <c r="I251" s="2">
        <f ca="1">IFERROR(__xludf.DUMMYFUNCTION("""COMPUTED_VALUE"""),4.4)</f>
        <v>4.4000000000000004</v>
      </c>
      <c r="J251" s="2">
        <f ca="1">IFERROR(__xludf.DUMMYFUNCTION("""COMPUTED_VALUE"""),4.28)</f>
        <v>4.28</v>
      </c>
      <c r="K251" s="2">
        <f ca="1">IFERROR(__xludf.DUMMYFUNCTION("""COMPUTED_VALUE"""),71.87)</f>
        <v>71.87</v>
      </c>
      <c r="L251" s="2">
        <f ca="1">IFERROR(__xludf.DUMMYFUNCTION("""COMPUTED_VALUE"""),68.76)</f>
        <v>68.760000000000005</v>
      </c>
      <c r="M251" s="2">
        <f ca="1">IFERROR(__xludf.DUMMYFUNCTION("""COMPUTED_VALUE"""),71.84)</f>
        <v>71.84</v>
      </c>
      <c r="N251" s="2">
        <f ca="1">IFERROR(__xludf.DUMMYFUNCTION("""COMPUTED_VALUE"""),73.77)</f>
        <v>73.77</v>
      </c>
      <c r="O251" s="2">
        <f ca="1">IFERROR(__xludf.DUMMYFUNCTION("""COMPUTED_VALUE"""),73.63)</f>
        <v>73.63</v>
      </c>
      <c r="P251" s="2">
        <f ca="1">IFERROR(__xludf.DUMMYFUNCTION("""COMPUTED_VALUE"""),74.73)</f>
        <v>74.73</v>
      </c>
      <c r="Q251" s="2">
        <f ca="1">IFERROR(__xludf.DUMMYFUNCTION("""COMPUTED_VALUE"""),74.55)</f>
        <v>74.55</v>
      </c>
    </row>
    <row r="252" spans="1:17" ht="15.75" customHeight="1" x14ac:dyDescent="0.25">
      <c r="A252" s="2">
        <v>3524</v>
      </c>
      <c r="B252" s="2" t="str">
        <f ca="1">IFERROR(__xludf.DUMMYFUNCTION("""COMPUTED_VALUE"""),"JAWA TIMUR")</f>
        <v>JAWA TIMUR</v>
      </c>
      <c r="C252" s="2" t="str">
        <f ca="1">IFERROR(__xludf.DUMMYFUNCTION("""COMPUTED_VALUE"""),"Lamongan")</f>
        <v>Lamongan</v>
      </c>
      <c r="D252" s="2">
        <f ca="1">IFERROR(__xludf.DUMMYFUNCTION("""COMPUTED_VALUE"""),3.1)</f>
        <v>3.1</v>
      </c>
      <c r="E252" s="2">
        <f ca="1">IFERROR(__xludf.DUMMYFUNCTION("""COMPUTED_VALUE"""),3.89)</f>
        <v>3.89</v>
      </c>
      <c r="F252" s="2">
        <f ca="1">IFERROR(__xludf.DUMMYFUNCTION("""COMPUTED_VALUE"""),5.13)</f>
        <v>5.13</v>
      </c>
      <c r="G252" s="2">
        <f ca="1">IFERROR(__xludf.DUMMYFUNCTION("""COMPUTED_VALUE"""),4.9)</f>
        <v>4.9000000000000004</v>
      </c>
      <c r="H252" s="2">
        <f ca="1">IFERROR(__xludf.DUMMYFUNCTION("""COMPUTED_VALUE"""),6.05)</f>
        <v>6.05</v>
      </c>
      <c r="I252" s="2">
        <f ca="1">IFERROR(__xludf.DUMMYFUNCTION("""COMPUTED_VALUE"""),5.46)</f>
        <v>5.46</v>
      </c>
      <c r="J252" s="2">
        <f ca="1">IFERROR(__xludf.DUMMYFUNCTION("""COMPUTED_VALUE"""),4.34)</f>
        <v>4.34</v>
      </c>
      <c r="K252" s="2">
        <f ca="1">IFERROR(__xludf.DUMMYFUNCTION("""COMPUTED_VALUE"""),68.12)</f>
        <v>68.12</v>
      </c>
      <c r="L252" s="2">
        <f ca="1">IFERROR(__xludf.DUMMYFUNCTION("""COMPUTED_VALUE"""),68.96)</f>
        <v>68.959999999999994</v>
      </c>
      <c r="M252" s="2">
        <f ca="1">IFERROR(__xludf.DUMMYFUNCTION("""COMPUTED_VALUE"""),70.81)</f>
        <v>70.81</v>
      </c>
      <c r="N252" s="2">
        <f ca="1">IFERROR(__xludf.DUMMYFUNCTION("""COMPUTED_VALUE"""),70.72)</f>
        <v>70.72</v>
      </c>
      <c r="O252" s="2">
        <f ca="1">IFERROR(__xludf.DUMMYFUNCTION("""COMPUTED_VALUE"""),69.3)</f>
        <v>69.3</v>
      </c>
      <c r="P252" s="2">
        <f ca="1">IFERROR(__xludf.DUMMYFUNCTION("""COMPUTED_VALUE"""),75.08)</f>
        <v>75.08</v>
      </c>
      <c r="Q252" s="2">
        <f ca="1">IFERROR(__xludf.DUMMYFUNCTION("""COMPUTED_VALUE"""),74.8)</f>
        <v>74.8</v>
      </c>
    </row>
    <row r="253" spans="1:17" ht="15.75" customHeight="1" x14ac:dyDescent="0.25">
      <c r="A253" s="2">
        <v>3525</v>
      </c>
      <c r="B253" s="2" t="str">
        <f ca="1">IFERROR(__xludf.DUMMYFUNCTION("""COMPUTED_VALUE"""),"JAWA TIMUR")</f>
        <v>JAWA TIMUR</v>
      </c>
      <c r="C253" s="2" t="str">
        <f ca="1">IFERROR(__xludf.DUMMYFUNCTION("""COMPUTED_VALUE"""),"Gresik")</f>
        <v>Gresik</v>
      </c>
      <c r="D253" s="2">
        <f ca="1">IFERROR(__xludf.DUMMYFUNCTION("""COMPUTED_VALUE"""),5.71)</f>
        <v>5.71</v>
      </c>
      <c r="E253" s="2">
        <f ca="1">IFERROR(__xludf.DUMMYFUNCTION("""COMPUTED_VALUE"""),5.4)</f>
        <v>5.4</v>
      </c>
      <c r="F253" s="2">
        <f ca="1">IFERROR(__xludf.DUMMYFUNCTION("""COMPUTED_VALUE"""),8.21)</f>
        <v>8.2100000000000009</v>
      </c>
      <c r="G253" s="2">
        <f ca="1">IFERROR(__xludf.DUMMYFUNCTION("""COMPUTED_VALUE"""),8)</f>
        <v>8</v>
      </c>
      <c r="H253" s="2">
        <f ca="1">IFERROR(__xludf.DUMMYFUNCTION("""COMPUTED_VALUE"""),7.84)</f>
        <v>7.84</v>
      </c>
      <c r="I253" s="2">
        <f ca="1">IFERROR(__xludf.DUMMYFUNCTION("""COMPUTED_VALUE"""),6.82)</f>
        <v>6.82</v>
      </c>
      <c r="J253" s="2">
        <f ca="1">IFERROR(__xludf.DUMMYFUNCTION("""COMPUTED_VALUE"""),6.45)</f>
        <v>6.45</v>
      </c>
      <c r="K253" s="2">
        <f ca="1">IFERROR(__xludf.DUMMYFUNCTION("""COMPUTED_VALUE"""),67.52)</f>
        <v>67.52</v>
      </c>
      <c r="L253" s="2">
        <f ca="1">IFERROR(__xludf.DUMMYFUNCTION("""COMPUTED_VALUE"""),65.83)</f>
        <v>65.83</v>
      </c>
      <c r="M253" s="2">
        <f ca="1">IFERROR(__xludf.DUMMYFUNCTION("""COMPUTED_VALUE"""),66.53)</f>
        <v>66.53</v>
      </c>
      <c r="N253" s="2">
        <f ca="1">IFERROR(__xludf.DUMMYFUNCTION("""COMPUTED_VALUE"""),69.43)</f>
        <v>69.430000000000007</v>
      </c>
      <c r="O253" s="2">
        <f ca="1">IFERROR(__xludf.DUMMYFUNCTION("""COMPUTED_VALUE"""),68.3)</f>
        <v>68.3</v>
      </c>
      <c r="P253" s="2">
        <f ca="1">IFERROR(__xludf.DUMMYFUNCTION("""COMPUTED_VALUE"""),70.12)</f>
        <v>70.12</v>
      </c>
      <c r="Q253" s="2">
        <f ca="1">IFERROR(__xludf.DUMMYFUNCTION("""COMPUTED_VALUE"""),71.61)</f>
        <v>71.61</v>
      </c>
    </row>
    <row r="254" spans="1:17" ht="15.75" customHeight="1" x14ac:dyDescent="0.25">
      <c r="A254" s="2">
        <v>3526</v>
      </c>
      <c r="B254" s="2" t="str">
        <f ca="1">IFERROR(__xludf.DUMMYFUNCTION("""COMPUTED_VALUE"""),"JAWA TIMUR")</f>
        <v>JAWA TIMUR</v>
      </c>
      <c r="C254" s="2" t="str">
        <f ca="1">IFERROR(__xludf.DUMMYFUNCTION("""COMPUTED_VALUE"""),"Bangkalan")</f>
        <v>Bangkalan</v>
      </c>
      <c r="D254" s="2">
        <f ca="1">IFERROR(__xludf.DUMMYFUNCTION("""COMPUTED_VALUE"""),5.09)</f>
        <v>5.09</v>
      </c>
      <c r="E254" s="2">
        <f ca="1">IFERROR(__xludf.DUMMYFUNCTION("""COMPUTED_VALUE"""),5.62)</f>
        <v>5.62</v>
      </c>
      <c r="F254" s="2">
        <f ca="1">IFERROR(__xludf.DUMMYFUNCTION("""COMPUTED_VALUE"""),8.77)</f>
        <v>8.77</v>
      </c>
      <c r="G254" s="2">
        <f ca="1">IFERROR(__xludf.DUMMYFUNCTION("""COMPUTED_VALUE"""),8.07)</f>
        <v>8.07</v>
      </c>
      <c r="H254" s="2">
        <f ca="1">IFERROR(__xludf.DUMMYFUNCTION("""COMPUTED_VALUE"""),8.05)</f>
        <v>8.0500000000000007</v>
      </c>
      <c r="I254" s="2">
        <f ca="1">IFERROR(__xludf.DUMMYFUNCTION("""COMPUTED_VALUE"""),6.18)</f>
        <v>6.18</v>
      </c>
      <c r="J254" s="2">
        <f ca="1">IFERROR(__xludf.DUMMYFUNCTION("""COMPUTED_VALUE"""),5.35)</f>
        <v>5.35</v>
      </c>
      <c r="K254" s="2">
        <f ca="1">IFERROR(__xludf.DUMMYFUNCTION("""COMPUTED_VALUE"""),69.12)</f>
        <v>69.12</v>
      </c>
      <c r="L254" s="2">
        <f ca="1">IFERROR(__xludf.DUMMYFUNCTION("""COMPUTED_VALUE"""),63.44)</f>
        <v>63.44</v>
      </c>
      <c r="M254" s="2">
        <f ca="1">IFERROR(__xludf.DUMMYFUNCTION("""COMPUTED_VALUE"""),67)</f>
        <v>67</v>
      </c>
      <c r="N254" s="2">
        <f ca="1">IFERROR(__xludf.DUMMYFUNCTION("""COMPUTED_VALUE"""),68.66)</f>
        <v>68.66</v>
      </c>
      <c r="O254" s="2">
        <f ca="1">IFERROR(__xludf.DUMMYFUNCTION("""COMPUTED_VALUE"""),73.86)</f>
        <v>73.86</v>
      </c>
      <c r="P254" s="2">
        <f ca="1">IFERROR(__xludf.DUMMYFUNCTION("""COMPUTED_VALUE"""),71.49)</f>
        <v>71.489999999999995</v>
      </c>
      <c r="Q254" s="2">
        <f ca="1">IFERROR(__xludf.DUMMYFUNCTION("""COMPUTED_VALUE"""),70.48)</f>
        <v>70.48</v>
      </c>
    </row>
    <row r="255" spans="1:17" ht="15.75" customHeight="1" x14ac:dyDescent="0.25">
      <c r="A255" s="2">
        <v>3527</v>
      </c>
      <c r="B255" s="2" t="str">
        <f ca="1">IFERROR(__xludf.DUMMYFUNCTION("""COMPUTED_VALUE"""),"JAWA TIMUR")</f>
        <v>JAWA TIMUR</v>
      </c>
      <c r="C255" s="2" t="str">
        <f ca="1">IFERROR(__xludf.DUMMYFUNCTION("""COMPUTED_VALUE"""),"Sampang")</f>
        <v>Sampang</v>
      </c>
      <c r="D255" s="2">
        <f ca="1">IFERROR(__xludf.DUMMYFUNCTION("""COMPUTED_VALUE"""),2.38)</f>
        <v>2.38</v>
      </c>
      <c r="E255" s="2">
        <f ca="1">IFERROR(__xludf.DUMMYFUNCTION("""COMPUTED_VALUE"""),2.71)</f>
        <v>2.71</v>
      </c>
      <c r="F255" s="2">
        <f ca="1">IFERROR(__xludf.DUMMYFUNCTION("""COMPUTED_VALUE"""),3.35)</f>
        <v>3.35</v>
      </c>
      <c r="G255" s="2">
        <f ca="1">IFERROR(__xludf.DUMMYFUNCTION("""COMPUTED_VALUE"""),3.45)</f>
        <v>3.45</v>
      </c>
      <c r="H255" s="2">
        <f ca="1">IFERROR(__xludf.DUMMYFUNCTION("""COMPUTED_VALUE"""),3.11)</f>
        <v>3.11</v>
      </c>
      <c r="I255" s="2">
        <f ca="1">IFERROR(__xludf.DUMMYFUNCTION("""COMPUTED_VALUE"""),2.72)</f>
        <v>2.72</v>
      </c>
      <c r="J255" s="2">
        <f ca="1">IFERROR(__xludf.DUMMYFUNCTION("""COMPUTED_VALUE"""),2.5)</f>
        <v>2.5</v>
      </c>
      <c r="K255" s="2">
        <f ca="1">IFERROR(__xludf.DUMMYFUNCTION("""COMPUTED_VALUE"""),67.55)</f>
        <v>67.55</v>
      </c>
      <c r="L255" s="2">
        <f ca="1">IFERROR(__xludf.DUMMYFUNCTION("""COMPUTED_VALUE"""),66.74)</f>
        <v>66.739999999999995</v>
      </c>
      <c r="M255" s="2">
        <f ca="1">IFERROR(__xludf.DUMMYFUNCTION("""COMPUTED_VALUE"""),69.93)</f>
        <v>69.930000000000007</v>
      </c>
      <c r="N255" s="2">
        <f ca="1">IFERROR(__xludf.DUMMYFUNCTION("""COMPUTED_VALUE"""),70.19)</f>
        <v>70.19</v>
      </c>
      <c r="O255" s="2">
        <f ca="1">IFERROR(__xludf.DUMMYFUNCTION("""COMPUTED_VALUE"""),73.37)</f>
        <v>73.37</v>
      </c>
      <c r="P255" s="2">
        <f ca="1">IFERROR(__xludf.DUMMYFUNCTION("""COMPUTED_VALUE"""),73.54)</f>
        <v>73.540000000000006</v>
      </c>
      <c r="Q255" s="2">
        <f ca="1">IFERROR(__xludf.DUMMYFUNCTION("""COMPUTED_VALUE"""),73.62)</f>
        <v>73.62</v>
      </c>
    </row>
    <row r="256" spans="1:17" ht="15.75" customHeight="1" x14ac:dyDescent="0.25">
      <c r="A256" s="2">
        <v>3528</v>
      </c>
      <c r="B256" s="2" t="str">
        <f ca="1">IFERROR(__xludf.DUMMYFUNCTION("""COMPUTED_VALUE"""),"JAWA TIMUR")</f>
        <v>JAWA TIMUR</v>
      </c>
      <c r="C256" s="2" t="str">
        <f ca="1">IFERROR(__xludf.DUMMYFUNCTION("""COMPUTED_VALUE"""),"Pamekasan")</f>
        <v>Pamekasan</v>
      </c>
      <c r="D256" s="2">
        <f ca="1">IFERROR(__xludf.DUMMYFUNCTION("""COMPUTED_VALUE"""),2.88)</f>
        <v>2.88</v>
      </c>
      <c r="E256" s="2">
        <f ca="1">IFERROR(__xludf.DUMMYFUNCTION("""COMPUTED_VALUE"""),2.26)</f>
        <v>2.2599999999999998</v>
      </c>
      <c r="F256" s="2">
        <f ca="1">IFERROR(__xludf.DUMMYFUNCTION("""COMPUTED_VALUE"""),3.49)</f>
        <v>3.49</v>
      </c>
      <c r="G256" s="2">
        <f ca="1">IFERROR(__xludf.DUMMYFUNCTION("""COMPUTED_VALUE"""),3.1)</f>
        <v>3.1</v>
      </c>
      <c r="H256" s="2">
        <f ca="1">IFERROR(__xludf.DUMMYFUNCTION("""COMPUTED_VALUE"""),1.4)</f>
        <v>1.4</v>
      </c>
      <c r="I256" s="2">
        <f ca="1">IFERROR(__xludf.DUMMYFUNCTION("""COMPUTED_VALUE"""),1.74)</f>
        <v>1.74</v>
      </c>
      <c r="J256" s="2">
        <f ca="1">IFERROR(__xludf.DUMMYFUNCTION("""COMPUTED_VALUE"""),1.64)</f>
        <v>1.64</v>
      </c>
      <c r="K256" s="2">
        <f ca="1">IFERROR(__xludf.DUMMYFUNCTION("""COMPUTED_VALUE"""),69.7)</f>
        <v>69.7</v>
      </c>
      <c r="L256" s="2">
        <f ca="1">IFERROR(__xludf.DUMMYFUNCTION("""COMPUTED_VALUE"""),68.5)</f>
        <v>68.5</v>
      </c>
      <c r="M256" s="2">
        <f ca="1">IFERROR(__xludf.DUMMYFUNCTION("""COMPUTED_VALUE"""),69.82)</f>
        <v>69.819999999999993</v>
      </c>
      <c r="N256" s="2">
        <f ca="1">IFERROR(__xludf.DUMMYFUNCTION("""COMPUTED_VALUE"""),65.88)</f>
        <v>65.88</v>
      </c>
      <c r="O256" s="2">
        <f ca="1">IFERROR(__xludf.DUMMYFUNCTION("""COMPUTED_VALUE"""),73.59)</f>
        <v>73.59</v>
      </c>
      <c r="P256" s="2">
        <f ca="1">IFERROR(__xludf.DUMMYFUNCTION("""COMPUTED_VALUE"""),77.14)</f>
        <v>77.14</v>
      </c>
      <c r="Q256" s="2">
        <f ca="1">IFERROR(__xludf.DUMMYFUNCTION("""COMPUTED_VALUE"""),79.13)</f>
        <v>79.13</v>
      </c>
    </row>
    <row r="257" spans="1:17" ht="15.75" customHeight="1" x14ac:dyDescent="0.25">
      <c r="A257" s="2">
        <v>3529</v>
      </c>
      <c r="B257" s="2" t="str">
        <f ca="1">IFERROR(__xludf.DUMMYFUNCTION("""COMPUTED_VALUE"""),"JAWA TIMUR")</f>
        <v>JAWA TIMUR</v>
      </c>
      <c r="C257" s="2" t="str">
        <f ca="1">IFERROR(__xludf.DUMMYFUNCTION("""COMPUTED_VALUE"""),"Sumenep")</f>
        <v>Sumenep</v>
      </c>
      <c r="D257" s="2">
        <f ca="1">IFERROR(__xludf.DUMMYFUNCTION("""COMPUTED_VALUE"""),1.75)</f>
        <v>1.75</v>
      </c>
      <c r="E257" s="2">
        <f ca="1">IFERROR(__xludf.DUMMYFUNCTION("""COMPUTED_VALUE"""),2.08)</f>
        <v>2.08</v>
      </c>
      <c r="F257" s="2">
        <f ca="1">IFERROR(__xludf.DUMMYFUNCTION("""COMPUTED_VALUE"""),2.84)</f>
        <v>2.84</v>
      </c>
      <c r="G257" s="2">
        <f ca="1">IFERROR(__xludf.DUMMYFUNCTION("""COMPUTED_VALUE"""),2.31)</f>
        <v>2.31</v>
      </c>
      <c r="H257" s="2">
        <f ca="1">IFERROR(__xludf.DUMMYFUNCTION("""COMPUTED_VALUE"""),1.36)</f>
        <v>1.36</v>
      </c>
      <c r="I257" s="2">
        <f ca="1">IFERROR(__xludf.DUMMYFUNCTION("""COMPUTED_VALUE"""),1.71)</f>
        <v>1.71</v>
      </c>
      <c r="J257" s="2">
        <f ca="1">IFERROR(__xludf.DUMMYFUNCTION("""COMPUTED_VALUE"""),1.69)</f>
        <v>1.69</v>
      </c>
      <c r="K257" s="2">
        <f ca="1">IFERROR(__xludf.DUMMYFUNCTION("""COMPUTED_VALUE"""),71.84)</f>
        <v>71.84</v>
      </c>
      <c r="L257" s="2">
        <f ca="1">IFERROR(__xludf.DUMMYFUNCTION("""COMPUTED_VALUE"""),75.33)</f>
        <v>75.33</v>
      </c>
      <c r="M257" s="2">
        <f ca="1">IFERROR(__xludf.DUMMYFUNCTION("""COMPUTED_VALUE"""),75.02)</f>
        <v>75.02</v>
      </c>
      <c r="N257" s="2">
        <f ca="1">IFERROR(__xludf.DUMMYFUNCTION("""COMPUTED_VALUE"""),75.63)</f>
        <v>75.63</v>
      </c>
      <c r="O257" s="2">
        <f ca="1">IFERROR(__xludf.DUMMYFUNCTION("""COMPUTED_VALUE"""),75.12)</f>
        <v>75.12</v>
      </c>
      <c r="P257" s="2">
        <f ca="1">IFERROR(__xludf.DUMMYFUNCTION("""COMPUTED_VALUE"""),78.86)</f>
        <v>78.86</v>
      </c>
      <c r="Q257" s="2">
        <f ca="1">IFERROR(__xludf.DUMMYFUNCTION("""COMPUTED_VALUE"""),78.16)</f>
        <v>78.16</v>
      </c>
    </row>
    <row r="258" spans="1:17" ht="15.75" customHeight="1" x14ac:dyDescent="0.25">
      <c r="A258" s="2">
        <v>3571</v>
      </c>
      <c r="B258" s="2" t="str">
        <f ca="1">IFERROR(__xludf.DUMMYFUNCTION("""COMPUTED_VALUE"""),"JAWA TIMUR")</f>
        <v>JAWA TIMUR</v>
      </c>
      <c r="C258" s="2" t="str">
        <f ca="1">IFERROR(__xludf.DUMMYFUNCTION("""COMPUTED_VALUE"""),"Kota Kediri")</f>
        <v>Kota Kediri</v>
      </c>
      <c r="D258" s="2">
        <f ca="1">IFERROR(__xludf.DUMMYFUNCTION("""COMPUTED_VALUE"""),3.56)</f>
        <v>3.56</v>
      </c>
      <c r="E258" s="2">
        <f ca="1">IFERROR(__xludf.DUMMYFUNCTION("""COMPUTED_VALUE"""),4.15)</f>
        <v>4.1500000000000004</v>
      </c>
      <c r="F258" s="2">
        <f ca="1">IFERROR(__xludf.DUMMYFUNCTION("""COMPUTED_VALUE"""),6.21)</f>
        <v>6.21</v>
      </c>
      <c r="G258" s="2">
        <f ca="1">IFERROR(__xludf.DUMMYFUNCTION("""COMPUTED_VALUE"""),6.37)</f>
        <v>6.37</v>
      </c>
      <c r="H258" s="2">
        <f ca="1">IFERROR(__xludf.DUMMYFUNCTION("""COMPUTED_VALUE"""),4.38)</f>
        <v>4.38</v>
      </c>
      <c r="I258" s="2">
        <f ca="1">IFERROR(__xludf.DUMMYFUNCTION("""COMPUTED_VALUE"""),4.06)</f>
        <v>4.0599999999999996</v>
      </c>
      <c r="J258" s="2">
        <f ca="1">IFERROR(__xludf.DUMMYFUNCTION("""COMPUTED_VALUE"""),3.91)</f>
        <v>3.91</v>
      </c>
      <c r="K258" s="2">
        <f ca="1">IFERROR(__xludf.DUMMYFUNCTION("""COMPUTED_VALUE"""),65.47)</f>
        <v>65.47</v>
      </c>
      <c r="L258" s="2">
        <f ca="1">IFERROR(__xludf.DUMMYFUNCTION("""COMPUTED_VALUE"""),64.81)</f>
        <v>64.81</v>
      </c>
      <c r="M258" s="2">
        <f ca="1">IFERROR(__xludf.DUMMYFUNCTION("""COMPUTED_VALUE"""),66)</f>
        <v>66</v>
      </c>
      <c r="N258" s="2">
        <f ca="1">IFERROR(__xludf.DUMMYFUNCTION("""COMPUTED_VALUE"""),67.35)</f>
        <v>67.349999999999994</v>
      </c>
      <c r="O258" s="2">
        <f ca="1">IFERROR(__xludf.DUMMYFUNCTION("""COMPUTED_VALUE"""),69.93)</f>
        <v>69.930000000000007</v>
      </c>
      <c r="P258" s="2">
        <f ca="1">IFERROR(__xludf.DUMMYFUNCTION("""COMPUTED_VALUE"""),71.83)</f>
        <v>71.83</v>
      </c>
      <c r="Q258" s="2">
        <f ca="1">IFERROR(__xludf.DUMMYFUNCTION("""COMPUTED_VALUE"""),70.74)</f>
        <v>70.739999999999995</v>
      </c>
    </row>
    <row r="259" spans="1:17" ht="15.75" customHeight="1" x14ac:dyDescent="0.25">
      <c r="A259" s="2">
        <v>3572</v>
      </c>
      <c r="B259" s="2" t="str">
        <f ca="1">IFERROR(__xludf.DUMMYFUNCTION("""COMPUTED_VALUE"""),"JAWA TIMUR")</f>
        <v>JAWA TIMUR</v>
      </c>
      <c r="C259" s="2" t="str">
        <f ca="1">IFERROR(__xludf.DUMMYFUNCTION("""COMPUTED_VALUE"""),"Kota Blitar")</f>
        <v>Kota Blitar</v>
      </c>
      <c r="D259" s="2">
        <f ca="1">IFERROR(__xludf.DUMMYFUNCTION("""COMPUTED_VALUE"""),3.98)</f>
        <v>3.98</v>
      </c>
      <c r="E259" s="2">
        <f ca="1">IFERROR(__xludf.DUMMYFUNCTION("""COMPUTED_VALUE"""),4.54)</f>
        <v>4.54</v>
      </c>
      <c r="F259" s="2">
        <f ca="1">IFERROR(__xludf.DUMMYFUNCTION("""COMPUTED_VALUE"""),6.68)</f>
        <v>6.68</v>
      </c>
      <c r="G259" s="2">
        <f ca="1">IFERROR(__xludf.DUMMYFUNCTION("""COMPUTED_VALUE"""),6.61)</f>
        <v>6.61</v>
      </c>
      <c r="H259" s="2">
        <f ca="1">IFERROR(__xludf.DUMMYFUNCTION("""COMPUTED_VALUE"""),5.39)</f>
        <v>5.39</v>
      </c>
      <c r="I259" s="2">
        <f ca="1">IFERROR(__xludf.DUMMYFUNCTION("""COMPUTED_VALUE"""),5.24)</f>
        <v>5.24</v>
      </c>
      <c r="J259" s="2">
        <f ca="1">IFERROR(__xludf.DUMMYFUNCTION("""COMPUTED_VALUE"""),5.11)</f>
        <v>5.1100000000000003</v>
      </c>
      <c r="K259" s="2">
        <f ca="1">IFERROR(__xludf.DUMMYFUNCTION("""COMPUTED_VALUE"""),72.38)</f>
        <v>72.38</v>
      </c>
      <c r="L259" s="2">
        <f ca="1">IFERROR(__xludf.DUMMYFUNCTION("""COMPUTED_VALUE"""),72.15)</f>
        <v>72.150000000000006</v>
      </c>
      <c r="M259" s="2">
        <f ca="1">IFERROR(__xludf.DUMMYFUNCTION("""COMPUTED_VALUE"""),69.53)</f>
        <v>69.53</v>
      </c>
      <c r="N259" s="2">
        <f ca="1">IFERROR(__xludf.DUMMYFUNCTION("""COMPUTED_VALUE"""),69.96)</f>
        <v>69.959999999999994</v>
      </c>
      <c r="O259" s="2">
        <f ca="1">IFERROR(__xludf.DUMMYFUNCTION("""COMPUTED_VALUE"""),67.78)</f>
        <v>67.78</v>
      </c>
      <c r="P259" s="2">
        <f ca="1">IFERROR(__xludf.DUMMYFUNCTION("""COMPUTED_VALUE"""),72.26)</f>
        <v>72.260000000000005</v>
      </c>
      <c r="Q259" s="2">
        <f ca="1">IFERROR(__xludf.DUMMYFUNCTION("""COMPUTED_VALUE"""),70.44)</f>
        <v>70.44</v>
      </c>
    </row>
    <row r="260" spans="1:17" ht="15.75" customHeight="1" x14ac:dyDescent="0.25">
      <c r="A260" s="2">
        <v>3573</v>
      </c>
      <c r="B260" s="2" t="str">
        <f ca="1">IFERROR(__xludf.DUMMYFUNCTION("""COMPUTED_VALUE"""),"JAWA TIMUR")</f>
        <v>JAWA TIMUR</v>
      </c>
      <c r="C260" s="2" t="str">
        <f ca="1">IFERROR(__xludf.DUMMYFUNCTION("""COMPUTED_VALUE"""),"Kota Malang")</f>
        <v>Kota Malang</v>
      </c>
      <c r="D260" s="2">
        <f ca="1">IFERROR(__xludf.DUMMYFUNCTION("""COMPUTED_VALUE"""),6.65)</f>
        <v>6.65</v>
      </c>
      <c r="E260" s="2">
        <f ca="1">IFERROR(__xludf.DUMMYFUNCTION("""COMPUTED_VALUE"""),5.88)</f>
        <v>5.88</v>
      </c>
      <c r="F260" s="2">
        <f ca="1">IFERROR(__xludf.DUMMYFUNCTION("""COMPUTED_VALUE"""),9.61)</f>
        <v>9.61</v>
      </c>
      <c r="G260" s="2">
        <f ca="1">IFERROR(__xludf.DUMMYFUNCTION("""COMPUTED_VALUE"""),9.65)</f>
        <v>9.65</v>
      </c>
      <c r="H260" s="2">
        <f ca="1">IFERROR(__xludf.DUMMYFUNCTION("""COMPUTED_VALUE"""),7.66)</f>
        <v>7.66</v>
      </c>
      <c r="I260" s="2">
        <f ca="1">IFERROR(__xludf.DUMMYFUNCTION("""COMPUTED_VALUE"""),6.8)</f>
        <v>6.8</v>
      </c>
      <c r="J260" s="2">
        <f ca="1">IFERROR(__xludf.DUMMYFUNCTION("""COMPUTED_VALUE"""),6.1)</f>
        <v>6.1</v>
      </c>
      <c r="K260" s="2">
        <f ca="1">IFERROR(__xludf.DUMMYFUNCTION("""COMPUTED_VALUE"""),66.25)</f>
        <v>66.25</v>
      </c>
      <c r="L260" s="2">
        <f ca="1">IFERROR(__xludf.DUMMYFUNCTION("""COMPUTED_VALUE"""),66.1)</f>
        <v>66.099999999999994</v>
      </c>
      <c r="M260" s="2">
        <f ca="1">IFERROR(__xludf.DUMMYFUNCTION("""COMPUTED_VALUE"""),66.41)</f>
        <v>66.41</v>
      </c>
      <c r="N260" s="2">
        <f ca="1">IFERROR(__xludf.DUMMYFUNCTION("""COMPUTED_VALUE"""),67.59)</f>
        <v>67.59</v>
      </c>
      <c r="O260" s="2">
        <f ca="1">IFERROR(__xludf.DUMMYFUNCTION("""COMPUTED_VALUE"""),63.08)</f>
        <v>63.08</v>
      </c>
      <c r="P260" s="2">
        <f ca="1">IFERROR(__xludf.DUMMYFUNCTION("""COMPUTED_VALUE"""),67.58)</f>
        <v>67.58</v>
      </c>
      <c r="Q260" s="2">
        <f ca="1">IFERROR(__xludf.DUMMYFUNCTION("""COMPUTED_VALUE"""),67.52)</f>
        <v>67.52</v>
      </c>
    </row>
    <row r="261" spans="1:17" ht="15.75" customHeight="1" x14ac:dyDescent="0.25">
      <c r="A261" s="2">
        <v>3574</v>
      </c>
      <c r="B261" s="2" t="str">
        <f ca="1">IFERROR(__xludf.DUMMYFUNCTION("""COMPUTED_VALUE"""),"JAWA TIMUR")</f>
        <v>JAWA TIMUR</v>
      </c>
      <c r="C261" s="2" t="str">
        <f ca="1">IFERROR(__xludf.DUMMYFUNCTION("""COMPUTED_VALUE"""),"Kota Probolinggo")</f>
        <v>Kota Probolinggo</v>
      </c>
      <c r="D261" s="2">
        <f ca="1">IFERROR(__xludf.DUMMYFUNCTION("""COMPUTED_VALUE"""),3.56)</f>
        <v>3.56</v>
      </c>
      <c r="E261" s="2">
        <f ca="1">IFERROR(__xludf.DUMMYFUNCTION("""COMPUTED_VALUE"""),4.25)</f>
        <v>4.25</v>
      </c>
      <c r="F261" s="2">
        <f ca="1">IFERROR(__xludf.DUMMYFUNCTION("""COMPUTED_VALUE"""),6.7)</f>
        <v>6.7</v>
      </c>
      <c r="G261" s="2">
        <f ca="1">IFERROR(__xludf.DUMMYFUNCTION("""COMPUTED_VALUE"""),6.55)</f>
        <v>6.55</v>
      </c>
      <c r="H261" s="2">
        <f ca="1">IFERROR(__xludf.DUMMYFUNCTION("""COMPUTED_VALUE"""),4.57)</f>
        <v>4.57</v>
      </c>
      <c r="I261" s="2">
        <f ca="1">IFERROR(__xludf.DUMMYFUNCTION("""COMPUTED_VALUE"""),4.53)</f>
        <v>4.53</v>
      </c>
      <c r="J261" s="2">
        <f ca="1">IFERROR(__xludf.DUMMYFUNCTION("""COMPUTED_VALUE"""),4.44)</f>
        <v>4.4400000000000004</v>
      </c>
      <c r="K261" s="2">
        <f ca="1">IFERROR(__xludf.DUMMYFUNCTION("""COMPUTED_VALUE"""),65.25)</f>
        <v>65.25</v>
      </c>
      <c r="L261" s="2">
        <f ca="1">IFERROR(__xludf.DUMMYFUNCTION("""COMPUTED_VALUE"""),64.12)</f>
        <v>64.12</v>
      </c>
      <c r="M261" s="2">
        <f ca="1">IFERROR(__xludf.DUMMYFUNCTION("""COMPUTED_VALUE"""),69.07)</f>
        <v>69.069999999999993</v>
      </c>
      <c r="N261" s="2">
        <f ca="1">IFERROR(__xludf.DUMMYFUNCTION("""COMPUTED_VALUE"""),69.71)</f>
        <v>69.709999999999994</v>
      </c>
      <c r="O261" s="2">
        <f ca="1">IFERROR(__xludf.DUMMYFUNCTION("""COMPUTED_VALUE"""),68.39)</f>
        <v>68.39</v>
      </c>
      <c r="P261" s="2">
        <f ca="1">IFERROR(__xludf.DUMMYFUNCTION("""COMPUTED_VALUE"""),70.61)</f>
        <v>70.61</v>
      </c>
      <c r="Q261" s="2">
        <f ca="1">IFERROR(__xludf.DUMMYFUNCTION("""COMPUTED_VALUE"""),67.55)</f>
        <v>67.55</v>
      </c>
    </row>
    <row r="262" spans="1:17" ht="15.75" customHeight="1" x14ac:dyDescent="0.25">
      <c r="A262" s="2">
        <v>3575</v>
      </c>
      <c r="B262" s="2" t="str">
        <f ca="1">IFERROR(__xludf.DUMMYFUNCTION("""COMPUTED_VALUE"""),"JAWA TIMUR")</f>
        <v>JAWA TIMUR</v>
      </c>
      <c r="C262" s="2" t="str">
        <f ca="1">IFERROR(__xludf.DUMMYFUNCTION("""COMPUTED_VALUE"""),"Kota Pasuruan")</f>
        <v>Kota Pasuruan</v>
      </c>
      <c r="D262" s="2">
        <f ca="1">IFERROR(__xludf.DUMMYFUNCTION("""COMPUTED_VALUE"""),4.5)</f>
        <v>4.5</v>
      </c>
      <c r="E262" s="2">
        <f ca="1">IFERROR(__xludf.DUMMYFUNCTION("""COMPUTED_VALUE"""),4.89)</f>
        <v>4.8899999999999997</v>
      </c>
      <c r="F262" s="2">
        <f ca="1">IFERROR(__xludf.DUMMYFUNCTION("""COMPUTED_VALUE"""),6.33)</f>
        <v>6.33</v>
      </c>
      <c r="G262" s="2">
        <f ca="1">IFERROR(__xludf.DUMMYFUNCTION("""COMPUTED_VALUE"""),6.23)</f>
        <v>6.23</v>
      </c>
      <c r="H262" s="2">
        <f ca="1">IFERROR(__xludf.DUMMYFUNCTION("""COMPUTED_VALUE"""),6.18)</f>
        <v>6.18</v>
      </c>
      <c r="I262" s="2">
        <f ca="1">IFERROR(__xludf.DUMMYFUNCTION("""COMPUTED_VALUE"""),5.64)</f>
        <v>5.64</v>
      </c>
      <c r="J262" s="2">
        <f ca="1">IFERROR(__xludf.DUMMYFUNCTION("""COMPUTED_VALUE"""),4.63)</f>
        <v>4.63</v>
      </c>
      <c r="K262" s="2">
        <f ca="1">IFERROR(__xludf.DUMMYFUNCTION("""COMPUTED_VALUE"""),66.62)</f>
        <v>66.62</v>
      </c>
      <c r="L262" s="2">
        <f ca="1">IFERROR(__xludf.DUMMYFUNCTION("""COMPUTED_VALUE"""),68.12)</f>
        <v>68.12</v>
      </c>
      <c r="M262" s="2">
        <f ca="1">IFERROR(__xludf.DUMMYFUNCTION("""COMPUTED_VALUE"""),70.05)</f>
        <v>70.05</v>
      </c>
      <c r="N262" s="2">
        <f ca="1">IFERROR(__xludf.DUMMYFUNCTION("""COMPUTED_VALUE"""),71.66)</f>
        <v>71.66</v>
      </c>
      <c r="O262" s="2">
        <f ca="1">IFERROR(__xludf.DUMMYFUNCTION("""COMPUTED_VALUE"""),68.05)</f>
        <v>68.05</v>
      </c>
      <c r="P262" s="2">
        <f ca="1">IFERROR(__xludf.DUMMYFUNCTION("""COMPUTED_VALUE"""),75.65)</f>
        <v>75.650000000000006</v>
      </c>
      <c r="Q262" s="2">
        <f ca="1">IFERROR(__xludf.DUMMYFUNCTION("""COMPUTED_VALUE"""),72.72)</f>
        <v>72.72</v>
      </c>
    </row>
    <row r="263" spans="1:17" ht="15.75" customHeight="1" x14ac:dyDescent="0.25">
      <c r="A263" s="2">
        <v>3576</v>
      </c>
      <c r="B263" s="2" t="str">
        <f ca="1">IFERROR(__xludf.DUMMYFUNCTION("""COMPUTED_VALUE"""),"JAWA TIMUR")</f>
        <v>JAWA TIMUR</v>
      </c>
      <c r="C263" s="2" t="str">
        <f ca="1">IFERROR(__xludf.DUMMYFUNCTION("""COMPUTED_VALUE"""),"Kota Mojokerto")</f>
        <v>Kota Mojokerto</v>
      </c>
      <c r="D263" s="2">
        <f ca="1">IFERROR(__xludf.DUMMYFUNCTION("""COMPUTED_VALUE"""),2.44)</f>
        <v>2.44</v>
      </c>
      <c r="E263" s="2">
        <f ca="1">IFERROR(__xludf.DUMMYFUNCTION("""COMPUTED_VALUE"""),2.63)</f>
        <v>2.63</v>
      </c>
      <c r="F263" s="2">
        <f ca="1">IFERROR(__xludf.DUMMYFUNCTION("""COMPUTED_VALUE"""),6.74)</f>
        <v>6.74</v>
      </c>
      <c r="G263" s="2">
        <f ca="1">IFERROR(__xludf.DUMMYFUNCTION("""COMPUTED_VALUE"""),6.87)</f>
        <v>6.87</v>
      </c>
      <c r="H263" s="2">
        <f ca="1">IFERROR(__xludf.DUMMYFUNCTION("""COMPUTED_VALUE"""),5.05)</f>
        <v>5.05</v>
      </c>
      <c r="I263" s="2">
        <f ca="1">IFERROR(__xludf.DUMMYFUNCTION("""COMPUTED_VALUE"""),4.73)</f>
        <v>4.7300000000000004</v>
      </c>
      <c r="J263" s="2">
        <f ca="1">IFERROR(__xludf.DUMMYFUNCTION("""COMPUTED_VALUE"""),3.76)</f>
        <v>3.76</v>
      </c>
      <c r="K263" s="2">
        <f ca="1">IFERROR(__xludf.DUMMYFUNCTION("""COMPUTED_VALUE"""),69.48)</f>
        <v>69.48</v>
      </c>
      <c r="L263" s="2">
        <f ca="1">IFERROR(__xludf.DUMMYFUNCTION("""COMPUTED_VALUE"""),65.09)</f>
        <v>65.09</v>
      </c>
      <c r="M263" s="2">
        <f ca="1">IFERROR(__xludf.DUMMYFUNCTION("""COMPUTED_VALUE"""),68.21)</f>
        <v>68.209999999999994</v>
      </c>
      <c r="N263" s="2">
        <f ca="1">IFERROR(__xludf.DUMMYFUNCTION("""COMPUTED_VALUE"""),67.09)</f>
        <v>67.09</v>
      </c>
      <c r="O263" s="2">
        <f ca="1">IFERROR(__xludf.DUMMYFUNCTION("""COMPUTED_VALUE"""),69.41)</f>
        <v>69.41</v>
      </c>
      <c r="P263" s="2">
        <f ca="1">IFERROR(__xludf.DUMMYFUNCTION("""COMPUTED_VALUE"""),72.5)</f>
        <v>72.5</v>
      </c>
      <c r="Q263" s="2">
        <f ca="1">IFERROR(__xludf.DUMMYFUNCTION("""COMPUTED_VALUE"""),72.68)</f>
        <v>72.680000000000007</v>
      </c>
    </row>
    <row r="264" spans="1:17" ht="15.75" customHeight="1" x14ac:dyDescent="0.25">
      <c r="A264" s="2">
        <v>3577</v>
      </c>
      <c r="B264" s="2" t="str">
        <f ca="1">IFERROR(__xludf.DUMMYFUNCTION("""COMPUTED_VALUE"""),"JAWA TIMUR")</f>
        <v>JAWA TIMUR</v>
      </c>
      <c r="C264" s="2" t="str">
        <f ca="1">IFERROR(__xludf.DUMMYFUNCTION("""COMPUTED_VALUE"""),"Kota Madiun")</f>
        <v>Kota Madiun</v>
      </c>
      <c r="D264" s="2">
        <f ca="1">IFERROR(__xludf.DUMMYFUNCTION("""COMPUTED_VALUE"""),3.8)</f>
        <v>3.8</v>
      </c>
      <c r="E264" s="2">
        <f ca="1">IFERROR(__xludf.DUMMYFUNCTION("""COMPUTED_VALUE"""),3.96)</f>
        <v>3.96</v>
      </c>
      <c r="F264" s="2">
        <f ca="1">IFERROR(__xludf.DUMMYFUNCTION("""COMPUTED_VALUE"""),8.32)</f>
        <v>8.32</v>
      </c>
      <c r="G264" s="2">
        <f ca="1">IFERROR(__xludf.DUMMYFUNCTION("""COMPUTED_VALUE"""),8.15)</f>
        <v>8.15</v>
      </c>
      <c r="H264" s="2">
        <f ca="1">IFERROR(__xludf.DUMMYFUNCTION("""COMPUTED_VALUE"""),6.39)</f>
        <v>6.39</v>
      </c>
      <c r="I264" s="2">
        <f ca="1">IFERROR(__xludf.DUMMYFUNCTION("""COMPUTED_VALUE"""),5.85)</f>
        <v>5.85</v>
      </c>
      <c r="J264" s="2">
        <f ca="1">IFERROR(__xludf.DUMMYFUNCTION("""COMPUTED_VALUE"""),4.3)</f>
        <v>4.3</v>
      </c>
      <c r="K264" s="2">
        <f ca="1">IFERROR(__xludf.DUMMYFUNCTION("""COMPUTED_VALUE"""),64.55)</f>
        <v>64.55</v>
      </c>
      <c r="L264" s="2">
        <f ca="1">IFERROR(__xludf.DUMMYFUNCTION("""COMPUTED_VALUE"""),66.86)</f>
        <v>66.86</v>
      </c>
      <c r="M264" s="2">
        <f ca="1">IFERROR(__xludf.DUMMYFUNCTION("""COMPUTED_VALUE"""),68.63)</f>
        <v>68.63</v>
      </c>
      <c r="N264" s="2">
        <f ca="1">IFERROR(__xludf.DUMMYFUNCTION("""COMPUTED_VALUE"""),66.87)</f>
        <v>66.87</v>
      </c>
      <c r="O264" s="2">
        <f ca="1">IFERROR(__xludf.DUMMYFUNCTION("""COMPUTED_VALUE"""),66.85)</f>
        <v>66.849999999999994</v>
      </c>
      <c r="P264" s="2">
        <f ca="1">IFERROR(__xludf.DUMMYFUNCTION("""COMPUTED_VALUE"""),69.29)</f>
        <v>69.290000000000006</v>
      </c>
      <c r="Q264" s="2">
        <f ca="1">IFERROR(__xludf.DUMMYFUNCTION("""COMPUTED_VALUE"""),70.6)</f>
        <v>70.599999999999994</v>
      </c>
    </row>
    <row r="265" spans="1:17" ht="15.75" customHeight="1" x14ac:dyDescent="0.25">
      <c r="A265" s="2">
        <v>3578</v>
      </c>
      <c r="B265" s="2" t="str">
        <f ca="1">IFERROR(__xludf.DUMMYFUNCTION("""COMPUTED_VALUE"""),"JAWA TIMUR")</f>
        <v>JAWA TIMUR</v>
      </c>
      <c r="C265" s="2" t="str">
        <f ca="1">IFERROR(__xludf.DUMMYFUNCTION("""COMPUTED_VALUE"""),"Kota Surabaya")</f>
        <v>Kota Surabaya</v>
      </c>
      <c r="D265" s="2">
        <f ca="1">IFERROR(__xludf.DUMMYFUNCTION("""COMPUTED_VALUE"""),6.01)</f>
        <v>6.01</v>
      </c>
      <c r="E265" s="2">
        <f ca="1">IFERROR(__xludf.DUMMYFUNCTION("""COMPUTED_VALUE"""),5.76)</f>
        <v>5.76</v>
      </c>
      <c r="F265" s="2">
        <f ca="1">IFERROR(__xludf.DUMMYFUNCTION("""COMPUTED_VALUE"""),9.79)</f>
        <v>9.7899999999999991</v>
      </c>
      <c r="G265" s="2">
        <f ca="1">IFERROR(__xludf.DUMMYFUNCTION("""COMPUTED_VALUE"""),9.68)</f>
        <v>9.68</v>
      </c>
      <c r="H265" s="2">
        <f ca="1">IFERROR(__xludf.DUMMYFUNCTION("""COMPUTED_VALUE"""),7.62)</f>
        <v>7.62</v>
      </c>
      <c r="I265" s="2">
        <f ca="1">IFERROR(__xludf.DUMMYFUNCTION("""COMPUTED_VALUE"""),6.76)</f>
        <v>6.76</v>
      </c>
      <c r="J265" s="2">
        <f ca="1">IFERROR(__xludf.DUMMYFUNCTION("""COMPUTED_VALUE"""),4.91)</f>
        <v>4.91</v>
      </c>
      <c r="K265" s="2">
        <f ca="1">IFERROR(__xludf.DUMMYFUNCTION("""COMPUTED_VALUE"""),67.27)</f>
        <v>67.27</v>
      </c>
      <c r="L265" s="2">
        <f ca="1">IFERROR(__xludf.DUMMYFUNCTION("""COMPUTED_VALUE"""),68.76)</f>
        <v>68.760000000000005</v>
      </c>
      <c r="M265" s="2">
        <f ca="1">IFERROR(__xludf.DUMMYFUNCTION("""COMPUTED_VALUE"""),68.05)</f>
        <v>68.05</v>
      </c>
      <c r="N265" s="2">
        <f ca="1">IFERROR(__xludf.DUMMYFUNCTION("""COMPUTED_VALUE"""),67.3)</f>
        <v>67.3</v>
      </c>
      <c r="O265" s="2">
        <f ca="1">IFERROR(__xludf.DUMMYFUNCTION("""COMPUTED_VALUE"""),69.99)</f>
        <v>69.989999999999995</v>
      </c>
      <c r="P265" s="2">
        <f ca="1">IFERROR(__xludf.DUMMYFUNCTION("""COMPUTED_VALUE"""),68.73)</f>
        <v>68.73</v>
      </c>
      <c r="Q265" s="2">
        <f ca="1">IFERROR(__xludf.DUMMYFUNCTION("""COMPUTED_VALUE"""),70.49)</f>
        <v>70.489999999999995</v>
      </c>
    </row>
    <row r="266" spans="1:17" ht="15.75" customHeight="1" x14ac:dyDescent="0.25">
      <c r="A266" s="2">
        <v>3579</v>
      </c>
      <c r="B266" s="2" t="str">
        <f ca="1">IFERROR(__xludf.DUMMYFUNCTION("""COMPUTED_VALUE"""),"JAWA TIMUR")</f>
        <v>JAWA TIMUR</v>
      </c>
      <c r="C266" s="2" t="str">
        <f ca="1">IFERROR(__xludf.DUMMYFUNCTION("""COMPUTED_VALUE"""),"Kota Batu")</f>
        <v>Kota Batu</v>
      </c>
      <c r="D266" s="2">
        <f ca="1">IFERROR(__xludf.DUMMYFUNCTION("""COMPUTED_VALUE"""),3.07)</f>
        <v>3.07</v>
      </c>
      <c r="E266" s="2">
        <f ca="1">IFERROR(__xludf.DUMMYFUNCTION("""COMPUTED_VALUE"""),2.42)</f>
        <v>2.42</v>
      </c>
      <c r="F266" s="2">
        <f ca="1">IFERROR(__xludf.DUMMYFUNCTION("""COMPUTED_VALUE"""),5.93)</f>
        <v>5.93</v>
      </c>
      <c r="G266" s="2">
        <f ca="1">IFERROR(__xludf.DUMMYFUNCTION("""COMPUTED_VALUE"""),6.57)</f>
        <v>6.57</v>
      </c>
      <c r="H266" s="2">
        <f ca="1">IFERROR(__xludf.DUMMYFUNCTION("""COMPUTED_VALUE"""),8.43)</f>
        <v>8.43</v>
      </c>
      <c r="I266" s="2">
        <f ca="1">IFERROR(__xludf.DUMMYFUNCTION("""COMPUTED_VALUE"""),4.52)</f>
        <v>4.5199999999999996</v>
      </c>
      <c r="J266" s="2">
        <f ca="1">IFERROR(__xludf.DUMMYFUNCTION("""COMPUTED_VALUE"""),3.63)</f>
        <v>3.63</v>
      </c>
      <c r="K266" s="2">
        <f ca="1">IFERROR(__xludf.DUMMYFUNCTION("""COMPUTED_VALUE"""),70.66)</f>
        <v>70.66</v>
      </c>
      <c r="L266" s="2">
        <f ca="1">IFERROR(__xludf.DUMMYFUNCTION("""COMPUTED_VALUE"""),71.22)</f>
        <v>71.22</v>
      </c>
      <c r="M266" s="2">
        <f ca="1">IFERROR(__xludf.DUMMYFUNCTION("""COMPUTED_VALUE"""),72.33)</f>
        <v>72.33</v>
      </c>
      <c r="N266" s="2">
        <f ca="1">IFERROR(__xludf.DUMMYFUNCTION("""COMPUTED_VALUE"""),73.74)</f>
        <v>73.739999999999995</v>
      </c>
      <c r="O266" s="2">
        <f ca="1">IFERROR(__xludf.DUMMYFUNCTION("""COMPUTED_VALUE"""),71.51)</f>
        <v>71.510000000000005</v>
      </c>
      <c r="P266" s="2">
        <f ca="1">IFERROR(__xludf.DUMMYFUNCTION("""COMPUTED_VALUE"""),78.99)</f>
        <v>78.989999999999995</v>
      </c>
      <c r="Q266" s="2">
        <f ca="1">IFERROR(__xludf.DUMMYFUNCTION("""COMPUTED_VALUE"""),73.53)</f>
        <v>73.53</v>
      </c>
    </row>
    <row r="267" spans="1:17" ht="15.75" customHeight="1" x14ac:dyDescent="0.25">
      <c r="A267" s="2">
        <v>3601</v>
      </c>
      <c r="B267" s="2" t="str">
        <f ca="1">IFERROR(__xludf.DUMMYFUNCTION("""COMPUTED_VALUE"""),"BANTEN")</f>
        <v>BANTEN</v>
      </c>
      <c r="C267" s="2" t="s">
        <v>48</v>
      </c>
      <c r="D267" s="2">
        <f ca="1">IFERROR(__xludf.DUMMYFUNCTION("""COMPUTED_VALUE"""),8.19)</f>
        <v>8.19</v>
      </c>
      <c r="E267" s="2">
        <f ca="1">IFERROR(__xludf.DUMMYFUNCTION("""COMPUTED_VALUE"""),8.67)</f>
        <v>8.67</v>
      </c>
      <c r="F267" s="2">
        <f ca="1">IFERROR(__xludf.DUMMYFUNCTION("""COMPUTED_VALUE"""),9.15)</f>
        <v>9.15</v>
      </c>
      <c r="G267" s="2">
        <f ca="1">IFERROR(__xludf.DUMMYFUNCTION("""COMPUTED_VALUE"""),7.7)</f>
        <v>7.7</v>
      </c>
      <c r="H267" s="2">
        <f ca="1">IFERROR(__xludf.DUMMYFUNCTION("""COMPUTED_VALUE"""),9.24)</f>
        <v>9.24</v>
      </c>
      <c r="I267" s="2">
        <f ca="1">IFERROR(__xludf.DUMMYFUNCTION("""COMPUTED_VALUE"""),9.05)</f>
        <v>9.0500000000000007</v>
      </c>
      <c r="J267" s="2">
        <f ca="1">IFERROR(__xludf.DUMMYFUNCTION("""COMPUTED_VALUE"""),8.09)</f>
        <v>8.09</v>
      </c>
      <c r="K267" s="2">
        <f ca="1">IFERROR(__xludf.DUMMYFUNCTION("""COMPUTED_VALUE"""),62.39)</f>
        <v>62.39</v>
      </c>
      <c r="L267" s="2">
        <f ca="1">IFERROR(__xludf.DUMMYFUNCTION("""COMPUTED_VALUE"""),60.88)</f>
        <v>60.88</v>
      </c>
      <c r="M267" s="2">
        <f ca="1">IFERROR(__xludf.DUMMYFUNCTION("""COMPUTED_VALUE"""),60.28)</f>
        <v>60.28</v>
      </c>
      <c r="N267" s="2">
        <f ca="1">IFERROR(__xludf.DUMMYFUNCTION("""COMPUTED_VALUE"""),62.32)</f>
        <v>62.32</v>
      </c>
      <c r="O267" s="2">
        <f ca="1">IFERROR(__xludf.DUMMYFUNCTION("""COMPUTED_VALUE"""),61.66)</f>
        <v>61.66</v>
      </c>
      <c r="P267" s="2">
        <f ca="1">IFERROR(__xludf.DUMMYFUNCTION("""COMPUTED_VALUE"""),60.33)</f>
        <v>60.33</v>
      </c>
      <c r="Q267" s="2">
        <f ca="1">IFERROR(__xludf.DUMMYFUNCTION("""COMPUTED_VALUE"""),66.92)</f>
        <v>66.92</v>
      </c>
    </row>
    <row r="268" spans="1:17" ht="15.75" customHeight="1" x14ac:dyDescent="0.25">
      <c r="A268" s="2">
        <v>3602</v>
      </c>
      <c r="B268" s="2" t="str">
        <f ca="1">IFERROR(__xludf.DUMMYFUNCTION("""COMPUTED_VALUE"""),"BANTEN")</f>
        <v>BANTEN</v>
      </c>
      <c r="C268" s="2" t="s">
        <v>49</v>
      </c>
      <c r="D268" s="2">
        <f ca="1">IFERROR(__xludf.DUMMYFUNCTION("""COMPUTED_VALUE"""),7.57)</f>
        <v>7.57</v>
      </c>
      <c r="E268" s="2">
        <f ca="1">IFERROR(__xludf.DUMMYFUNCTION("""COMPUTED_VALUE"""),7.96)</f>
        <v>7.96</v>
      </c>
      <c r="F268" s="2">
        <f ca="1">IFERROR(__xludf.DUMMYFUNCTION("""COMPUTED_VALUE"""),9.63)</f>
        <v>9.6300000000000008</v>
      </c>
      <c r="G268" s="2">
        <f ca="1">IFERROR(__xludf.DUMMYFUNCTION("""COMPUTED_VALUE"""),7.86)</f>
        <v>7.86</v>
      </c>
      <c r="H268" s="2">
        <f ca="1">IFERROR(__xludf.DUMMYFUNCTION("""COMPUTED_VALUE"""),8.55)</f>
        <v>8.5500000000000007</v>
      </c>
      <c r="I268" s="2">
        <f ca="1">IFERROR(__xludf.DUMMYFUNCTION("""COMPUTED_VALUE"""),7.57)</f>
        <v>7.57</v>
      </c>
      <c r="J268" s="2">
        <f ca="1">IFERROR(__xludf.DUMMYFUNCTION("""COMPUTED_VALUE"""),6.23)</f>
        <v>6.23</v>
      </c>
      <c r="K268" s="2">
        <f ca="1">IFERROR(__xludf.DUMMYFUNCTION("""COMPUTED_VALUE"""),67.4)</f>
        <v>67.400000000000006</v>
      </c>
      <c r="L268" s="2">
        <f ca="1">IFERROR(__xludf.DUMMYFUNCTION("""COMPUTED_VALUE"""),64.37)</f>
        <v>64.37</v>
      </c>
      <c r="M268" s="2">
        <f ca="1">IFERROR(__xludf.DUMMYFUNCTION("""COMPUTED_VALUE"""),69.97)</f>
        <v>69.97</v>
      </c>
      <c r="N268" s="2">
        <f ca="1">IFERROR(__xludf.DUMMYFUNCTION("""COMPUTED_VALUE"""),66.75)</f>
        <v>66.75</v>
      </c>
      <c r="O268" s="2">
        <f ca="1">IFERROR(__xludf.DUMMYFUNCTION("""COMPUTED_VALUE"""),66.17)</f>
        <v>66.17</v>
      </c>
      <c r="P268" s="2">
        <f ca="1">IFERROR(__xludf.DUMMYFUNCTION("""COMPUTED_VALUE"""),67.9)</f>
        <v>67.900000000000006</v>
      </c>
      <c r="Q268" s="2">
        <f ca="1">IFERROR(__xludf.DUMMYFUNCTION("""COMPUTED_VALUE"""),72.82)</f>
        <v>72.819999999999993</v>
      </c>
    </row>
    <row r="269" spans="1:17" ht="15.75" customHeight="1" x14ac:dyDescent="0.25">
      <c r="A269" s="2">
        <v>3603</v>
      </c>
      <c r="B269" s="2" t="str">
        <f ca="1">IFERROR(__xludf.DUMMYFUNCTION("""COMPUTED_VALUE"""),"BANTEN")</f>
        <v>BANTEN</v>
      </c>
      <c r="C269" s="2" t="s">
        <v>47</v>
      </c>
      <c r="D269" s="2">
        <f ca="1">IFERROR(__xludf.DUMMYFUNCTION("""COMPUTED_VALUE"""),9.63)</f>
        <v>9.6300000000000008</v>
      </c>
      <c r="E269" s="2">
        <f ca="1">IFERROR(__xludf.DUMMYFUNCTION("""COMPUTED_VALUE"""),8.92)</f>
        <v>8.92</v>
      </c>
      <c r="F269" s="2">
        <f ca="1">IFERROR(__xludf.DUMMYFUNCTION("""COMPUTED_VALUE"""),13.06)</f>
        <v>13.06</v>
      </c>
      <c r="G269" s="2">
        <f ca="1">IFERROR(__xludf.DUMMYFUNCTION("""COMPUTED_VALUE"""),9.06)</f>
        <v>9.06</v>
      </c>
      <c r="H269" s="2">
        <f ca="1">IFERROR(__xludf.DUMMYFUNCTION("""COMPUTED_VALUE"""),7.88)</f>
        <v>7.88</v>
      </c>
      <c r="I269" s="2">
        <f ca="1">IFERROR(__xludf.DUMMYFUNCTION("""COMPUTED_VALUE"""),6.94)</f>
        <v>6.94</v>
      </c>
      <c r="J269" s="2">
        <f ca="1">IFERROR(__xludf.DUMMYFUNCTION("""COMPUTED_VALUE"""),6.06)</f>
        <v>6.06</v>
      </c>
      <c r="K269" s="2">
        <f ca="1">IFERROR(__xludf.DUMMYFUNCTION("""COMPUTED_VALUE"""),63.01)</f>
        <v>63.01</v>
      </c>
      <c r="L269" s="2">
        <f ca="1">IFERROR(__xludf.DUMMYFUNCTION("""COMPUTED_VALUE"""),66.07)</f>
        <v>66.069999999999993</v>
      </c>
      <c r="M269" s="2">
        <f ca="1">IFERROR(__xludf.DUMMYFUNCTION("""COMPUTED_VALUE"""),65.43)</f>
        <v>65.430000000000007</v>
      </c>
      <c r="N269" s="2">
        <f ca="1">IFERROR(__xludf.DUMMYFUNCTION("""COMPUTED_VALUE"""),63.94)</f>
        <v>63.94</v>
      </c>
      <c r="O269" s="2">
        <f ca="1">IFERROR(__xludf.DUMMYFUNCTION("""COMPUTED_VALUE"""),67.05)</f>
        <v>67.05</v>
      </c>
      <c r="P269" s="2">
        <f ca="1">IFERROR(__xludf.DUMMYFUNCTION("""COMPUTED_VALUE"""),66.87)</f>
        <v>66.87</v>
      </c>
      <c r="Q269" s="2">
        <f ca="1">IFERROR(__xludf.DUMMYFUNCTION("""COMPUTED_VALUE"""),65.88)</f>
        <v>65.88</v>
      </c>
    </row>
    <row r="270" spans="1:17" ht="15.75" customHeight="1" x14ac:dyDescent="0.25">
      <c r="A270" s="2">
        <v>3604</v>
      </c>
      <c r="B270" s="2" t="str">
        <f ca="1">IFERROR(__xludf.DUMMYFUNCTION("""COMPUTED_VALUE"""),"BANTEN")</f>
        <v>BANTEN</v>
      </c>
      <c r="C270" s="2" t="s">
        <v>50</v>
      </c>
      <c r="D270" s="2">
        <f ca="1">IFERROR(__xludf.DUMMYFUNCTION("""COMPUTED_VALUE"""),12.63)</f>
        <v>12.63</v>
      </c>
      <c r="E270" s="2">
        <f ca="1">IFERROR(__xludf.DUMMYFUNCTION("""COMPUTED_VALUE"""),10.58)</f>
        <v>10.58</v>
      </c>
      <c r="F270" s="2">
        <f ca="1">IFERROR(__xludf.DUMMYFUNCTION("""COMPUTED_VALUE"""),12.22)</f>
        <v>12.22</v>
      </c>
      <c r="G270" s="2">
        <f ca="1">IFERROR(__xludf.DUMMYFUNCTION("""COMPUTED_VALUE"""),10.58)</f>
        <v>10.58</v>
      </c>
      <c r="H270" s="2">
        <f ca="1">IFERROR(__xludf.DUMMYFUNCTION("""COMPUTED_VALUE"""),10.61)</f>
        <v>10.61</v>
      </c>
      <c r="I270" s="2">
        <f ca="1">IFERROR(__xludf.DUMMYFUNCTION("""COMPUTED_VALUE"""),9.94)</f>
        <v>9.94</v>
      </c>
      <c r="J270" s="2">
        <f ca="1">IFERROR(__xludf.DUMMYFUNCTION("""COMPUTED_VALUE"""),9.18)</f>
        <v>9.18</v>
      </c>
      <c r="K270" s="2">
        <f ca="1">IFERROR(__xludf.DUMMYFUNCTION("""COMPUTED_VALUE"""),61.77)</f>
        <v>61.77</v>
      </c>
      <c r="L270" s="2">
        <f ca="1">IFERROR(__xludf.DUMMYFUNCTION("""COMPUTED_VALUE"""),63.3)</f>
        <v>63.3</v>
      </c>
      <c r="M270" s="2">
        <f ca="1">IFERROR(__xludf.DUMMYFUNCTION("""COMPUTED_VALUE"""),63.46)</f>
        <v>63.46</v>
      </c>
      <c r="N270" s="2">
        <f ca="1">IFERROR(__xludf.DUMMYFUNCTION("""COMPUTED_VALUE"""),63.86)</f>
        <v>63.86</v>
      </c>
      <c r="O270" s="2">
        <f ca="1">IFERROR(__xludf.DUMMYFUNCTION("""COMPUTED_VALUE"""),64.25)</f>
        <v>64.25</v>
      </c>
      <c r="P270" s="2">
        <f ca="1">IFERROR(__xludf.DUMMYFUNCTION("""COMPUTED_VALUE"""),63.22)</f>
        <v>63.22</v>
      </c>
      <c r="Q270" s="2">
        <f ca="1">IFERROR(__xludf.DUMMYFUNCTION("""COMPUTED_VALUE"""),67.77)</f>
        <v>67.77</v>
      </c>
    </row>
    <row r="271" spans="1:17" ht="15.75" customHeight="1" x14ac:dyDescent="0.25">
      <c r="A271" s="2">
        <v>3671</v>
      </c>
      <c r="B271" s="2" t="str">
        <f ca="1">IFERROR(__xludf.DUMMYFUNCTION("""COMPUTED_VALUE"""),"BANTEN")</f>
        <v>BANTEN</v>
      </c>
      <c r="C271" s="2" t="str">
        <f ca="1">IFERROR(__xludf.DUMMYFUNCTION("""COMPUTED_VALUE"""),"Kota Tangerang")</f>
        <v>Kota Tangerang</v>
      </c>
      <c r="D271" s="2">
        <f ca="1">IFERROR(__xludf.DUMMYFUNCTION("""COMPUTED_VALUE"""),7.39)</f>
        <v>7.39</v>
      </c>
      <c r="E271" s="2">
        <f ca="1">IFERROR(__xludf.DUMMYFUNCTION("""COMPUTED_VALUE"""),7.14)</f>
        <v>7.14</v>
      </c>
      <c r="F271" s="2">
        <f ca="1">IFERROR(__xludf.DUMMYFUNCTION("""COMPUTED_VALUE"""),8.63)</f>
        <v>8.6300000000000008</v>
      </c>
      <c r="G271" s="2">
        <f ca="1">IFERROR(__xludf.DUMMYFUNCTION("""COMPUTED_VALUE"""),9.07)</f>
        <v>9.07</v>
      </c>
      <c r="H271" s="2">
        <f ca="1">IFERROR(__xludf.DUMMYFUNCTION("""COMPUTED_VALUE"""),7.16)</f>
        <v>7.16</v>
      </c>
      <c r="I271" s="2">
        <f ca="1">IFERROR(__xludf.DUMMYFUNCTION("""COMPUTED_VALUE"""),6.76)</f>
        <v>6.76</v>
      </c>
      <c r="J271" s="2">
        <f ca="1">IFERROR(__xludf.DUMMYFUNCTION("""COMPUTED_VALUE"""),5.92)</f>
        <v>5.92</v>
      </c>
      <c r="K271" s="2">
        <f ca="1">IFERROR(__xludf.DUMMYFUNCTION("""COMPUTED_VALUE"""),63.01)</f>
        <v>63.01</v>
      </c>
      <c r="L271" s="2">
        <f ca="1">IFERROR(__xludf.DUMMYFUNCTION("""COMPUTED_VALUE"""),64.95)</f>
        <v>64.95</v>
      </c>
      <c r="M271" s="2">
        <f ca="1">IFERROR(__xludf.DUMMYFUNCTION("""COMPUTED_VALUE"""),64.97)</f>
        <v>64.97</v>
      </c>
      <c r="N271" s="2">
        <f ca="1">IFERROR(__xludf.DUMMYFUNCTION("""COMPUTED_VALUE"""),64.52)</f>
        <v>64.52</v>
      </c>
      <c r="O271" s="2">
        <f ca="1">IFERROR(__xludf.DUMMYFUNCTION("""COMPUTED_VALUE"""),66.08)</f>
        <v>66.08</v>
      </c>
      <c r="P271" s="2">
        <f ca="1">IFERROR(__xludf.DUMMYFUNCTION("""COMPUTED_VALUE"""),63.39)</f>
        <v>63.39</v>
      </c>
      <c r="Q271" s="2">
        <f ca="1">IFERROR(__xludf.DUMMYFUNCTION("""COMPUTED_VALUE"""),66.02)</f>
        <v>66.02</v>
      </c>
    </row>
    <row r="272" spans="1:17" ht="15.75" customHeight="1" x14ac:dyDescent="0.25">
      <c r="A272" s="2">
        <v>3672</v>
      </c>
      <c r="B272" s="2" t="str">
        <f ca="1">IFERROR(__xludf.DUMMYFUNCTION("""COMPUTED_VALUE"""),"BANTEN")</f>
        <v>BANTEN</v>
      </c>
      <c r="C272" s="2" t="str">
        <f ca="1">IFERROR(__xludf.DUMMYFUNCTION("""COMPUTED_VALUE"""),"Kota Cilegon")</f>
        <v>Kota Cilegon</v>
      </c>
      <c r="D272" s="2">
        <f ca="1">IFERROR(__xludf.DUMMYFUNCTION("""COMPUTED_VALUE"""),9.21)</f>
        <v>9.2100000000000009</v>
      </c>
      <c r="E272" s="2">
        <f ca="1">IFERROR(__xludf.DUMMYFUNCTION("""COMPUTED_VALUE"""),9.64)</f>
        <v>9.64</v>
      </c>
      <c r="F272" s="2">
        <f ca="1">IFERROR(__xludf.DUMMYFUNCTION("""COMPUTED_VALUE"""),12.69)</f>
        <v>12.69</v>
      </c>
      <c r="G272" s="2">
        <f ca="1">IFERROR(__xludf.DUMMYFUNCTION("""COMPUTED_VALUE"""),10.13)</f>
        <v>10.130000000000001</v>
      </c>
      <c r="H272" s="2">
        <f ca="1">IFERROR(__xludf.DUMMYFUNCTION("""COMPUTED_VALUE"""),8.1)</f>
        <v>8.1</v>
      </c>
      <c r="I272" s="2">
        <f ca="1">IFERROR(__xludf.DUMMYFUNCTION("""COMPUTED_VALUE"""),7.25)</f>
        <v>7.25</v>
      </c>
      <c r="J272" s="2">
        <f ca="1">IFERROR(__xludf.DUMMYFUNCTION("""COMPUTED_VALUE"""),6.08)</f>
        <v>6.08</v>
      </c>
      <c r="K272" s="2">
        <f ca="1">IFERROR(__xludf.DUMMYFUNCTION("""COMPUTED_VALUE"""),63.02)</f>
        <v>63.02</v>
      </c>
      <c r="L272" s="2">
        <f ca="1">IFERROR(__xludf.DUMMYFUNCTION("""COMPUTED_VALUE"""),62.03)</f>
        <v>62.03</v>
      </c>
      <c r="M272" s="2">
        <f ca="1">IFERROR(__xludf.DUMMYFUNCTION("""COMPUTED_VALUE"""),61.83)</f>
        <v>61.83</v>
      </c>
      <c r="N272" s="2">
        <f ca="1">IFERROR(__xludf.DUMMYFUNCTION("""COMPUTED_VALUE"""),61.37)</f>
        <v>61.37</v>
      </c>
      <c r="O272" s="2">
        <f ca="1">IFERROR(__xludf.DUMMYFUNCTION("""COMPUTED_VALUE"""),67.39)</f>
        <v>67.39</v>
      </c>
      <c r="P272" s="2">
        <f ca="1">IFERROR(__xludf.DUMMYFUNCTION("""COMPUTED_VALUE"""),62.7)</f>
        <v>62.7</v>
      </c>
      <c r="Q272" s="2">
        <f ca="1">IFERROR(__xludf.DUMMYFUNCTION("""COMPUTED_VALUE"""),60.83)</f>
        <v>60.83</v>
      </c>
    </row>
    <row r="273" spans="1:17" ht="15.75" customHeight="1" x14ac:dyDescent="0.25">
      <c r="A273" s="2">
        <v>3673</v>
      </c>
      <c r="B273" s="2" t="str">
        <f ca="1">IFERROR(__xludf.DUMMYFUNCTION("""COMPUTED_VALUE"""),"BANTEN")</f>
        <v>BANTEN</v>
      </c>
      <c r="C273" s="2" t="str">
        <f ca="1">IFERROR(__xludf.DUMMYFUNCTION("""COMPUTED_VALUE"""),"Kota Serang")</f>
        <v>Kota Serang</v>
      </c>
      <c r="D273" s="2">
        <f ca="1">IFERROR(__xludf.DUMMYFUNCTION("""COMPUTED_VALUE"""),8.1)</f>
        <v>8.1</v>
      </c>
      <c r="E273" s="2">
        <f ca="1">IFERROR(__xludf.DUMMYFUNCTION("""COMPUTED_VALUE"""),8.07)</f>
        <v>8.07</v>
      </c>
      <c r="F273" s="2">
        <f ca="1">IFERROR(__xludf.DUMMYFUNCTION("""COMPUTED_VALUE"""),9.26)</f>
        <v>9.26</v>
      </c>
      <c r="G273" s="2">
        <f ca="1">IFERROR(__xludf.DUMMYFUNCTION("""COMPUTED_VALUE"""),9.41)</f>
        <v>9.41</v>
      </c>
      <c r="H273" s="2">
        <f ca="1">IFERROR(__xludf.DUMMYFUNCTION("""COMPUTED_VALUE"""),8.17)</f>
        <v>8.17</v>
      </c>
      <c r="I273" s="2">
        <f ca="1">IFERROR(__xludf.DUMMYFUNCTION("""COMPUTED_VALUE"""),7.45)</f>
        <v>7.45</v>
      </c>
      <c r="J273" s="2">
        <f ca="1">IFERROR(__xludf.DUMMYFUNCTION("""COMPUTED_VALUE"""),7.12)</f>
        <v>7.12</v>
      </c>
      <c r="K273" s="2">
        <f ca="1">IFERROR(__xludf.DUMMYFUNCTION("""COMPUTED_VALUE"""),62.37)</f>
        <v>62.37</v>
      </c>
      <c r="L273" s="2">
        <f ca="1">IFERROR(__xludf.DUMMYFUNCTION("""COMPUTED_VALUE"""),62.74)</f>
        <v>62.74</v>
      </c>
      <c r="M273" s="2">
        <f ca="1">IFERROR(__xludf.DUMMYFUNCTION("""COMPUTED_VALUE"""),63.79)</f>
        <v>63.79</v>
      </c>
      <c r="N273" s="2">
        <f ca="1">IFERROR(__xludf.DUMMYFUNCTION("""COMPUTED_VALUE"""),62.16)</f>
        <v>62.16</v>
      </c>
      <c r="O273" s="2">
        <f ca="1">IFERROR(__xludf.DUMMYFUNCTION("""COMPUTED_VALUE"""),64.8)</f>
        <v>64.8</v>
      </c>
      <c r="P273" s="2">
        <f ca="1">IFERROR(__xludf.DUMMYFUNCTION("""COMPUTED_VALUE"""),68.44)</f>
        <v>68.44</v>
      </c>
      <c r="Q273" s="2">
        <f ca="1">IFERROR(__xludf.DUMMYFUNCTION("""COMPUTED_VALUE"""),69.1)</f>
        <v>69.099999999999994</v>
      </c>
    </row>
    <row r="274" spans="1:17" ht="15.75" customHeight="1" x14ac:dyDescent="0.25">
      <c r="A274" s="2">
        <v>3674</v>
      </c>
      <c r="B274" s="2" t="str">
        <f ca="1">IFERROR(__xludf.DUMMYFUNCTION("""COMPUTED_VALUE"""),"BANTEN")</f>
        <v>BANTEN</v>
      </c>
      <c r="C274" s="2" t="str">
        <f ca="1">IFERROR(__xludf.DUMMYFUNCTION("""COMPUTED_VALUE"""),"Kota Tangerang Selatan")</f>
        <v>Kota Tangerang Selatan</v>
      </c>
      <c r="D274" s="2">
        <f ca="1">IFERROR(__xludf.DUMMYFUNCTION("""COMPUTED_VALUE"""),4.67)</f>
        <v>4.67</v>
      </c>
      <c r="E274" s="2">
        <f ca="1">IFERROR(__xludf.DUMMYFUNCTION("""COMPUTED_VALUE"""),4.78)</f>
        <v>4.78</v>
      </c>
      <c r="F274" s="2">
        <f ca="1">IFERROR(__xludf.DUMMYFUNCTION("""COMPUTED_VALUE"""),8.48)</f>
        <v>8.48</v>
      </c>
      <c r="G274" s="2">
        <f ca="1">IFERROR(__xludf.DUMMYFUNCTION("""COMPUTED_VALUE"""),8.6)</f>
        <v>8.6</v>
      </c>
      <c r="H274" s="2">
        <f ca="1">IFERROR(__xludf.DUMMYFUNCTION("""COMPUTED_VALUE"""),6.59)</f>
        <v>6.59</v>
      </c>
      <c r="I274" s="2">
        <f ca="1">IFERROR(__xludf.DUMMYFUNCTION("""COMPUTED_VALUE"""),5.81)</f>
        <v>5.81</v>
      </c>
      <c r="J274" s="2">
        <f ca="1">IFERROR(__xludf.DUMMYFUNCTION("""COMPUTED_VALUE"""),5.09)</f>
        <v>5.09</v>
      </c>
      <c r="K274" s="2">
        <f ca="1">IFERROR(__xludf.DUMMYFUNCTION("""COMPUTED_VALUE"""),61.12)</f>
        <v>61.12</v>
      </c>
      <c r="L274" s="2">
        <f ca="1">IFERROR(__xludf.DUMMYFUNCTION("""COMPUTED_VALUE"""),60.57)</f>
        <v>60.57</v>
      </c>
      <c r="M274" s="2">
        <f ca="1">IFERROR(__xludf.DUMMYFUNCTION("""COMPUTED_VALUE"""),62.49)</f>
        <v>62.49</v>
      </c>
      <c r="N274" s="2">
        <f ca="1">IFERROR(__xludf.DUMMYFUNCTION("""COMPUTED_VALUE"""),62.56)</f>
        <v>62.56</v>
      </c>
      <c r="O274" s="2">
        <f ca="1">IFERROR(__xludf.DUMMYFUNCTION("""COMPUTED_VALUE"""),58.67)</f>
        <v>58.67</v>
      </c>
      <c r="P274" s="2">
        <f ca="1">IFERROR(__xludf.DUMMYFUNCTION("""COMPUTED_VALUE"""),60.5)</f>
        <v>60.5</v>
      </c>
      <c r="Q274" s="2">
        <f ca="1">IFERROR(__xludf.DUMMYFUNCTION("""COMPUTED_VALUE"""),58.13)</f>
        <v>58.13</v>
      </c>
    </row>
    <row r="275" spans="1:17" ht="15.75" customHeight="1" x14ac:dyDescent="0.25">
      <c r="A275" s="2">
        <v>5101</v>
      </c>
      <c r="B275" s="2" t="str">
        <f ca="1">IFERROR(__xludf.DUMMYFUNCTION("""COMPUTED_VALUE"""),"BALI")</f>
        <v>BALI</v>
      </c>
      <c r="C275" s="2" t="str">
        <f ca="1">IFERROR(__xludf.DUMMYFUNCTION("""COMPUTED_VALUE"""),"Jembrana")</f>
        <v>Jembrana</v>
      </c>
      <c r="D275" s="2">
        <f ca="1">IFERROR(__xludf.DUMMYFUNCTION("""COMPUTED_VALUE"""),1.41)</f>
        <v>1.41</v>
      </c>
      <c r="E275" s="2">
        <f ca="1">IFERROR(__xludf.DUMMYFUNCTION("""COMPUTED_VALUE"""),1.44)</f>
        <v>1.44</v>
      </c>
      <c r="F275" s="2">
        <f ca="1">IFERROR(__xludf.DUMMYFUNCTION("""COMPUTED_VALUE"""),4.52)</f>
        <v>4.5199999999999996</v>
      </c>
      <c r="G275" s="2">
        <f ca="1">IFERROR(__xludf.DUMMYFUNCTION("""COMPUTED_VALUE"""),4.11)</f>
        <v>4.1100000000000003</v>
      </c>
      <c r="H275" s="2">
        <f ca="1">IFERROR(__xludf.DUMMYFUNCTION("""COMPUTED_VALUE"""),3.94)</f>
        <v>3.94</v>
      </c>
      <c r="I275" s="2">
        <f ca="1">IFERROR(__xludf.DUMMYFUNCTION("""COMPUTED_VALUE"""),2.52)</f>
        <v>2.52</v>
      </c>
      <c r="J275" s="2">
        <f ca="1">IFERROR(__xludf.DUMMYFUNCTION("""COMPUTED_VALUE"""),1.53)</f>
        <v>1.53</v>
      </c>
      <c r="K275" s="2">
        <f ca="1">IFERROR(__xludf.DUMMYFUNCTION("""COMPUTED_VALUE"""),77.3)</f>
        <v>77.3</v>
      </c>
      <c r="L275" s="2">
        <f ca="1">IFERROR(__xludf.DUMMYFUNCTION("""COMPUTED_VALUE"""),67.36)</f>
        <v>67.36</v>
      </c>
      <c r="M275" s="2">
        <f ca="1">IFERROR(__xludf.DUMMYFUNCTION("""COMPUTED_VALUE"""),75.92)</f>
        <v>75.92</v>
      </c>
      <c r="N275" s="2">
        <f ca="1">IFERROR(__xludf.DUMMYFUNCTION("""COMPUTED_VALUE"""),81.26)</f>
        <v>81.260000000000005</v>
      </c>
      <c r="O275" s="2">
        <f ca="1">IFERROR(__xludf.DUMMYFUNCTION("""COMPUTED_VALUE"""),80.6)</f>
        <v>80.599999999999994</v>
      </c>
      <c r="P275" s="2">
        <f ca="1">IFERROR(__xludf.DUMMYFUNCTION("""COMPUTED_VALUE"""),80.05)</f>
        <v>80.05</v>
      </c>
      <c r="Q275" s="2">
        <f ca="1">IFERROR(__xludf.DUMMYFUNCTION("""COMPUTED_VALUE"""),80.1)</f>
        <v>80.099999999999994</v>
      </c>
    </row>
    <row r="276" spans="1:17" ht="15.75" customHeight="1" x14ac:dyDescent="0.25">
      <c r="A276" s="2">
        <v>5102</v>
      </c>
      <c r="B276" s="2" t="str">
        <f ca="1">IFERROR(__xludf.DUMMYFUNCTION("""COMPUTED_VALUE"""),"BALI")</f>
        <v>BALI</v>
      </c>
      <c r="C276" s="2" t="str">
        <f ca="1">IFERROR(__xludf.DUMMYFUNCTION("""COMPUTED_VALUE"""),"Tabanan")</f>
        <v>Tabanan</v>
      </c>
      <c r="D276" s="2">
        <f ca="1">IFERROR(__xludf.DUMMYFUNCTION("""COMPUTED_VALUE"""),1.45)</f>
        <v>1.45</v>
      </c>
      <c r="E276" s="2">
        <f ca="1">IFERROR(__xludf.DUMMYFUNCTION("""COMPUTED_VALUE"""),1.29)</f>
        <v>1.29</v>
      </c>
      <c r="F276" s="2">
        <f ca="1">IFERROR(__xludf.DUMMYFUNCTION("""COMPUTED_VALUE"""),4.21)</f>
        <v>4.21</v>
      </c>
      <c r="G276" s="2">
        <f ca="1">IFERROR(__xludf.DUMMYFUNCTION("""COMPUTED_VALUE"""),3.94)</f>
        <v>3.94</v>
      </c>
      <c r="H276" s="2">
        <f ca="1">IFERROR(__xludf.DUMMYFUNCTION("""COMPUTED_VALUE"""),3.83)</f>
        <v>3.83</v>
      </c>
      <c r="I276" s="2">
        <f ca="1">IFERROR(__xludf.DUMMYFUNCTION("""COMPUTED_VALUE"""),2.64)</f>
        <v>2.64</v>
      </c>
      <c r="J276" s="2">
        <f ca="1">IFERROR(__xludf.DUMMYFUNCTION("""COMPUTED_VALUE"""),1.85)</f>
        <v>1.85</v>
      </c>
      <c r="K276" s="2">
        <f ca="1">IFERROR(__xludf.DUMMYFUNCTION("""COMPUTED_VALUE"""),77.29)</f>
        <v>77.290000000000006</v>
      </c>
      <c r="L276" s="2">
        <f ca="1">IFERROR(__xludf.DUMMYFUNCTION("""COMPUTED_VALUE"""),75.42)</f>
        <v>75.42</v>
      </c>
      <c r="M276" s="2">
        <f ca="1">IFERROR(__xludf.DUMMYFUNCTION("""COMPUTED_VALUE"""),75.47)</f>
        <v>75.47</v>
      </c>
      <c r="N276" s="2">
        <f ca="1">IFERROR(__xludf.DUMMYFUNCTION("""COMPUTED_VALUE"""),74.98)</f>
        <v>74.98</v>
      </c>
      <c r="O276" s="2">
        <f ca="1">IFERROR(__xludf.DUMMYFUNCTION("""COMPUTED_VALUE"""),76.93)</f>
        <v>76.930000000000007</v>
      </c>
      <c r="P276" s="2">
        <f ca="1">IFERROR(__xludf.DUMMYFUNCTION("""COMPUTED_VALUE"""),74.16)</f>
        <v>74.16</v>
      </c>
      <c r="Q276" s="2">
        <f ca="1">IFERROR(__xludf.DUMMYFUNCTION("""COMPUTED_VALUE"""),75.29)</f>
        <v>75.290000000000006</v>
      </c>
    </row>
    <row r="277" spans="1:17" ht="15.75" customHeight="1" x14ac:dyDescent="0.25">
      <c r="A277" s="2">
        <v>5103</v>
      </c>
      <c r="B277" s="2" t="str">
        <f ca="1">IFERROR(__xludf.DUMMYFUNCTION("""COMPUTED_VALUE"""),"BALI")</f>
        <v>BALI</v>
      </c>
      <c r="C277" s="2" t="str">
        <f ca="1">IFERROR(__xludf.DUMMYFUNCTION("""COMPUTED_VALUE"""),"Badung")</f>
        <v>Badung</v>
      </c>
      <c r="D277" s="2">
        <f ca="1">IFERROR(__xludf.DUMMYFUNCTION("""COMPUTED_VALUE"""),0.46)</f>
        <v>0.46</v>
      </c>
      <c r="E277" s="2">
        <f ca="1">IFERROR(__xludf.DUMMYFUNCTION("""COMPUTED_VALUE"""),0.4)</f>
        <v>0.4</v>
      </c>
      <c r="F277" s="2">
        <f ca="1">IFERROR(__xludf.DUMMYFUNCTION("""COMPUTED_VALUE"""),6.92)</f>
        <v>6.92</v>
      </c>
      <c r="G277" s="2">
        <f ca="1">IFERROR(__xludf.DUMMYFUNCTION("""COMPUTED_VALUE"""),6.93)</f>
        <v>6.93</v>
      </c>
      <c r="H277" s="2">
        <f ca="1">IFERROR(__xludf.DUMMYFUNCTION("""COMPUTED_VALUE"""),6.87)</f>
        <v>6.87</v>
      </c>
      <c r="I277" s="2">
        <f ca="1">IFERROR(__xludf.DUMMYFUNCTION("""COMPUTED_VALUE"""),2.72)</f>
        <v>2.72</v>
      </c>
      <c r="J277" s="2">
        <f ca="1">IFERROR(__xludf.DUMMYFUNCTION("""COMPUTED_VALUE"""),1.83)</f>
        <v>1.83</v>
      </c>
      <c r="K277" s="2">
        <f ca="1">IFERROR(__xludf.DUMMYFUNCTION("""COMPUTED_VALUE"""),71.15)</f>
        <v>71.150000000000006</v>
      </c>
      <c r="L277" s="2">
        <f ca="1">IFERROR(__xludf.DUMMYFUNCTION("""COMPUTED_VALUE"""),72.6)</f>
        <v>72.599999999999994</v>
      </c>
      <c r="M277" s="2">
        <f ca="1">IFERROR(__xludf.DUMMYFUNCTION("""COMPUTED_VALUE"""),72.69)</f>
        <v>72.69</v>
      </c>
      <c r="N277" s="2">
        <f ca="1">IFERROR(__xludf.DUMMYFUNCTION("""COMPUTED_VALUE"""),72.52)</f>
        <v>72.52</v>
      </c>
      <c r="O277" s="2">
        <f ca="1">IFERROR(__xludf.DUMMYFUNCTION("""COMPUTED_VALUE"""),72.8)</f>
        <v>72.8</v>
      </c>
      <c r="P277" s="2">
        <f ca="1">IFERROR(__xludf.DUMMYFUNCTION("""COMPUTED_VALUE"""),73.79)</f>
        <v>73.790000000000006</v>
      </c>
      <c r="Q277" s="2">
        <f ca="1">IFERROR(__xludf.DUMMYFUNCTION("""COMPUTED_VALUE"""),75.59)</f>
        <v>75.59</v>
      </c>
    </row>
    <row r="278" spans="1:17" ht="15.75" customHeight="1" x14ac:dyDescent="0.25">
      <c r="A278" s="2">
        <v>5104</v>
      </c>
      <c r="B278" s="2" t="str">
        <f ca="1">IFERROR(__xludf.DUMMYFUNCTION("""COMPUTED_VALUE"""),"BALI")</f>
        <v>BALI</v>
      </c>
      <c r="C278" s="2" t="str">
        <f ca="1">IFERROR(__xludf.DUMMYFUNCTION("""COMPUTED_VALUE"""),"Gianyar")</f>
        <v>Gianyar</v>
      </c>
      <c r="D278" s="2">
        <f ca="1">IFERROR(__xludf.DUMMYFUNCTION("""COMPUTED_VALUE"""),1.61)</f>
        <v>1.61</v>
      </c>
      <c r="E278" s="2">
        <f ca="1">IFERROR(__xludf.DUMMYFUNCTION("""COMPUTED_VALUE"""),1.46)</f>
        <v>1.46</v>
      </c>
      <c r="F278" s="2">
        <f ca="1">IFERROR(__xludf.DUMMYFUNCTION("""COMPUTED_VALUE"""),7.53)</f>
        <v>7.53</v>
      </c>
      <c r="G278" s="2">
        <f ca="1">IFERROR(__xludf.DUMMYFUNCTION("""COMPUTED_VALUE"""),6.9)</f>
        <v>6.9</v>
      </c>
      <c r="H278" s="2">
        <f ca="1">IFERROR(__xludf.DUMMYFUNCTION("""COMPUTED_VALUE"""),6.78)</f>
        <v>6.78</v>
      </c>
      <c r="I278" s="2">
        <f ca="1">IFERROR(__xludf.DUMMYFUNCTION("""COMPUTED_VALUE"""),2.96)</f>
        <v>2.96</v>
      </c>
      <c r="J278" s="2">
        <f ca="1">IFERROR(__xludf.DUMMYFUNCTION("""COMPUTED_VALUE"""),1.98)</f>
        <v>1.98</v>
      </c>
      <c r="K278" s="2">
        <f ca="1">IFERROR(__xludf.DUMMYFUNCTION("""COMPUTED_VALUE"""),78.96)</f>
        <v>78.959999999999994</v>
      </c>
      <c r="L278" s="2">
        <f ca="1">IFERROR(__xludf.DUMMYFUNCTION("""COMPUTED_VALUE"""),76.11)</f>
        <v>76.11</v>
      </c>
      <c r="M278" s="2">
        <f ca="1">IFERROR(__xludf.DUMMYFUNCTION("""COMPUTED_VALUE"""),71.27)</f>
        <v>71.27</v>
      </c>
      <c r="N278" s="2">
        <f ca="1">IFERROR(__xludf.DUMMYFUNCTION("""COMPUTED_VALUE"""),69.88)</f>
        <v>69.88</v>
      </c>
      <c r="O278" s="2">
        <f ca="1">IFERROR(__xludf.DUMMYFUNCTION("""COMPUTED_VALUE"""),80.26)</f>
        <v>80.260000000000005</v>
      </c>
      <c r="P278" s="2">
        <f ca="1">IFERROR(__xludf.DUMMYFUNCTION("""COMPUTED_VALUE"""),77.26)</f>
        <v>77.260000000000005</v>
      </c>
      <c r="Q278" s="2">
        <f ca="1">IFERROR(__xludf.DUMMYFUNCTION("""COMPUTED_VALUE"""),76.5)</f>
        <v>76.5</v>
      </c>
    </row>
    <row r="279" spans="1:17" ht="15.75" customHeight="1" x14ac:dyDescent="0.25">
      <c r="A279" s="2">
        <v>5105</v>
      </c>
      <c r="B279" s="2" t="str">
        <f ca="1">IFERROR(__xludf.DUMMYFUNCTION("""COMPUTED_VALUE"""),"BALI")</f>
        <v>BALI</v>
      </c>
      <c r="C279" s="2" t="str">
        <f ca="1">IFERROR(__xludf.DUMMYFUNCTION("""COMPUTED_VALUE"""),"Klungkung")</f>
        <v>Klungkung</v>
      </c>
      <c r="D279" s="2">
        <f ca="1">IFERROR(__xludf.DUMMYFUNCTION("""COMPUTED_VALUE"""),1.47)</f>
        <v>1.47</v>
      </c>
      <c r="E279" s="2">
        <f ca="1">IFERROR(__xludf.DUMMYFUNCTION("""COMPUTED_VALUE"""),1.57)</f>
        <v>1.57</v>
      </c>
      <c r="F279" s="2">
        <f ca="1">IFERROR(__xludf.DUMMYFUNCTION("""COMPUTED_VALUE"""),5.42)</f>
        <v>5.42</v>
      </c>
      <c r="G279" s="2">
        <f ca="1">IFERROR(__xludf.DUMMYFUNCTION("""COMPUTED_VALUE"""),5.35)</f>
        <v>5.35</v>
      </c>
      <c r="H279" s="2">
        <f ca="1">IFERROR(__xludf.DUMMYFUNCTION("""COMPUTED_VALUE"""),1.96)</f>
        <v>1.96</v>
      </c>
      <c r="I279" s="2">
        <f ca="1">IFERROR(__xludf.DUMMYFUNCTION("""COMPUTED_VALUE"""),1.29)</f>
        <v>1.29</v>
      </c>
      <c r="J279" s="2">
        <f ca="1">IFERROR(__xludf.DUMMYFUNCTION("""COMPUTED_VALUE"""),1.23)</f>
        <v>1.23</v>
      </c>
      <c r="K279" s="2">
        <f ca="1">IFERROR(__xludf.DUMMYFUNCTION("""COMPUTED_VALUE"""),77.87)</f>
        <v>77.87</v>
      </c>
      <c r="L279" s="2">
        <f ca="1">IFERROR(__xludf.DUMMYFUNCTION("""COMPUTED_VALUE"""),76.05)</f>
        <v>76.05</v>
      </c>
      <c r="M279" s="2">
        <f ca="1">IFERROR(__xludf.DUMMYFUNCTION("""COMPUTED_VALUE"""),75.27)</f>
        <v>75.27</v>
      </c>
      <c r="N279" s="2">
        <f ca="1">IFERROR(__xludf.DUMMYFUNCTION("""COMPUTED_VALUE"""),72.83)</f>
        <v>72.83</v>
      </c>
      <c r="O279" s="2">
        <f ca="1">IFERROR(__xludf.DUMMYFUNCTION("""COMPUTED_VALUE"""),79.81)</f>
        <v>79.81</v>
      </c>
      <c r="P279" s="2">
        <f ca="1">IFERROR(__xludf.DUMMYFUNCTION("""COMPUTED_VALUE"""),79.88)</f>
        <v>79.88</v>
      </c>
      <c r="Q279" s="2">
        <f ca="1">IFERROR(__xludf.DUMMYFUNCTION("""COMPUTED_VALUE"""),77.23)</f>
        <v>77.23</v>
      </c>
    </row>
    <row r="280" spans="1:17" ht="15.75" customHeight="1" x14ac:dyDescent="0.25">
      <c r="A280" s="2">
        <v>5106</v>
      </c>
      <c r="B280" s="2" t="str">
        <f ca="1">IFERROR(__xludf.DUMMYFUNCTION("""COMPUTED_VALUE"""),"BALI")</f>
        <v>BALI</v>
      </c>
      <c r="C280" s="2" t="str">
        <f ca="1">IFERROR(__xludf.DUMMYFUNCTION("""COMPUTED_VALUE"""),"Bangli")</f>
        <v>Bangli</v>
      </c>
      <c r="D280" s="2">
        <f ca="1">IFERROR(__xludf.DUMMYFUNCTION("""COMPUTED_VALUE"""),0.81)</f>
        <v>0.81</v>
      </c>
      <c r="E280" s="2">
        <f ca="1">IFERROR(__xludf.DUMMYFUNCTION("""COMPUTED_VALUE"""),0.75)</f>
        <v>0.75</v>
      </c>
      <c r="F280" s="2">
        <f ca="1">IFERROR(__xludf.DUMMYFUNCTION("""COMPUTED_VALUE"""),1.86)</f>
        <v>1.86</v>
      </c>
      <c r="G280" s="2">
        <f ca="1">IFERROR(__xludf.DUMMYFUNCTION("""COMPUTED_VALUE"""),1.8)</f>
        <v>1.8</v>
      </c>
      <c r="H280" s="2">
        <f ca="1">IFERROR(__xludf.DUMMYFUNCTION("""COMPUTED_VALUE"""),0.76)</f>
        <v>0.76</v>
      </c>
      <c r="I280" s="2">
        <f ca="1">IFERROR(__xludf.DUMMYFUNCTION("""COMPUTED_VALUE"""),0.75)</f>
        <v>0.75</v>
      </c>
      <c r="J280" s="2">
        <f ca="1">IFERROR(__xludf.DUMMYFUNCTION("""COMPUTED_VALUE"""),0.74)</f>
        <v>0.74</v>
      </c>
      <c r="K280" s="2">
        <f ca="1">IFERROR(__xludf.DUMMYFUNCTION("""COMPUTED_VALUE"""),85.72)</f>
        <v>85.72</v>
      </c>
      <c r="L280" s="2">
        <f ca="1">IFERROR(__xludf.DUMMYFUNCTION("""COMPUTED_VALUE"""),83.11)</f>
        <v>83.11</v>
      </c>
      <c r="M280" s="2">
        <f ca="1">IFERROR(__xludf.DUMMYFUNCTION("""COMPUTED_VALUE"""),82.2)</f>
        <v>82.2</v>
      </c>
      <c r="N280" s="2">
        <f ca="1">IFERROR(__xludf.DUMMYFUNCTION("""COMPUTED_VALUE"""),82.09)</f>
        <v>82.09</v>
      </c>
      <c r="O280" s="2">
        <f ca="1">IFERROR(__xludf.DUMMYFUNCTION("""COMPUTED_VALUE"""),83.36)</f>
        <v>83.36</v>
      </c>
      <c r="P280" s="2">
        <f ca="1">IFERROR(__xludf.DUMMYFUNCTION("""COMPUTED_VALUE"""),83.04)</f>
        <v>83.04</v>
      </c>
      <c r="Q280" s="2">
        <f ca="1">IFERROR(__xludf.DUMMYFUNCTION("""COMPUTED_VALUE"""),82.27)</f>
        <v>82.27</v>
      </c>
    </row>
    <row r="281" spans="1:17" ht="15.75" customHeight="1" x14ac:dyDescent="0.25">
      <c r="A281" s="2">
        <v>5107</v>
      </c>
      <c r="B281" s="2" t="str">
        <f ca="1">IFERROR(__xludf.DUMMYFUNCTION("""COMPUTED_VALUE"""),"BALI")</f>
        <v>BALI</v>
      </c>
      <c r="C281" s="2" t="str">
        <f ca="1">IFERROR(__xludf.DUMMYFUNCTION("""COMPUTED_VALUE"""),"Karangasem")</f>
        <v>Karangasem</v>
      </c>
      <c r="D281" s="2">
        <f ca="1">IFERROR(__xludf.DUMMYFUNCTION("""COMPUTED_VALUE"""),1.03)</f>
        <v>1.03</v>
      </c>
      <c r="E281" s="2">
        <f ca="1">IFERROR(__xludf.DUMMYFUNCTION("""COMPUTED_VALUE"""),0.62)</f>
        <v>0.62</v>
      </c>
      <c r="F281" s="2">
        <f ca="1">IFERROR(__xludf.DUMMYFUNCTION("""COMPUTED_VALUE"""),2.42)</f>
        <v>2.42</v>
      </c>
      <c r="G281" s="2">
        <f ca="1">IFERROR(__xludf.DUMMYFUNCTION("""COMPUTED_VALUE"""),2.32)</f>
        <v>2.3199999999999998</v>
      </c>
      <c r="H281" s="2">
        <f ca="1">IFERROR(__xludf.DUMMYFUNCTION("""COMPUTED_VALUE"""),3.09)</f>
        <v>3.09</v>
      </c>
      <c r="I281" s="2">
        <f ca="1">IFERROR(__xludf.DUMMYFUNCTION("""COMPUTED_VALUE"""),2.61)</f>
        <v>2.61</v>
      </c>
      <c r="J281" s="2">
        <f ca="1">IFERROR(__xludf.DUMMYFUNCTION("""COMPUTED_VALUE"""),1.63)</f>
        <v>1.63</v>
      </c>
      <c r="K281" s="2">
        <f ca="1">IFERROR(__xludf.DUMMYFUNCTION("""COMPUTED_VALUE"""),82.28)</f>
        <v>82.28</v>
      </c>
      <c r="L281" s="2">
        <f ca="1">IFERROR(__xludf.DUMMYFUNCTION("""COMPUTED_VALUE"""),80.61)</f>
        <v>80.61</v>
      </c>
      <c r="M281" s="2">
        <f ca="1">IFERROR(__xludf.DUMMYFUNCTION("""COMPUTED_VALUE"""),80.75)</f>
        <v>80.75</v>
      </c>
      <c r="N281" s="2">
        <f ca="1">IFERROR(__xludf.DUMMYFUNCTION("""COMPUTED_VALUE"""),81.15)</f>
        <v>81.150000000000006</v>
      </c>
      <c r="O281" s="2">
        <f ca="1">IFERROR(__xludf.DUMMYFUNCTION("""COMPUTED_VALUE"""),85.39)</f>
        <v>85.39</v>
      </c>
      <c r="P281" s="2">
        <f ca="1">IFERROR(__xludf.DUMMYFUNCTION("""COMPUTED_VALUE"""),86.01)</f>
        <v>86.01</v>
      </c>
      <c r="Q281" s="2">
        <f ca="1">IFERROR(__xludf.DUMMYFUNCTION("""COMPUTED_VALUE"""),83.74)</f>
        <v>83.74</v>
      </c>
    </row>
    <row r="282" spans="1:17" ht="15.75" customHeight="1" x14ac:dyDescent="0.25">
      <c r="A282" s="2">
        <v>5108</v>
      </c>
      <c r="B282" s="2" t="str">
        <f ca="1">IFERROR(__xludf.DUMMYFUNCTION("""COMPUTED_VALUE"""),"BALI")</f>
        <v>BALI</v>
      </c>
      <c r="C282" s="2" t="str">
        <f ca="1">IFERROR(__xludf.DUMMYFUNCTION("""COMPUTED_VALUE"""),"Buleleng")</f>
        <v>Buleleng</v>
      </c>
      <c r="D282" s="2">
        <f ca="1">IFERROR(__xludf.DUMMYFUNCTION("""COMPUTED_VALUE"""),1.88)</f>
        <v>1.88</v>
      </c>
      <c r="E282" s="2">
        <f ca="1">IFERROR(__xludf.DUMMYFUNCTION("""COMPUTED_VALUE"""),3.12)</f>
        <v>3.12</v>
      </c>
      <c r="F282" s="2">
        <f ca="1">IFERROR(__xludf.DUMMYFUNCTION("""COMPUTED_VALUE"""),5.19)</f>
        <v>5.19</v>
      </c>
      <c r="G282" s="2">
        <f ca="1">IFERROR(__xludf.DUMMYFUNCTION("""COMPUTED_VALUE"""),5.38)</f>
        <v>5.38</v>
      </c>
      <c r="H282" s="2">
        <f ca="1">IFERROR(__xludf.DUMMYFUNCTION("""COMPUTED_VALUE"""),5.2)</f>
        <v>5.2</v>
      </c>
      <c r="I282" s="2">
        <f ca="1">IFERROR(__xludf.DUMMYFUNCTION("""COMPUTED_VALUE"""),3.6)</f>
        <v>3.6</v>
      </c>
      <c r="J282" s="2">
        <f ca="1">IFERROR(__xludf.DUMMYFUNCTION("""COMPUTED_VALUE"""),2.06)</f>
        <v>2.06</v>
      </c>
      <c r="K282" s="2">
        <f ca="1">IFERROR(__xludf.DUMMYFUNCTION("""COMPUTED_VALUE"""),76.6)</f>
        <v>76.599999999999994</v>
      </c>
      <c r="L282" s="2">
        <f ca="1">IFERROR(__xludf.DUMMYFUNCTION("""COMPUTED_VALUE"""),69.51)</f>
        <v>69.510000000000005</v>
      </c>
      <c r="M282" s="2">
        <f ca="1">IFERROR(__xludf.DUMMYFUNCTION("""COMPUTED_VALUE"""),75.07)</f>
        <v>75.069999999999993</v>
      </c>
      <c r="N282" s="2">
        <f ca="1">IFERROR(__xludf.DUMMYFUNCTION("""COMPUTED_VALUE"""),73.08)</f>
        <v>73.08</v>
      </c>
      <c r="O282" s="2">
        <f ca="1">IFERROR(__xludf.DUMMYFUNCTION("""COMPUTED_VALUE"""),75.38)</f>
        <v>75.38</v>
      </c>
      <c r="P282" s="2">
        <f ca="1">IFERROR(__xludf.DUMMYFUNCTION("""COMPUTED_VALUE"""),75.49)</f>
        <v>75.489999999999995</v>
      </c>
      <c r="Q282" s="2">
        <f ca="1">IFERROR(__xludf.DUMMYFUNCTION("""COMPUTED_VALUE"""),79.77)</f>
        <v>79.77</v>
      </c>
    </row>
    <row r="283" spans="1:17" ht="15.75" customHeight="1" x14ac:dyDescent="0.25">
      <c r="A283" s="2">
        <v>5171</v>
      </c>
      <c r="B283" s="2" t="str">
        <f ca="1">IFERROR(__xludf.DUMMYFUNCTION("""COMPUTED_VALUE"""),"BALI")</f>
        <v>BALI</v>
      </c>
      <c r="C283" s="2" t="str">
        <f ca="1">IFERROR(__xludf.DUMMYFUNCTION("""COMPUTED_VALUE"""),"Kota Denpasar")</f>
        <v>Kota Denpasar</v>
      </c>
      <c r="D283" s="2">
        <f ca="1">IFERROR(__xludf.DUMMYFUNCTION("""COMPUTED_VALUE"""),1.87)</f>
        <v>1.87</v>
      </c>
      <c r="E283" s="2">
        <f ca="1">IFERROR(__xludf.DUMMYFUNCTION("""COMPUTED_VALUE"""),2.29)</f>
        <v>2.29</v>
      </c>
      <c r="F283" s="2">
        <f ca="1">IFERROR(__xludf.DUMMYFUNCTION("""COMPUTED_VALUE"""),7.62)</f>
        <v>7.62</v>
      </c>
      <c r="G283" s="2">
        <f ca="1">IFERROR(__xludf.DUMMYFUNCTION("""COMPUTED_VALUE"""),7.02)</f>
        <v>7.02</v>
      </c>
      <c r="H283" s="2">
        <f ca="1">IFERROR(__xludf.DUMMYFUNCTION("""COMPUTED_VALUE"""),5.08)</f>
        <v>5.08</v>
      </c>
      <c r="I283" s="2">
        <f ca="1">IFERROR(__xludf.DUMMYFUNCTION("""COMPUTED_VALUE"""),2.85)</f>
        <v>2.85</v>
      </c>
      <c r="J283" s="2">
        <f ca="1">IFERROR(__xludf.DUMMYFUNCTION("""COMPUTED_VALUE"""),2.11)</f>
        <v>2.11</v>
      </c>
      <c r="K283" s="2">
        <f ca="1">IFERROR(__xludf.DUMMYFUNCTION("""COMPUTED_VALUE"""),73.52)</f>
        <v>73.52</v>
      </c>
      <c r="L283" s="2">
        <f ca="1">IFERROR(__xludf.DUMMYFUNCTION("""COMPUTED_VALUE"""),71.7)</f>
        <v>71.7</v>
      </c>
      <c r="M283" s="2">
        <f ca="1">IFERROR(__xludf.DUMMYFUNCTION("""COMPUTED_VALUE"""),70.91)</f>
        <v>70.91</v>
      </c>
      <c r="N283" s="2">
        <f ca="1">IFERROR(__xludf.DUMMYFUNCTION("""COMPUTED_VALUE"""),68.67)</f>
        <v>68.67</v>
      </c>
      <c r="O283" s="2">
        <f ca="1">IFERROR(__xludf.DUMMYFUNCTION("""COMPUTED_VALUE"""),72.37)</f>
        <v>72.37</v>
      </c>
      <c r="P283" s="2">
        <f ca="1">IFERROR(__xludf.DUMMYFUNCTION("""COMPUTED_VALUE"""),73.13)</f>
        <v>73.13</v>
      </c>
      <c r="Q283" s="2">
        <f ca="1">IFERROR(__xludf.DUMMYFUNCTION("""COMPUTED_VALUE"""),69.71)</f>
        <v>69.709999999999994</v>
      </c>
    </row>
    <row r="284" spans="1:17" ht="15.75" customHeight="1" x14ac:dyDescent="0.25">
      <c r="A284" s="2">
        <v>5201</v>
      </c>
      <c r="B284" s="2" t="str">
        <f ca="1">IFERROR(__xludf.DUMMYFUNCTION("""COMPUTED_VALUE"""),"NUSA TENGGARA BARAT")</f>
        <v>NUSA TENGGARA BARAT</v>
      </c>
      <c r="C284" s="2" t="str">
        <f ca="1">IFERROR(__xludf.DUMMYFUNCTION("""COMPUTED_VALUE"""),"Lombok Barat")</f>
        <v>Lombok Barat</v>
      </c>
      <c r="D284" s="2">
        <f ca="1">IFERROR(__xludf.DUMMYFUNCTION("""COMPUTED_VALUE"""),3.22)</f>
        <v>3.22</v>
      </c>
      <c r="E284" s="2">
        <f ca="1">IFERROR(__xludf.DUMMYFUNCTION("""COMPUTED_VALUE"""),3.52)</f>
        <v>3.52</v>
      </c>
      <c r="F284" s="2">
        <f ca="1">IFERROR(__xludf.DUMMYFUNCTION("""COMPUTED_VALUE"""),4.58)</f>
        <v>4.58</v>
      </c>
      <c r="G284" s="2">
        <f ca="1">IFERROR(__xludf.DUMMYFUNCTION("""COMPUTED_VALUE"""),3.32)</f>
        <v>3.32</v>
      </c>
      <c r="H284" s="2">
        <f ca="1">IFERROR(__xludf.DUMMYFUNCTION("""COMPUTED_VALUE"""),4.16)</f>
        <v>4.16</v>
      </c>
      <c r="I284" s="2">
        <f ca="1">IFERROR(__xludf.DUMMYFUNCTION("""COMPUTED_VALUE"""),3.12)</f>
        <v>3.12</v>
      </c>
      <c r="J284" s="2">
        <f ca="1">IFERROR(__xludf.DUMMYFUNCTION("""COMPUTED_VALUE"""),2.75)</f>
        <v>2.75</v>
      </c>
      <c r="K284" s="2">
        <f ca="1">IFERROR(__xludf.DUMMYFUNCTION("""COMPUTED_VALUE"""),59.99)</f>
        <v>59.99</v>
      </c>
      <c r="L284" s="2">
        <f ca="1">IFERROR(__xludf.DUMMYFUNCTION("""COMPUTED_VALUE"""),70.94)</f>
        <v>70.94</v>
      </c>
      <c r="M284" s="2">
        <f ca="1">IFERROR(__xludf.DUMMYFUNCTION("""COMPUTED_VALUE"""),67.89)</f>
        <v>67.89</v>
      </c>
      <c r="N284" s="2">
        <f ca="1">IFERROR(__xludf.DUMMYFUNCTION("""COMPUTED_VALUE"""),70.48)</f>
        <v>70.48</v>
      </c>
      <c r="O284" s="2">
        <f ca="1">IFERROR(__xludf.DUMMYFUNCTION("""COMPUTED_VALUE"""),71.69)</f>
        <v>71.69</v>
      </c>
      <c r="P284" s="2">
        <f ca="1">IFERROR(__xludf.DUMMYFUNCTION("""COMPUTED_VALUE"""),74)</f>
        <v>74</v>
      </c>
      <c r="Q284" s="2">
        <f ca="1">IFERROR(__xludf.DUMMYFUNCTION("""COMPUTED_VALUE"""),76.21)</f>
        <v>76.209999999999994</v>
      </c>
    </row>
    <row r="285" spans="1:17" ht="15.75" customHeight="1" x14ac:dyDescent="0.25">
      <c r="A285" s="2">
        <v>5202</v>
      </c>
      <c r="B285" s="2" t="str">
        <f ca="1">IFERROR(__xludf.DUMMYFUNCTION("""COMPUTED_VALUE"""),"NUSA TENGGARA BARAT")</f>
        <v>NUSA TENGGARA BARAT</v>
      </c>
      <c r="C285" s="2" t="str">
        <f ca="1">IFERROR(__xludf.DUMMYFUNCTION("""COMPUTED_VALUE"""),"Lombok Tengah")</f>
        <v>Lombok Tengah</v>
      </c>
      <c r="D285" s="2">
        <f ca="1">IFERROR(__xludf.DUMMYFUNCTION("""COMPUTED_VALUE"""),2.98)</f>
        <v>2.98</v>
      </c>
      <c r="E285" s="2">
        <f ca="1">IFERROR(__xludf.DUMMYFUNCTION("""COMPUTED_VALUE"""),2.35)</f>
        <v>2.35</v>
      </c>
      <c r="F285" s="2">
        <f ca="1">IFERROR(__xludf.DUMMYFUNCTION("""COMPUTED_VALUE"""),3.74)</f>
        <v>3.74</v>
      </c>
      <c r="G285" s="2">
        <f ca="1">IFERROR(__xludf.DUMMYFUNCTION("""COMPUTED_VALUE"""),2.33)</f>
        <v>2.33</v>
      </c>
      <c r="H285" s="2">
        <f ca="1">IFERROR(__xludf.DUMMYFUNCTION("""COMPUTED_VALUE"""),3.02)</f>
        <v>3.02</v>
      </c>
      <c r="I285" s="2">
        <f ca="1">IFERROR(__xludf.DUMMYFUNCTION("""COMPUTED_VALUE"""),2.78)</f>
        <v>2.78</v>
      </c>
      <c r="J285" s="2">
        <f ca="1">IFERROR(__xludf.DUMMYFUNCTION("""COMPUTED_VALUE"""),2.55)</f>
        <v>2.5499999999999998</v>
      </c>
      <c r="K285" s="2">
        <f ca="1">IFERROR(__xludf.DUMMYFUNCTION("""COMPUTED_VALUE"""),67.59)</f>
        <v>67.59</v>
      </c>
      <c r="L285" s="2">
        <f ca="1">IFERROR(__xludf.DUMMYFUNCTION("""COMPUTED_VALUE"""),71.86)</f>
        <v>71.86</v>
      </c>
      <c r="M285" s="2">
        <f ca="1">IFERROR(__xludf.DUMMYFUNCTION("""COMPUTED_VALUE"""),75.04)</f>
        <v>75.040000000000006</v>
      </c>
      <c r="N285" s="2">
        <f ca="1">IFERROR(__xludf.DUMMYFUNCTION("""COMPUTED_VALUE"""),75.05)</f>
        <v>75.05</v>
      </c>
      <c r="O285" s="2">
        <f ca="1">IFERROR(__xludf.DUMMYFUNCTION("""COMPUTED_VALUE"""),73.2)</f>
        <v>73.2</v>
      </c>
      <c r="P285" s="2">
        <f ca="1">IFERROR(__xludf.DUMMYFUNCTION("""COMPUTED_VALUE"""),76.87)</f>
        <v>76.87</v>
      </c>
      <c r="Q285" s="2">
        <f ca="1">IFERROR(__xludf.DUMMYFUNCTION("""COMPUTED_VALUE"""),79.16)</f>
        <v>79.16</v>
      </c>
    </row>
    <row r="286" spans="1:17" ht="15.75" customHeight="1" x14ac:dyDescent="0.25">
      <c r="A286" s="2">
        <v>5203</v>
      </c>
      <c r="B286" s="2" t="str">
        <f ca="1">IFERROR(__xludf.DUMMYFUNCTION("""COMPUTED_VALUE"""),"NUSA TENGGARA BARAT")</f>
        <v>NUSA TENGGARA BARAT</v>
      </c>
      <c r="C286" s="2" t="str">
        <f ca="1">IFERROR(__xludf.DUMMYFUNCTION("""COMPUTED_VALUE"""),"Lombok Timur")</f>
        <v>Lombok Timur</v>
      </c>
      <c r="D286" s="2">
        <f ca="1">IFERROR(__xludf.DUMMYFUNCTION("""COMPUTED_VALUE"""),3.02)</f>
        <v>3.02</v>
      </c>
      <c r="E286" s="2">
        <f ca="1">IFERROR(__xludf.DUMMYFUNCTION("""COMPUTED_VALUE"""),3.35)</f>
        <v>3.35</v>
      </c>
      <c r="F286" s="2">
        <f ca="1">IFERROR(__xludf.DUMMYFUNCTION("""COMPUTED_VALUE"""),4.17)</f>
        <v>4.17</v>
      </c>
      <c r="G286" s="2">
        <f ca="1">IFERROR(__xludf.DUMMYFUNCTION("""COMPUTED_VALUE"""),2.79)</f>
        <v>2.79</v>
      </c>
      <c r="H286" s="2">
        <f ca="1">IFERROR(__xludf.DUMMYFUNCTION("""COMPUTED_VALUE"""),1.51)</f>
        <v>1.51</v>
      </c>
      <c r="I286" s="2">
        <f ca="1">IFERROR(__xludf.DUMMYFUNCTION("""COMPUTED_VALUE"""),2.47)</f>
        <v>2.4700000000000002</v>
      </c>
      <c r="J286" s="2">
        <f ca="1">IFERROR(__xludf.DUMMYFUNCTION("""COMPUTED_VALUE"""),2.53)</f>
        <v>2.5299999999999998</v>
      </c>
      <c r="K286" s="2">
        <f ca="1">IFERROR(__xludf.DUMMYFUNCTION("""COMPUTED_VALUE"""),65.34)</f>
        <v>65.34</v>
      </c>
      <c r="L286" s="2">
        <f ca="1">IFERROR(__xludf.DUMMYFUNCTION("""COMPUTED_VALUE"""),66.5)</f>
        <v>66.5</v>
      </c>
      <c r="M286" s="2">
        <f ca="1">IFERROR(__xludf.DUMMYFUNCTION("""COMPUTED_VALUE"""),68.11)</f>
        <v>68.11</v>
      </c>
      <c r="N286" s="2">
        <f ca="1">IFERROR(__xludf.DUMMYFUNCTION("""COMPUTED_VALUE"""),69.48)</f>
        <v>69.48</v>
      </c>
      <c r="O286" s="2">
        <f ca="1">IFERROR(__xludf.DUMMYFUNCTION("""COMPUTED_VALUE"""),69.16)</f>
        <v>69.16</v>
      </c>
      <c r="P286" s="2">
        <f ca="1">IFERROR(__xludf.DUMMYFUNCTION("""COMPUTED_VALUE"""),71.07)</f>
        <v>71.069999999999993</v>
      </c>
      <c r="Q286" s="2">
        <f ca="1">IFERROR(__xludf.DUMMYFUNCTION("""COMPUTED_VALUE"""),78.46)</f>
        <v>78.459999999999994</v>
      </c>
    </row>
    <row r="287" spans="1:17" ht="15.75" customHeight="1" x14ac:dyDescent="0.25">
      <c r="A287" s="2">
        <v>5204</v>
      </c>
      <c r="B287" s="2" t="str">
        <f ca="1">IFERROR(__xludf.DUMMYFUNCTION("""COMPUTED_VALUE"""),"NUSA TENGGARA BARAT")</f>
        <v>NUSA TENGGARA BARAT</v>
      </c>
      <c r="C287" s="2" t="str">
        <f ca="1">IFERROR(__xludf.DUMMYFUNCTION("""COMPUTED_VALUE"""),"Sumbawa")</f>
        <v>Sumbawa</v>
      </c>
      <c r="D287" s="2">
        <f ca="1">IFERROR(__xludf.DUMMYFUNCTION("""COMPUTED_VALUE"""),3.29)</f>
        <v>3.29</v>
      </c>
      <c r="E287" s="2">
        <f ca="1">IFERROR(__xludf.DUMMYFUNCTION("""COMPUTED_VALUE"""),2.99)</f>
        <v>2.99</v>
      </c>
      <c r="F287" s="2">
        <f ca="1">IFERROR(__xludf.DUMMYFUNCTION("""COMPUTED_VALUE"""),4.01)</f>
        <v>4.01</v>
      </c>
      <c r="G287" s="2">
        <f ca="1">IFERROR(__xludf.DUMMYFUNCTION("""COMPUTED_VALUE"""),3.39)</f>
        <v>3.39</v>
      </c>
      <c r="H287" s="2">
        <f ca="1">IFERROR(__xludf.DUMMYFUNCTION("""COMPUTED_VALUE"""),2.11)</f>
        <v>2.11</v>
      </c>
      <c r="I287" s="2">
        <f ca="1">IFERROR(__xludf.DUMMYFUNCTION("""COMPUTED_VALUE"""),2.79)</f>
        <v>2.79</v>
      </c>
      <c r="J287" s="2">
        <f ca="1">IFERROR(__xludf.DUMMYFUNCTION("""COMPUTED_VALUE"""),2.67)</f>
        <v>2.67</v>
      </c>
      <c r="K287" s="2">
        <f ca="1">IFERROR(__xludf.DUMMYFUNCTION("""COMPUTED_VALUE"""),69.1)</f>
        <v>69.099999999999994</v>
      </c>
      <c r="L287" s="2">
        <f ca="1">IFERROR(__xludf.DUMMYFUNCTION("""COMPUTED_VALUE"""),67.23)</f>
        <v>67.23</v>
      </c>
      <c r="M287" s="2">
        <f ca="1">IFERROR(__xludf.DUMMYFUNCTION("""COMPUTED_VALUE"""),69.11)</f>
        <v>69.11</v>
      </c>
      <c r="N287" s="2">
        <f ca="1">IFERROR(__xludf.DUMMYFUNCTION("""COMPUTED_VALUE"""),66.86)</f>
        <v>66.86</v>
      </c>
      <c r="O287" s="2">
        <f ca="1">IFERROR(__xludf.DUMMYFUNCTION("""COMPUTED_VALUE"""),72.08)</f>
        <v>72.08</v>
      </c>
      <c r="P287" s="2">
        <f ca="1">IFERROR(__xludf.DUMMYFUNCTION("""COMPUTED_VALUE"""),71.17)</f>
        <v>71.17</v>
      </c>
      <c r="Q287" s="2">
        <f ca="1">IFERROR(__xludf.DUMMYFUNCTION("""COMPUTED_VALUE"""),73.8)</f>
        <v>73.8</v>
      </c>
    </row>
    <row r="288" spans="1:17" ht="15.75" customHeight="1" x14ac:dyDescent="0.25">
      <c r="A288" s="2">
        <v>5205</v>
      </c>
      <c r="B288" s="2" t="str">
        <f ca="1">IFERROR(__xludf.DUMMYFUNCTION("""COMPUTED_VALUE"""),"NUSA TENGGARA BARAT")</f>
        <v>NUSA TENGGARA BARAT</v>
      </c>
      <c r="C288" s="2" t="str">
        <f ca="1">IFERROR(__xludf.DUMMYFUNCTION("""COMPUTED_VALUE"""),"Dompu")</f>
        <v>Dompu</v>
      </c>
      <c r="D288" s="2">
        <f ca="1">IFERROR(__xludf.DUMMYFUNCTION("""COMPUTED_VALUE"""),3.18)</f>
        <v>3.18</v>
      </c>
      <c r="E288" s="2">
        <f ca="1">IFERROR(__xludf.DUMMYFUNCTION("""COMPUTED_VALUE"""),3.04)</f>
        <v>3.04</v>
      </c>
      <c r="F288" s="2">
        <f ca="1">IFERROR(__xludf.DUMMYFUNCTION("""COMPUTED_VALUE"""),3.28)</f>
        <v>3.28</v>
      </c>
      <c r="G288" s="2">
        <f ca="1">IFERROR(__xludf.DUMMYFUNCTION("""COMPUTED_VALUE"""),3.02)</f>
        <v>3.02</v>
      </c>
      <c r="H288" s="2">
        <f ca="1">IFERROR(__xludf.DUMMYFUNCTION("""COMPUTED_VALUE"""),2.5)</f>
        <v>2.5</v>
      </c>
      <c r="I288" s="2">
        <f ca="1">IFERROR(__xludf.DUMMYFUNCTION("""COMPUTED_VALUE"""),2.36)</f>
        <v>2.36</v>
      </c>
      <c r="J288" s="2">
        <f ca="1">IFERROR(__xludf.DUMMYFUNCTION("""COMPUTED_VALUE"""),2.7)</f>
        <v>2.7</v>
      </c>
      <c r="K288" s="2">
        <f ca="1">IFERROR(__xludf.DUMMYFUNCTION("""COMPUTED_VALUE"""),65.98)</f>
        <v>65.98</v>
      </c>
      <c r="L288" s="2">
        <f ca="1">IFERROR(__xludf.DUMMYFUNCTION("""COMPUTED_VALUE"""),67.65)</f>
        <v>67.650000000000006</v>
      </c>
      <c r="M288" s="2">
        <f ca="1">IFERROR(__xludf.DUMMYFUNCTION("""COMPUTED_VALUE"""),70.06)</f>
        <v>70.06</v>
      </c>
      <c r="N288" s="2">
        <f ca="1">IFERROR(__xludf.DUMMYFUNCTION("""COMPUTED_VALUE"""),67.56)</f>
        <v>67.56</v>
      </c>
      <c r="O288" s="2">
        <f ca="1">IFERROR(__xludf.DUMMYFUNCTION("""COMPUTED_VALUE"""),70.76)</f>
        <v>70.760000000000005</v>
      </c>
      <c r="P288" s="2">
        <f ca="1">IFERROR(__xludf.DUMMYFUNCTION("""COMPUTED_VALUE"""),72.48)</f>
        <v>72.48</v>
      </c>
      <c r="Q288" s="2">
        <f ca="1">IFERROR(__xludf.DUMMYFUNCTION("""COMPUTED_VALUE"""),80.3)</f>
        <v>80.3</v>
      </c>
    </row>
    <row r="289" spans="1:17" ht="15.75" customHeight="1" x14ac:dyDescent="0.25">
      <c r="A289" s="2">
        <v>5206</v>
      </c>
      <c r="B289" s="2" t="str">
        <f ca="1">IFERROR(__xludf.DUMMYFUNCTION("""COMPUTED_VALUE"""),"NUSA TENGGARA BARAT")</f>
        <v>NUSA TENGGARA BARAT</v>
      </c>
      <c r="C289" s="2" t="str">
        <f ca="1">IFERROR(__xludf.DUMMYFUNCTION("""COMPUTED_VALUE"""),"Bima")</f>
        <v>Bima</v>
      </c>
      <c r="D289" s="2">
        <f ca="1">IFERROR(__xludf.DUMMYFUNCTION("""COMPUTED_VALUE"""),4.63)</f>
        <v>4.63</v>
      </c>
      <c r="E289" s="2">
        <f ca="1">IFERROR(__xludf.DUMMYFUNCTION("""COMPUTED_VALUE"""),2.79)</f>
        <v>2.79</v>
      </c>
      <c r="F289" s="2">
        <f ca="1">IFERROR(__xludf.DUMMYFUNCTION("""COMPUTED_VALUE"""),2.89)</f>
        <v>2.89</v>
      </c>
      <c r="G289" s="2">
        <f ca="1">IFERROR(__xludf.DUMMYFUNCTION("""COMPUTED_VALUE"""),1.58)</f>
        <v>1.58</v>
      </c>
      <c r="H289" s="2">
        <f ca="1">IFERROR(__xludf.DUMMYFUNCTION("""COMPUTED_VALUE"""),2.28)</f>
        <v>2.2799999999999998</v>
      </c>
      <c r="I289" s="2">
        <f ca="1">IFERROR(__xludf.DUMMYFUNCTION("""COMPUTED_VALUE"""),2.15)</f>
        <v>2.15</v>
      </c>
      <c r="J289" s="2">
        <f ca="1">IFERROR(__xludf.DUMMYFUNCTION("""COMPUTED_VALUE"""),2.19)</f>
        <v>2.19</v>
      </c>
      <c r="K289" s="2">
        <f ca="1">IFERROR(__xludf.DUMMYFUNCTION("""COMPUTED_VALUE"""),76.09)</f>
        <v>76.09</v>
      </c>
      <c r="L289" s="2">
        <f ca="1">IFERROR(__xludf.DUMMYFUNCTION("""COMPUTED_VALUE"""),75.21)</f>
        <v>75.209999999999994</v>
      </c>
      <c r="M289" s="2">
        <f ca="1">IFERROR(__xludf.DUMMYFUNCTION("""COMPUTED_VALUE"""),72.27)</f>
        <v>72.27</v>
      </c>
      <c r="N289" s="2">
        <f ca="1">IFERROR(__xludf.DUMMYFUNCTION("""COMPUTED_VALUE"""),71.65)</f>
        <v>71.650000000000006</v>
      </c>
      <c r="O289" s="2">
        <f ca="1">IFERROR(__xludf.DUMMYFUNCTION("""COMPUTED_VALUE"""),73.3)</f>
        <v>73.3</v>
      </c>
      <c r="P289" s="2">
        <f ca="1">IFERROR(__xludf.DUMMYFUNCTION("""COMPUTED_VALUE"""),75.31)</f>
        <v>75.31</v>
      </c>
      <c r="Q289" s="2">
        <f ca="1">IFERROR(__xludf.DUMMYFUNCTION("""COMPUTED_VALUE"""),78)</f>
        <v>78</v>
      </c>
    </row>
    <row r="290" spans="1:17" ht="15.75" customHeight="1" x14ac:dyDescent="0.25">
      <c r="A290" s="2">
        <v>5207</v>
      </c>
      <c r="B290" s="2" t="str">
        <f ca="1">IFERROR(__xludf.DUMMYFUNCTION("""COMPUTED_VALUE"""),"NUSA TENGGARA BARAT")</f>
        <v>NUSA TENGGARA BARAT</v>
      </c>
      <c r="C290" s="2" t="str">
        <f ca="1">IFERROR(__xludf.DUMMYFUNCTION("""COMPUTED_VALUE"""),"Sumbawa Barat")</f>
        <v>Sumbawa Barat</v>
      </c>
      <c r="D290" s="2">
        <f ca="1">IFERROR(__xludf.DUMMYFUNCTION("""COMPUTED_VALUE"""),3.53)</f>
        <v>3.53</v>
      </c>
      <c r="E290" s="2">
        <f ca="1">IFERROR(__xludf.DUMMYFUNCTION("""COMPUTED_VALUE"""),5.29)</f>
        <v>5.29</v>
      </c>
      <c r="F290" s="2">
        <f ca="1">IFERROR(__xludf.DUMMYFUNCTION("""COMPUTED_VALUE"""),5.5)</f>
        <v>5.5</v>
      </c>
      <c r="G290" s="2">
        <f ca="1">IFERROR(__xludf.DUMMYFUNCTION("""COMPUTED_VALUE"""),5.52)</f>
        <v>5.52</v>
      </c>
      <c r="H290" s="2">
        <f ca="1">IFERROR(__xludf.DUMMYFUNCTION("""COMPUTED_VALUE"""),4.56)</f>
        <v>4.5599999999999996</v>
      </c>
      <c r="I290" s="2">
        <f ca="1">IFERROR(__xludf.DUMMYFUNCTION("""COMPUTED_VALUE"""),3.54)</f>
        <v>3.54</v>
      </c>
      <c r="J290" s="2">
        <f ca="1">IFERROR(__xludf.DUMMYFUNCTION("""COMPUTED_VALUE"""),3.1)</f>
        <v>3.1</v>
      </c>
      <c r="K290" s="2">
        <f ca="1">IFERROR(__xludf.DUMMYFUNCTION("""COMPUTED_VALUE"""),72.1)</f>
        <v>72.099999999999994</v>
      </c>
      <c r="L290" s="2">
        <f ca="1">IFERROR(__xludf.DUMMYFUNCTION("""COMPUTED_VALUE"""),69.56)</f>
        <v>69.56</v>
      </c>
      <c r="M290" s="2">
        <f ca="1">IFERROR(__xludf.DUMMYFUNCTION("""COMPUTED_VALUE"""),69.73)</f>
        <v>69.73</v>
      </c>
      <c r="N290" s="2">
        <f ca="1">IFERROR(__xludf.DUMMYFUNCTION("""COMPUTED_VALUE"""),71.02)</f>
        <v>71.02</v>
      </c>
      <c r="O290" s="2">
        <f ca="1">IFERROR(__xludf.DUMMYFUNCTION("""COMPUTED_VALUE"""),75.76)</f>
        <v>75.760000000000005</v>
      </c>
      <c r="P290" s="2">
        <f ca="1">IFERROR(__xludf.DUMMYFUNCTION("""COMPUTED_VALUE"""),70.87)</f>
        <v>70.87</v>
      </c>
      <c r="Q290" s="2">
        <f ca="1">IFERROR(__xludf.DUMMYFUNCTION("""COMPUTED_VALUE"""),75.66)</f>
        <v>75.66</v>
      </c>
    </row>
    <row r="291" spans="1:17" ht="15.75" customHeight="1" x14ac:dyDescent="0.25">
      <c r="A291" s="2">
        <v>5208</v>
      </c>
      <c r="B291" s="2" t="str">
        <f ca="1">IFERROR(__xludf.DUMMYFUNCTION("""COMPUTED_VALUE"""),"NUSA TENGGARA BARAT")</f>
        <v>NUSA TENGGARA BARAT</v>
      </c>
      <c r="C291" s="2" t="str">
        <f ca="1">IFERROR(__xludf.DUMMYFUNCTION("""COMPUTED_VALUE"""),"Lombok Utara")</f>
        <v>Lombok Utara</v>
      </c>
      <c r="D291" s="2" t="str">
        <f ca="1">IFERROR(__xludf.DUMMYFUNCTION("""COMPUTED_VALUE"""),"-")</f>
        <v>-</v>
      </c>
      <c r="E291" s="2">
        <f ca="1">IFERROR(__xludf.DUMMYFUNCTION("""COMPUTED_VALUE"""),1.99)</f>
        <v>1.99</v>
      </c>
      <c r="F291" s="2">
        <f ca="1">IFERROR(__xludf.DUMMYFUNCTION("""COMPUTED_VALUE"""),3.01)</f>
        <v>3.01</v>
      </c>
      <c r="G291" s="2">
        <f ca="1">IFERROR(__xludf.DUMMYFUNCTION("""COMPUTED_VALUE"""),1.75)</f>
        <v>1.75</v>
      </c>
      <c r="H291" s="2">
        <f ca="1">IFERROR(__xludf.DUMMYFUNCTION("""COMPUTED_VALUE"""),0.38)</f>
        <v>0.38</v>
      </c>
      <c r="I291" s="2">
        <f ca="1">IFERROR(__xludf.DUMMYFUNCTION("""COMPUTED_VALUE"""),1.4)</f>
        <v>1.4</v>
      </c>
      <c r="J291" s="2">
        <f ca="1">IFERROR(__xludf.DUMMYFUNCTION("""COMPUTED_VALUE"""),1.85)</f>
        <v>1.85</v>
      </c>
      <c r="K291" s="2" t="str">
        <f ca="1">IFERROR(__xludf.DUMMYFUNCTION("""COMPUTED_VALUE"""),"-")</f>
        <v>-</v>
      </c>
      <c r="L291" s="2">
        <f ca="1">IFERROR(__xludf.DUMMYFUNCTION("""COMPUTED_VALUE"""),73.31)</f>
        <v>73.31</v>
      </c>
      <c r="M291" s="2">
        <f ca="1">IFERROR(__xludf.DUMMYFUNCTION("""COMPUTED_VALUE"""),73.6)</f>
        <v>73.599999999999994</v>
      </c>
      <c r="N291" s="2">
        <f ca="1">IFERROR(__xludf.DUMMYFUNCTION("""COMPUTED_VALUE"""),73.43)</f>
        <v>73.430000000000007</v>
      </c>
      <c r="O291" s="2">
        <f ca="1">IFERROR(__xludf.DUMMYFUNCTION("""COMPUTED_VALUE"""),76.56)</f>
        <v>76.56</v>
      </c>
      <c r="P291" s="2">
        <f ca="1">IFERROR(__xludf.DUMMYFUNCTION("""COMPUTED_VALUE"""),76.19)</f>
        <v>76.19</v>
      </c>
      <c r="Q291" s="2">
        <f ca="1">IFERROR(__xludf.DUMMYFUNCTION("""COMPUTED_VALUE"""),80.86)</f>
        <v>80.86</v>
      </c>
    </row>
    <row r="292" spans="1:17" ht="15.75" customHeight="1" x14ac:dyDescent="0.25">
      <c r="A292" s="2">
        <v>5271</v>
      </c>
      <c r="B292" s="2" t="str">
        <f ca="1">IFERROR(__xludf.DUMMYFUNCTION("""COMPUTED_VALUE"""),"NUSA TENGGARA BARAT")</f>
        <v>NUSA TENGGARA BARAT</v>
      </c>
      <c r="C292" s="2" t="str">
        <f ca="1">IFERROR(__xludf.DUMMYFUNCTION("""COMPUTED_VALUE"""),"Kota Mataram")</f>
        <v>Kota Mataram</v>
      </c>
      <c r="D292" s="2">
        <f ca="1">IFERROR(__xludf.DUMMYFUNCTION("""COMPUTED_VALUE"""),6.49)</f>
        <v>6.49</v>
      </c>
      <c r="E292" s="2">
        <f ca="1">IFERROR(__xludf.DUMMYFUNCTION("""COMPUTED_VALUE"""),5.28)</f>
        <v>5.28</v>
      </c>
      <c r="F292" s="2">
        <f ca="1">IFERROR(__xludf.DUMMYFUNCTION("""COMPUTED_VALUE"""),6.83)</f>
        <v>6.83</v>
      </c>
      <c r="G292" s="2">
        <f ca="1">IFERROR(__xludf.DUMMYFUNCTION("""COMPUTED_VALUE"""),5.19)</f>
        <v>5.19</v>
      </c>
      <c r="H292" s="2">
        <f ca="1">IFERROR(__xludf.DUMMYFUNCTION("""COMPUTED_VALUE"""),6.03)</f>
        <v>6.03</v>
      </c>
      <c r="I292" s="2">
        <f ca="1">IFERROR(__xludf.DUMMYFUNCTION("""COMPUTED_VALUE"""),4.78)</f>
        <v>4.78</v>
      </c>
      <c r="J292" s="2">
        <f ca="1">IFERROR(__xludf.DUMMYFUNCTION("""COMPUTED_VALUE"""),4.85)</f>
        <v>4.8499999999999996</v>
      </c>
      <c r="K292" s="2">
        <f ca="1">IFERROR(__xludf.DUMMYFUNCTION("""COMPUTED_VALUE"""),63.31)</f>
        <v>63.31</v>
      </c>
      <c r="L292" s="2">
        <f ca="1">IFERROR(__xludf.DUMMYFUNCTION("""COMPUTED_VALUE"""),64.87)</f>
        <v>64.87</v>
      </c>
      <c r="M292" s="2">
        <f ca="1">IFERROR(__xludf.DUMMYFUNCTION("""COMPUTED_VALUE"""),68.07)</f>
        <v>68.069999999999993</v>
      </c>
      <c r="N292" s="2">
        <f ca="1">IFERROR(__xludf.DUMMYFUNCTION("""COMPUTED_VALUE"""),65.61)</f>
        <v>65.61</v>
      </c>
      <c r="O292" s="2">
        <f ca="1">IFERROR(__xludf.DUMMYFUNCTION("""COMPUTED_VALUE"""),63.26)</f>
        <v>63.26</v>
      </c>
      <c r="P292" s="2">
        <f ca="1">IFERROR(__xludf.DUMMYFUNCTION("""COMPUTED_VALUE"""),68.26)</f>
        <v>68.260000000000005</v>
      </c>
      <c r="Q292" s="2">
        <f ca="1">IFERROR(__xludf.DUMMYFUNCTION("""COMPUTED_VALUE"""),71.8)</f>
        <v>71.8</v>
      </c>
    </row>
    <row r="293" spans="1:17" ht="15.75" customHeight="1" x14ac:dyDescent="0.25">
      <c r="A293" s="2">
        <v>5272</v>
      </c>
      <c r="B293" s="2" t="str">
        <f ca="1">IFERROR(__xludf.DUMMYFUNCTION("""COMPUTED_VALUE"""),"NUSA TENGGARA BARAT")</f>
        <v>NUSA TENGGARA BARAT</v>
      </c>
      <c r="C293" s="2" t="str">
        <f ca="1">IFERROR(__xludf.DUMMYFUNCTION("""COMPUTED_VALUE"""),"Kota Bima")</f>
        <v>Kota Bima</v>
      </c>
      <c r="D293" s="2">
        <f ca="1">IFERROR(__xludf.DUMMYFUNCTION("""COMPUTED_VALUE"""),2.27)</f>
        <v>2.27</v>
      </c>
      <c r="E293" s="2">
        <f ca="1">IFERROR(__xludf.DUMMYFUNCTION("""COMPUTED_VALUE"""),4.06)</f>
        <v>4.0599999999999996</v>
      </c>
      <c r="F293" s="2">
        <f ca="1">IFERROR(__xludf.DUMMYFUNCTION("""COMPUTED_VALUE"""),4.42)</f>
        <v>4.42</v>
      </c>
      <c r="G293" s="2">
        <f ca="1">IFERROR(__xludf.DUMMYFUNCTION("""COMPUTED_VALUE"""),3.56)</f>
        <v>3.56</v>
      </c>
      <c r="H293" s="2">
        <f ca="1">IFERROR(__xludf.DUMMYFUNCTION("""COMPUTED_VALUE"""),3.73)</f>
        <v>3.73</v>
      </c>
      <c r="I293" s="2">
        <f ca="1">IFERROR(__xludf.DUMMYFUNCTION("""COMPUTED_VALUE"""),3.57)</f>
        <v>3.57</v>
      </c>
      <c r="J293" s="2">
        <f ca="1">IFERROR(__xludf.DUMMYFUNCTION("""COMPUTED_VALUE"""),3.27)</f>
        <v>3.27</v>
      </c>
      <c r="K293" s="2">
        <f ca="1">IFERROR(__xludf.DUMMYFUNCTION("""COMPUTED_VALUE"""),71.93)</f>
        <v>71.930000000000007</v>
      </c>
      <c r="L293" s="2">
        <f ca="1">IFERROR(__xludf.DUMMYFUNCTION("""COMPUTED_VALUE"""),72.2)</f>
        <v>72.2</v>
      </c>
      <c r="M293" s="2">
        <f ca="1">IFERROR(__xludf.DUMMYFUNCTION("""COMPUTED_VALUE"""),74.24)</f>
        <v>74.239999999999995</v>
      </c>
      <c r="N293" s="2">
        <f ca="1">IFERROR(__xludf.DUMMYFUNCTION("""COMPUTED_VALUE"""),75.46)</f>
        <v>75.459999999999994</v>
      </c>
      <c r="O293" s="2">
        <f ca="1">IFERROR(__xludf.DUMMYFUNCTION("""COMPUTED_VALUE"""),69.8)</f>
        <v>69.8</v>
      </c>
      <c r="P293" s="2">
        <f ca="1">IFERROR(__xludf.DUMMYFUNCTION("""COMPUTED_VALUE"""),78.09)</f>
        <v>78.09</v>
      </c>
      <c r="Q293" s="2">
        <f ca="1">IFERROR(__xludf.DUMMYFUNCTION("""COMPUTED_VALUE"""),73.21)</f>
        <v>73.209999999999994</v>
      </c>
    </row>
    <row r="294" spans="1:17" ht="15.75" customHeight="1" x14ac:dyDescent="0.25">
      <c r="A294" s="2">
        <v>5301</v>
      </c>
      <c r="B294" s="2" t="str">
        <f ca="1">IFERROR(__xludf.DUMMYFUNCTION("""COMPUTED_VALUE"""),"NUSA TENGGARA TIMUR")</f>
        <v>NUSA TENGGARA TIMUR</v>
      </c>
      <c r="C294" s="2" t="str">
        <f ca="1">IFERROR(__xludf.DUMMYFUNCTION("""COMPUTED_VALUE"""),"Sumba Barat")</f>
        <v>Sumba Barat</v>
      </c>
      <c r="D294" s="2">
        <f ca="1">IFERROR(__xludf.DUMMYFUNCTION("""COMPUTED_VALUE"""),4.06)</f>
        <v>4.0599999999999996</v>
      </c>
      <c r="E294" s="2">
        <f ca="1">IFERROR(__xludf.DUMMYFUNCTION("""COMPUTED_VALUE"""),3.15)</f>
        <v>3.15</v>
      </c>
      <c r="F294" s="2">
        <f ca="1">IFERROR(__xludf.DUMMYFUNCTION("""COMPUTED_VALUE"""),3.96)</f>
        <v>3.96</v>
      </c>
      <c r="G294" s="2">
        <f ca="1">IFERROR(__xludf.DUMMYFUNCTION("""COMPUTED_VALUE"""),1.74)</f>
        <v>1.74</v>
      </c>
      <c r="H294" s="2">
        <f ca="1">IFERROR(__xludf.DUMMYFUNCTION("""COMPUTED_VALUE"""),2.98)</f>
        <v>2.98</v>
      </c>
      <c r="I294" s="2">
        <f ca="1">IFERROR(__xludf.DUMMYFUNCTION("""COMPUTED_VALUE"""),3.52)</f>
        <v>3.52</v>
      </c>
      <c r="J294" s="2">
        <f ca="1">IFERROR(__xludf.DUMMYFUNCTION("""COMPUTED_VALUE"""),3.21)</f>
        <v>3.21</v>
      </c>
      <c r="K294" s="2">
        <f ca="1">IFERROR(__xludf.DUMMYFUNCTION("""COMPUTED_VALUE"""),63.97)</f>
        <v>63.97</v>
      </c>
      <c r="L294" s="2">
        <f ca="1">IFERROR(__xludf.DUMMYFUNCTION("""COMPUTED_VALUE"""),69.8)</f>
        <v>69.8</v>
      </c>
      <c r="M294" s="2">
        <f ca="1">IFERROR(__xludf.DUMMYFUNCTION("""COMPUTED_VALUE"""),71.06)</f>
        <v>71.06</v>
      </c>
      <c r="N294" s="2">
        <f ca="1">IFERROR(__xludf.DUMMYFUNCTION("""COMPUTED_VALUE"""),74.14)</f>
        <v>74.14</v>
      </c>
      <c r="O294" s="2">
        <f ca="1">IFERROR(__xludf.DUMMYFUNCTION("""COMPUTED_VALUE"""),73.95)</f>
        <v>73.95</v>
      </c>
      <c r="P294" s="2">
        <f ca="1">IFERROR(__xludf.DUMMYFUNCTION("""COMPUTED_VALUE"""),78.83)</f>
        <v>78.83</v>
      </c>
      <c r="Q294" s="2">
        <f ca="1">IFERROR(__xludf.DUMMYFUNCTION("""COMPUTED_VALUE"""),77.19)</f>
        <v>77.19</v>
      </c>
    </row>
    <row r="295" spans="1:17" ht="15.75" customHeight="1" x14ac:dyDescent="0.25">
      <c r="A295" s="2">
        <v>5302</v>
      </c>
      <c r="B295" s="2" t="str">
        <f ca="1">IFERROR(__xludf.DUMMYFUNCTION("""COMPUTED_VALUE"""),"NUSA TENGGARA TIMUR")</f>
        <v>NUSA TENGGARA TIMUR</v>
      </c>
      <c r="C295" s="2" t="str">
        <f ca="1">IFERROR(__xludf.DUMMYFUNCTION("""COMPUTED_VALUE"""),"Sumba Timur")</f>
        <v>Sumba Timur</v>
      </c>
      <c r="D295" s="2">
        <f ca="1">IFERROR(__xludf.DUMMYFUNCTION("""COMPUTED_VALUE"""),1.42)</f>
        <v>1.42</v>
      </c>
      <c r="E295" s="2">
        <f ca="1">IFERROR(__xludf.DUMMYFUNCTION("""COMPUTED_VALUE"""),2.13)</f>
        <v>2.13</v>
      </c>
      <c r="F295" s="2">
        <f ca="1">IFERROR(__xludf.DUMMYFUNCTION("""COMPUTED_VALUE"""),3.49)</f>
        <v>3.49</v>
      </c>
      <c r="G295" s="2">
        <f ca="1">IFERROR(__xludf.DUMMYFUNCTION("""COMPUTED_VALUE"""),3.35)</f>
        <v>3.35</v>
      </c>
      <c r="H295" s="2">
        <f ca="1">IFERROR(__xludf.DUMMYFUNCTION("""COMPUTED_VALUE"""),2.61)</f>
        <v>2.61</v>
      </c>
      <c r="I295" s="2">
        <f ca="1">IFERROR(__xludf.DUMMYFUNCTION("""COMPUTED_VALUE"""),2.21)</f>
        <v>2.21</v>
      </c>
      <c r="J295" s="2">
        <f ca="1">IFERROR(__xludf.DUMMYFUNCTION("""COMPUTED_VALUE"""),3.46)</f>
        <v>3.46</v>
      </c>
      <c r="K295" s="2">
        <f ca="1">IFERROR(__xludf.DUMMYFUNCTION("""COMPUTED_VALUE"""),77.08)</f>
        <v>77.08</v>
      </c>
      <c r="L295" s="2">
        <f ca="1">IFERROR(__xludf.DUMMYFUNCTION("""COMPUTED_VALUE"""),68.25)</f>
        <v>68.25</v>
      </c>
      <c r="M295" s="2">
        <f ca="1">IFERROR(__xludf.DUMMYFUNCTION("""COMPUTED_VALUE"""),72.13)</f>
        <v>72.13</v>
      </c>
      <c r="N295" s="2">
        <f ca="1">IFERROR(__xludf.DUMMYFUNCTION("""COMPUTED_VALUE"""),72.39)</f>
        <v>72.39</v>
      </c>
      <c r="O295" s="2">
        <f ca="1">IFERROR(__xludf.DUMMYFUNCTION("""COMPUTED_VALUE"""),79.66)</f>
        <v>79.66</v>
      </c>
      <c r="P295" s="2">
        <f ca="1">IFERROR(__xludf.DUMMYFUNCTION("""COMPUTED_VALUE"""),81.36)</f>
        <v>81.36</v>
      </c>
      <c r="Q295" s="2">
        <f ca="1">IFERROR(__xludf.DUMMYFUNCTION("""COMPUTED_VALUE"""),74.48)</f>
        <v>74.48</v>
      </c>
    </row>
    <row r="296" spans="1:17" ht="15.75" customHeight="1" x14ac:dyDescent="0.25">
      <c r="A296" s="2">
        <v>5303</v>
      </c>
      <c r="B296" s="2" t="str">
        <f ca="1">IFERROR(__xludf.DUMMYFUNCTION("""COMPUTED_VALUE"""),"NUSA TENGGARA TIMUR")</f>
        <v>NUSA TENGGARA TIMUR</v>
      </c>
      <c r="C296" s="2" t="str">
        <f ca="1">IFERROR(__xludf.DUMMYFUNCTION("""COMPUTED_VALUE"""),"Kupang")</f>
        <v>Kupang</v>
      </c>
      <c r="D296" s="2">
        <f ca="1">IFERROR(__xludf.DUMMYFUNCTION("""COMPUTED_VALUE"""),2.71)</f>
        <v>2.71</v>
      </c>
      <c r="E296" s="2">
        <f ca="1">IFERROR(__xludf.DUMMYFUNCTION("""COMPUTED_VALUE"""),4.48)</f>
        <v>4.4800000000000004</v>
      </c>
      <c r="F296" s="2">
        <f ca="1">IFERROR(__xludf.DUMMYFUNCTION("""COMPUTED_VALUE"""),4.9)</f>
        <v>4.9000000000000004</v>
      </c>
      <c r="G296" s="2">
        <f ca="1">IFERROR(__xludf.DUMMYFUNCTION("""COMPUTED_VALUE"""),3.99)</f>
        <v>3.99</v>
      </c>
      <c r="H296" s="2">
        <f ca="1">IFERROR(__xludf.DUMMYFUNCTION("""COMPUTED_VALUE"""),3.23)</f>
        <v>3.23</v>
      </c>
      <c r="I296" s="2">
        <f ca="1">IFERROR(__xludf.DUMMYFUNCTION("""COMPUTED_VALUE"""),3.22)</f>
        <v>3.22</v>
      </c>
      <c r="J296" s="2">
        <f ca="1">IFERROR(__xludf.DUMMYFUNCTION("""COMPUTED_VALUE"""),3.36)</f>
        <v>3.36</v>
      </c>
      <c r="K296" s="2">
        <f ca="1">IFERROR(__xludf.DUMMYFUNCTION("""COMPUTED_VALUE"""),69.94)</f>
        <v>69.94</v>
      </c>
      <c r="L296" s="2">
        <f ca="1">IFERROR(__xludf.DUMMYFUNCTION("""COMPUTED_VALUE"""),60.07)</f>
        <v>60.07</v>
      </c>
      <c r="M296" s="2">
        <f ca="1">IFERROR(__xludf.DUMMYFUNCTION("""COMPUTED_VALUE"""),72.15)</f>
        <v>72.150000000000006</v>
      </c>
      <c r="N296" s="2">
        <f ca="1">IFERROR(__xludf.DUMMYFUNCTION("""COMPUTED_VALUE"""),73.76)</f>
        <v>73.760000000000005</v>
      </c>
      <c r="O296" s="2">
        <f ca="1">IFERROR(__xludf.DUMMYFUNCTION("""COMPUTED_VALUE"""),75.32)</f>
        <v>75.319999999999993</v>
      </c>
      <c r="P296" s="2">
        <f ca="1">IFERROR(__xludf.DUMMYFUNCTION("""COMPUTED_VALUE"""),76.93)</f>
        <v>76.930000000000007</v>
      </c>
      <c r="Q296" s="2">
        <f ca="1">IFERROR(__xludf.DUMMYFUNCTION("""COMPUTED_VALUE"""),69.28)</f>
        <v>69.28</v>
      </c>
    </row>
    <row r="297" spans="1:17" ht="15.75" customHeight="1" x14ac:dyDescent="0.25">
      <c r="A297" s="2">
        <v>5304</v>
      </c>
      <c r="B297" s="2" t="str">
        <f ca="1">IFERROR(__xludf.DUMMYFUNCTION("""COMPUTED_VALUE"""),"NUSA TENGGARA TIMUR")</f>
        <v>NUSA TENGGARA TIMUR</v>
      </c>
      <c r="C297" s="2" t="str">
        <f ca="1">IFERROR(__xludf.DUMMYFUNCTION("""COMPUTED_VALUE"""),"Timor Tengah Selatan")</f>
        <v>Timor Tengah Selatan</v>
      </c>
      <c r="D297" s="2">
        <f ca="1">IFERROR(__xludf.DUMMYFUNCTION("""COMPUTED_VALUE"""),1.01)</f>
        <v>1.01</v>
      </c>
      <c r="E297" s="2">
        <f ca="1">IFERROR(__xludf.DUMMYFUNCTION("""COMPUTED_VALUE"""),1.94)</f>
        <v>1.94</v>
      </c>
      <c r="F297" s="2">
        <f ca="1">IFERROR(__xludf.DUMMYFUNCTION("""COMPUTED_VALUE"""),2.63)</f>
        <v>2.63</v>
      </c>
      <c r="G297" s="2">
        <f ca="1">IFERROR(__xludf.DUMMYFUNCTION("""COMPUTED_VALUE"""),2.57)</f>
        <v>2.57</v>
      </c>
      <c r="H297" s="2">
        <f ca="1">IFERROR(__xludf.DUMMYFUNCTION("""COMPUTED_VALUE"""),1.99)</f>
        <v>1.99</v>
      </c>
      <c r="I297" s="2">
        <f ca="1">IFERROR(__xludf.DUMMYFUNCTION("""COMPUTED_VALUE"""),2.64)</f>
        <v>2.64</v>
      </c>
      <c r="J297" s="2">
        <f ca="1">IFERROR(__xludf.DUMMYFUNCTION("""COMPUTED_VALUE"""),2.63)</f>
        <v>2.63</v>
      </c>
      <c r="K297" s="2">
        <f ca="1">IFERROR(__xludf.DUMMYFUNCTION("""COMPUTED_VALUE"""),75.96)</f>
        <v>75.959999999999994</v>
      </c>
      <c r="L297" s="2">
        <f ca="1">IFERROR(__xludf.DUMMYFUNCTION("""COMPUTED_VALUE"""),69.52)</f>
        <v>69.52</v>
      </c>
      <c r="M297" s="2">
        <f ca="1">IFERROR(__xludf.DUMMYFUNCTION("""COMPUTED_VALUE"""),74.47)</f>
        <v>74.47</v>
      </c>
      <c r="N297" s="2">
        <f ca="1">IFERROR(__xludf.DUMMYFUNCTION("""COMPUTED_VALUE"""),78.59)</f>
        <v>78.59</v>
      </c>
      <c r="O297" s="2">
        <f ca="1">IFERROR(__xludf.DUMMYFUNCTION("""COMPUTED_VALUE"""),82.44)</f>
        <v>82.44</v>
      </c>
      <c r="P297" s="2">
        <f ca="1">IFERROR(__xludf.DUMMYFUNCTION("""COMPUTED_VALUE"""),83.13)</f>
        <v>83.13</v>
      </c>
      <c r="Q297" s="2">
        <f ca="1">IFERROR(__xludf.DUMMYFUNCTION("""COMPUTED_VALUE"""),87.41)</f>
        <v>87.41</v>
      </c>
    </row>
    <row r="298" spans="1:17" ht="15.75" customHeight="1" x14ac:dyDescent="0.25">
      <c r="A298" s="2">
        <v>5305</v>
      </c>
      <c r="B298" s="2" t="str">
        <f ca="1">IFERROR(__xludf.DUMMYFUNCTION("""COMPUTED_VALUE"""),"NUSA TENGGARA TIMUR")</f>
        <v>NUSA TENGGARA TIMUR</v>
      </c>
      <c r="C298" s="2" t="str">
        <f ca="1">IFERROR(__xludf.DUMMYFUNCTION("""COMPUTED_VALUE"""),"Timor Tengah Utara")</f>
        <v>Timor Tengah Utara</v>
      </c>
      <c r="D298" s="2">
        <f ca="1">IFERROR(__xludf.DUMMYFUNCTION("""COMPUTED_VALUE"""),0.85)</f>
        <v>0.85</v>
      </c>
      <c r="E298" s="2">
        <f ca="1">IFERROR(__xludf.DUMMYFUNCTION("""COMPUTED_VALUE"""),1.22)</f>
        <v>1.22</v>
      </c>
      <c r="F298" s="2">
        <f ca="1">IFERROR(__xludf.DUMMYFUNCTION("""COMPUTED_VALUE"""),4.26)</f>
        <v>4.26</v>
      </c>
      <c r="G298" s="2">
        <f ca="1">IFERROR(__xludf.DUMMYFUNCTION("""COMPUTED_VALUE"""),3.88)</f>
        <v>3.88</v>
      </c>
      <c r="H298" s="2">
        <f ca="1">IFERROR(__xludf.DUMMYFUNCTION("""COMPUTED_VALUE"""),3.51)</f>
        <v>3.51</v>
      </c>
      <c r="I298" s="2">
        <f ca="1">IFERROR(__xludf.DUMMYFUNCTION("""COMPUTED_VALUE"""),1.96)</f>
        <v>1.96</v>
      </c>
      <c r="J298" s="2">
        <f ca="1">IFERROR(__xludf.DUMMYFUNCTION("""COMPUTED_VALUE"""),1.82)</f>
        <v>1.82</v>
      </c>
      <c r="K298" s="2">
        <f ca="1">IFERROR(__xludf.DUMMYFUNCTION("""COMPUTED_VALUE"""),75.04)</f>
        <v>75.040000000000006</v>
      </c>
      <c r="L298" s="2">
        <f ca="1">IFERROR(__xludf.DUMMYFUNCTION("""COMPUTED_VALUE"""),70.24)</f>
        <v>70.239999999999995</v>
      </c>
      <c r="M298" s="2">
        <f ca="1">IFERROR(__xludf.DUMMYFUNCTION("""COMPUTED_VALUE"""),78.13)</f>
        <v>78.13</v>
      </c>
      <c r="N298" s="2">
        <f ca="1">IFERROR(__xludf.DUMMYFUNCTION("""COMPUTED_VALUE"""),78.41)</f>
        <v>78.41</v>
      </c>
      <c r="O298" s="2">
        <f ca="1">IFERROR(__xludf.DUMMYFUNCTION("""COMPUTED_VALUE"""),79.95)</f>
        <v>79.95</v>
      </c>
      <c r="P298" s="2">
        <f ca="1">IFERROR(__xludf.DUMMYFUNCTION("""COMPUTED_VALUE"""),75.74)</f>
        <v>75.739999999999995</v>
      </c>
      <c r="Q298" s="2">
        <f ca="1">IFERROR(__xludf.DUMMYFUNCTION("""COMPUTED_VALUE"""),82.66)</f>
        <v>82.66</v>
      </c>
    </row>
    <row r="299" spans="1:17" ht="15.75" customHeight="1" x14ac:dyDescent="0.25">
      <c r="A299" s="2">
        <v>5306</v>
      </c>
      <c r="B299" s="2" t="str">
        <f ca="1">IFERROR(__xludf.DUMMYFUNCTION("""COMPUTED_VALUE"""),"NUSA TENGGARA TIMUR")</f>
        <v>NUSA TENGGARA TIMUR</v>
      </c>
      <c r="C299" s="2" t="str">
        <f ca="1">IFERROR(__xludf.DUMMYFUNCTION("""COMPUTED_VALUE"""),"Belu")</f>
        <v>Belu</v>
      </c>
      <c r="D299" s="2">
        <f ca="1">IFERROR(__xludf.DUMMYFUNCTION("""COMPUTED_VALUE"""),5.26)</f>
        <v>5.26</v>
      </c>
      <c r="E299" s="2">
        <f ca="1">IFERROR(__xludf.DUMMYFUNCTION("""COMPUTED_VALUE"""),7.19)</f>
        <v>7.19</v>
      </c>
      <c r="F299" s="2">
        <f ca="1">IFERROR(__xludf.DUMMYFUNCTION("""COMPUTED_VALUE"""),7.42)</f>
        <v>7.42</v>
      </c>
      <c r="G299" s="2">
        <f ca="1">IFERROR(__xludf.DUMMYFUNCTION("""COMPUTED_VALUE"""),5.35)</f>
        <v>5.35</v>
      </c>
      <c r="H299" s="2">
        <f ca="1">IFERROR(__xludf.DUMMYFUNCTION("""COMPUTED_VALUE"""),6)</f>
        <v>6</v>
      </c>
      <c r="I299" s="2">
        <f ca="1">IFERROR(__xludf.DUMMYFUNCTION("""COMPUTED_VALUE"""),5.45)</f>
        <v>5.45</v>
      </c>
      <c r="J299" s="2">
        <f ca="1">IFERROR(__xludf.DUMMYFUNCTION("""COMPUTED_VALUE"""),5.41)</f>
        <v>5.41</v>
      </c>
      <c r="K299" s="2">
        <f ca="1">IFERROR(__xludf.DUMMYFUNCTION("""COMPUTED_VALUE"""),65.62)</f>
        <v>65.62</v>
      </c>
      <c r="L299" s="2">
        <f ca="1">IFERROR(__xludf.DUMMYFUNCTION("""COMPUTED_VALUE"""),63.48)</f>
        <v>63.48</v>
      </c>
      <c r="M299" s="2">
        <f ca="1">IFERROR(__xludf.DUMMYFUNCTION("""COMPUTED_VALUE"""),70.23)</f>
        <v>70.23</v>
      </c>
      <c r="N299" s="2">
        <f ca="1">IFERROR(__xludf.DUMMYFUNCTION("""COMPUTED_VALUE"""),70.81)</f>
        <v>70.81</v>
      </c>
      <c r="O299" s="2">
        <f ca="1">IFERROR(__xludf.DUMMYFUNCTION("""COMPUTED_VALUE"""),66.63)</f>
        <v>66.63</v>
      </c>
      <c r="P299" s="2">
        <f ca="1">IFERROR(__xludf.DUMMYFUNCTION("""COMPUTED_VALUE"""),69.47)</f>
        <v>69.47</v>
      </c>
      <c r="Q299" s="2">
        <f ca="1">IFERROR(__xludf.DUMMYFUNCTION("""COMPUTED_VALUE"""),79.86)</f>
        <v>79.86</v>
      </c>
    </row>
    <row r="300" spans="1:17" ht="15.75" customHeight="1" x14ac:dyDescent="0.25">
      <c r="A300" s="2">
        <v>5307</v>
      </c>
      <c r="B300" s="2" t="str">
        <f ca="1">IFERROR(__xludf.DUMMYFUNCTION("""COMPUTED_VALUE"""),"NUSA TENGGARA TIMUR")</f>
        <v>NUSA TENGGARA TIMUR</v>
      </c>
      <c r="C300" s="2" t="str">
        <f ca="1">IFERROR(__xludf.DUMMYFUNCTION("""COMPUTED_VALUE"""),"Alor")</f>
        <v>Alor</v>
      </c>
      <c r="D300" s="2">
        <f ca="1">IFERROR(__xludf.DUMMYFUNCTION("""COMPUTED_VALUE"""),4.09)</f>
        <v>4.09</v>
      </c>
      <c r="E300" s="2">
        <f ca="1">IFERROR(__xludf.DUMMYFUNCTION("""COMPUTED_VALUE"""),3.03)</f>
        <v>3.03</v>
      </c>
      <c r="F300" s="2">
        <f ca="1">IFERROR(__xludf.DUMMYFUNCTION("""COMPUTED_VALUE"""),3.11)</f>
        <v>3.11</v>
      </c>
      <c r="G300" s="2">
        <f ca="1">IFERROR(__xludf.DUMMYFUNCTION("""COMPUTED_VALUE"""),2.59)</f>
        <v>2.59</v>
      </c>
      <c r="H300" s="2">
        <f ca="1">IFERROR(__xludf.DUMMYFUNCTION("""COMPUTED_VALUE"""),2.27)</f>
        <v>2.27</v>
      </c>
      <c r="I300" s="2">
        <f ca="1">IFERROR(__xludf.DUMMYFUNCTION("""COMPUTED_VALUE"""),2.52)</f>
        <v>2.52</v>
      </c>
      <c r="J300" s="2">
        <f ca="1">IFERROR(__xludf.DUMMYFUNCTION("""COMPUTED_VALUE"""),2.27)</f>
        <v>2.27</v>
      </c>
      <c r="K300" s="2">
        <f ca="1">IFERROR(__xludf.DUMMYFUNCTION("""COMPUTED_VALUE"""),65.83)</f>
        <v>65.83</v>
      </c>
      <c r="L300" s="2">
        <f ca="1">IFERROR(__xludf.DUMMYFUNCTION("""COMPUTED_VALUE"""),69.85)</f>
        <v>69.849999999999994</v>
      </c>
      <c r="M300" s="2">
        <f ca="1">IFERROR(__xludf.DUMMYFUNCTION("""COMPUTED_VALUE"""),75.27)</f>
        <v>75.27</v>
      </c>
      <c r="N300" s="2">
        <f ca="1">IFERROR(__xludf.DUMMYFUNCTION("""COMPUTED_VALUE"""),72.4)</f>
        <v>72.400000000000006</v>
      </c>
      <c r="O300" s="2">
        <f ca="1">IFERROR(__xludf.DUMMYFUNCTION("""COMPUTED_VALUE"""),75.07)</f>
        <v>75.069999999999993</v>
      </c>
      <c r="P300" s="2">
        <f ca="1">IFERROR(__xludf.DUMMYFUNCTION("""COMPUTED_VALUE"""),80.84)</f>
        <v>80.84</v>
      </c>
      <c r="Q300" s="2">
        <f ca="1">IFERROR(__xludf.DUMMYFUNCTION("""COMPUTED_VALUE"""),81.15)</f>
        <v>81.150000000000006</v>
      </c>
    </row>
    <row r="301" spans="1:17" ht="15.75" customHeight="1" x14ac:dyDescent="0.25">
      <c r="A301" s="2">
        <v>5308</v>
      </c>
      <c r="B301" s="2" t="str">
        <f ca="1">IFERROR(__xludf.DUMMYFUNCTION("""COMPUTED_VALUE"""),"NUSA TENGGARA TIMUR")</f>
        <v>NUSA TENGGARA TIMUR</v>
      </c>
      <c r="C301" s="2" t="str">
        <f ca="1">IFERROR(__xludf.DUMMYFUNCTION("""COMPUTED_VALUE"""),"Lembata")</f>
        <v>Lembata</v>
      </c>
      <c r="D301" s="2">
        <f ca="1">IFERROR(__xludf.DUMMYFUNCTION("""COMPUTED_VALUE"""),5.4)</f>
        <v>5.4</v>
      </c>
      <c r="E301" s="2">
        <f ca="1">IFERROR(__xludf.DUMMYFUNCTION("""COMPUTED_VALUE"""),4.31)</f>
        <v>4.3099999999999996</v>
      </c>
      <c r="F301" s="2">
        <f ca="1">IFERROR(__xludf.DUMMYFUNCTION("""COMPUTED_VALUE"""),4.88)</f>
        <v>4.88</v>
      </c>
      <c r="G301" s="2">
        <f ca="1">IFERROR(__xludf.DUMMYFUNCTION("""COMPUTED_VALUE"""),4.94)</f>
        <v>4.9400000000000004</v>
      </c>
      <c r="H301" s="2">
        <f ca="1">IFERROR(__xludf.DUMMYFUNCTION("""COMPUTED_VALUE"""),4.74)</f>
        <v>4.74</v>
      </c>
      <c r="I301" s="2">
        <f ca="1">IFERROR(__xludf.DUMMYFUNCTION("""COMPUTED_VALUE"""),2.55)</f>
        <v>2.5499999999999998</v>
      </c>
      <c r="J301" s="2">
        <f ca="1">IFERROR(__xludf.DUMMYFUNCTION("""COMPUTED_VALUE"""),2.18)</f>
        <v>2.1800000000000002</v>
      </c>
      <c r="K301" s="2">
        <f ca="1">IFERROR(__xludf.DUMMYFUNCTION("""COMPUTED_VALUE"""),68.06)</f>
        <v>68.06</v>
      </c>
      <c r="L301" s="2">
        <f ca="1">IFERROR(__xludf.DUMMYFUNCTION("""COMPUTED_VALUE"""),68.73)</f>
        <v>68.73</v>
      </c>
      <c r="M301" s="2">
        <f ca="1">IFERROR(__xludf.DUMMYFUNCTION("""COMPUTED_VALUE"""),68.95)</f>
        <v>68.95</v>
      </c>
      <c r="N301" s="2">
        <f ca="1">IFERROR(__xludf.DUMMYFUNCTION("""COMPUTED_VALUE"""),68.24)</f>
        <v>68.239999999999995</v>
      </c>
      <c r="O301" s="2">
        <f ca="1">IFERROR(__xludf.DUMMYFUNCTION("""COMPUTED_VALUE"""),71.89)</f>
        <v>71.89</v>
      </c>
      <c r="P301" s="2">
        <f ca="1">IFERROR(__xludf.DUMMYFUNCTION("""COMPUTED_VALUE"""),77.49)</f>
        <v>77.489999999999995</v>
      </c>
      <c r="Q301" s="2">
        <f ca="1">IFERROR(__xludf.DUMMYFUNCTION("""COMPUTED_VALUE"""),83.53)</f>
        <v>83.53</v>
      </c>
    </row>
    <row r="302" spans="1:17" ht="15.75" customHeight="1" x14ac:dyDescent="0.25">
      <c r="A302" s="2">
        <v>5309</v>
      </c>
      <c r="B302" s="2" t="str">
        <f ca="1">IFERROR(__xludf.DUMMYFUNCTION("""COMPUTED_VALUE"""),"NUSA TENGGARA TIMUR")</f>
        <v>NUSA TENGGARA TIMUR</v>
      </c>
      <c r="C302" s="2" t="str">
        <f ca="1">IFERROR(__xludf.DUMMYFUNCTION("""COMPUTED_VALUE"""),"Flores Timur")</f>
        <v>Flores Timur</v>
      </c>
      <c r="D302" s="2">
        <f ca="1">IFERROR(__xludf.DUMMYFUNCTION("""COMPUTED_VALUE"""),4.01)</f>
        <v>4.01</v>
      </c>
      <c r="E302" s="2">
        <f ca="1">IFERROR(__xludf.DUMMYFUNCTION("""COMPUTED_VALUE"""),3.09)</f>
        <v>3.09</v>
      </c>
      <c r="F302" s="2">
        <f ca="1">IFERROR(__xludf.DUMMYFUNCTION("""COMPUTED_VALUE"""),3.16)</f>
        <v>3.16</v>
      </c>
      <c r="G302" s="2">
        <f ca="1">IFERROR(__xludf.DUMMYFUNCTION("""COMPUTED_VALUE"""),3.81)</f>
        <v>3.81</v>
      </c>
      <c r="H302" s="2">
        <f ca="1">IFERROR(__xludf.DUMMYFUNCTION("""COMPUTED_VALUE"""),3.49)</f>
        <v>3.49</v>
      </c>
      <c r="I302" s="2">
        <f ca="1">IFERROR(__xludf.DUMMYFUNCTION("""COMPUTED_VALUE"""),3.79)</f>
        <v>3.79</v>
      </c>
      <c r="J302" s="2">
        <f ca="1">IFERROR(__xludf.DUMMYFUNCTION("""COMPUTED_VALUE"""),3.58)</f>
        <v>3.58</v>
      </c>
      <c r="K302" s="2">
        <f ca="1">IFERROR(__xludf.DUMMYFUNCTION("""COMPUTED_VALUE"""),68.98)</f>
        <v>68.98</v>
      </c>
      <c r="L302" s="2">
        <f ca="1">IFERROR(__xludf.DUMMYFUNCTION("""COMPUTED_VALUE"""),66.57)</f>
        <v>66.569999999999993</v>
      </c>
      <c r="M302" s="2">
        <f ca="1">IFERROR(__xludf.DUMMYFUNCTION("""COMPUTED_VALUE"""),71.79)</f>
        <v>71.790000000000006</v>
      </c>
      <c r="N302" s="2">
        <f ca="1">IFERROR(__xludf.DUMMYFUNCTION("""COMPUTED_VALUE"""),71.8)</f>
        <v>71.8</v>
      </c>
      <c r="O302" s="2">
        <f ca="1">IFERROR(__xludf.DUMMYFUNCTION("""COMPUTED_VALUE"""),74.56)</f>
        <v>74.56</v>
      </c>
      <c r="P302" s="2">
        <f ca="1">IFERROR(__xludf.DUMMYFUNCTION("""COMPUTED_VALUE"""),72.5)</f>
        <v>72.5</v>
      </c>
      <c r="Q302" s="2">
        <f ca="1">IFERROR(__xludf.DUMMYFUNCTION("""COMPUTED_VALUE"""),74.26)</f>
        <v>74.260000000000005</v>
      </c>
    </row>
    <row r="303" spans="1:17" ht="15.75" customHeight="1" x14ac:dyDescent="0.25">
      <c r="A303" s="2">
        <v>5310</v>
      </c>
      <c r="B303" s="2" t="str">
        <f ca="1">IFERROR(__xludf.DUMMYFUNCTION("""COMPUTED_VALUE"""),"NUSA TENGGARA TIMUR")</f>
        <v>NUSA TENGGARA TIMUR</v>
      </c>
      <c r="C303" s="2" t="str">
        <f ca="1">IFERROR(__xludf.DUMMYFUNCTION("""COMPUTED_VALUE"""),"Sikka")</f>
        <v>Sikka</v>
      </c>
      <c r="D303" s="2">
        <f ca="1">IFERROR(__xludf.DUMMYFUNCTION("""COMPUTED_VALUE"""),2.43)</f>
        <v>2.4300000000000002</v>
      </c>
      <c r="E303" s="2">
        <f ca="1">IFERROR(__xludf.DUMMYFUNCTION("""COMPUTED_VALUE"""),3.56)</f>
        <v>3.56</v>
      </c>
      <c r="F303" s="2">
        <f ca="1">IFERROR(__xludf.DUMMYFUNCTION("""COMPUTED_VALUE"""),4)</f>
        <v>4</v>
      </c>
      <c r="G303" s="2">
        <f ca="1">IFERROR(__xludf.DUMMYFUNCTION("""COMPUTED_VALUE"""),4.54)</f>
        <v>4.54</v>
      </c>
      <c r="H303" s="2">
        <f ca="1">IFERROR(__xludf.DUMMYFUNCTION("""COMPUTED_VALUE"""),4.51)</f>
        <v>4.51</v>
      </c>
      <c r="I303" s="2">
        <f ca="1">IFERROR(__xludf.DUMMYFUNCTION("""COMPUTED_VALUE"""),2.62)</f>
        <v>2.62</v>
      </c>
      <c r="J303" s="2">
        <f ca="1">IFERROR(__xludf.DUMMYFUNCTION("""COMPUTED_VALUE"""),2.33)</f>
        <v>2.33</v>
      </c>
      <c r="K303" s="2">
        <f ca="1">IFERROR(__xludf.DUMMYFUNCTION("""COMPUTED_VALUE"""),70.63)</f>
        <v>70.63</v>
      </c>
      <c r="L303" s="2">
        <f ca="1">IFERROR(__xludf.DUMMYFUNCTION("""COMPUTED_VALUE"""),65.51)</f>
        <v>65.510000000000005</v>
      </c>
      <c r="M303" s="2">
        <f ca="1">IFERROR(__xludf.DUMMYFUNCTION("""COMPUTED_VALUE"""),73.42)</f>
        <v>73.42</v>
      </c>
      <c r="N303" s="2">
        <f ca="1">IFERROR(__xludf.DUMMYFUNCTION("""COMPUTED_VALUE"""),73.92)</f>
        <v>73.92</v>
      </c>
      <c r="O303" s="2">
        <f ca="1">IFERROR(__xludf.DUMMYFUNCTION("""COMPUTED_VALUE"""),71.62)</f>
        <v>71.62</v>
      </c>
      <c r="P303" s="2">
        <f ca="1">IFERROR(__xludf.DUMMYFUNCTION("""COMPUTED_VALUE"""),74.35)</f>
        <v>74.349999999999994</v>
      </c>
      <c r="Q303" s="2">
        <f ca="1">IFERROR(__xludf.DUMMYFUNCTION("""COMPUTED_VALUE"""),73.99)</f>
        <v>73.989999999999995</v>
      </c>
    </row>
    <row r="304" spans="1:17" ht="15.75" customHeight="1" x14ac:dyDescent="0.25">
      <c r="A304" s="2">
        <v>5311</v>
      </c>
      <c r="B304" s="2" t="str">
        <f ca="1">IFERROR(__xludf.DUMMYFUNCTION("""COMPUTED_VALUE"""),"NUSA TENGGARA TIMUR")</f>
        <v>NUSA TENGGARA TIMUR</v>
      </c>
      <c r="C304" s="2" t="str">
        <f ca="1">IFERROR(__xludf.DUMMYFUNCTION("""COMPUTED_VALUE"""),"Ende")</f>
        <v>Ende</v>
      </c>
      <c r="D304" s="2">
        <f ca="1">IFERROR(__xludf.DUMMYFUNCTION("""COMPUTED_VALUE"""),2.89)</f>
        <v>2.89</v>
      </c>
      <c r="E304" s="2">
        <f ca="1">IFERROR(__xludf.DUMMYFUNCTION("""COMPUTED_VALUE"""),2.98)</f>
        <v>2.98</v>
      </c>
      <c r="F304" s="2">
        <f ca="1">IFERROR(__xludf.DUMMYFUNCTION("""COMPUTED_VALUE"""),2.95)</f>
        <v>2.95</v>
      </c>
      <c r="G304" s="2">
        <f ca="1">IFERROR(__xludf.DUMMYFUNCTION("""COMPUTED_VALUE"""),2.61)</f>
        <v>2.61</v>
      </c>
      <c r="H304" s="2">
        <f ca="1">IFERROR(__xludf.DUMMYFUNCTION("""COMPUTED_VALUE"""),2.06)</f>
        <v>2.06</v>
      </c>
      <c r="I304" s="2">
        <f ca="1">IFERROR(__xludf.DUMMYFUNCTION("""COMPUTED_VALUE"""),2.59)</f>
        <v>2.59</v>
      </c>
      <c r="J304" s="2">
        <f ca="1">IFERROR(__xludf.DUMMYFUNCTION("""COMPUTED_VALUE"""),2.05)</f>
        <v>2.0499999999999998</v>
      </c>
      <c r="K304" s="2">
        <f ca="1">IFERROR(__xludf.DUMMYFUNCTION("""COMPUTED_VALUE"""),73.63)</f>
        <v>73.63</v>
      </c>
      <c r="L304" s="2">
        <f ca="1">IFERROR(__xludf.DUMMYFUNCTION("""COMPUTED_VALUE"""),71.65)</f>
        <v>71.650000000000006</v>
      </c>
      <c r="M304" s="2">
        <f ca="1">IFERROR(__xludf.DUMMYFUNCTION("""COMPUTED_VALUE"""),72.22)</f>
        <v>72.22</v>
      </c>
      <c r="N304" s="2">
        <f ca="1">IFERROR(__xludf.DUMMYFUNCTION("""COMPUTED_VALUE"""),77.57)</f>
        <v>77.569999999999993</v>
      </c>
      <c r="O304" s="2">
        <f ca="1">IFERROR(__xludf.DUMMYFUNCTION("""COMPUTED_VALUE"""),75.53)</f>
        <v>75.53</v>
      </c>
      <c r="P304" s="2">
        <f ca="1">IFERROR(__xludf.DUMMYFUNCTION("""COMPUTED_VALUE"""),74.69)</f>
        <v>74.69</v>
      </c>
      <c r="Q304" s="2">
        <f ca="1">IFERROR(__xludf.DUMMYFUNCTION("""COMPUTED_VALUE"""),77.3)</f>
        <v>77.3</v>
      </c>
    </row>
    <row r="305" spans="1:17" ht="15.75" customHeight="1" x14ac:dyDescent="0.25">
      <c r="A305" s="2">
        <v>5312</v>
      </c>
      <c r="B305" s="2" t="str">
        <f ca="1">IFERROR(__xludf.DUMMYFUNCTION("""COMPUTED_VALUE"""),"NUSA TENGGARA TIMUR")</f>
        <v>NUSA TENGGARA TIMUR</v>
      </c>
      <c r="C305" s="2" t="str">
        <f ca="1">IFERROR(__xludf.DUMMYFUNCTION("""COMPUTED_VALUE"""),"Ngada")</f>
        <v>Ngada</v>
      </c>
      <c r="D305" s="2">
        <f ca="1">IFERROR(__xludf.DUMMYFUNCTION("""COMPUTED_VALUE"""),2.11)</f>
        <v>2.11</v>
      </c>
      <c r="E305" s="2">
        <f ca="1">IFERROR(__xludf.DUMMYFUNCTION("""COMPUTED_VALUE"""),3.38)</f>
        <v>3.38</v>
      </c>
      <c r="F305" s="2">
        <f ca="1">IFERROR(__xludf.DUMMYFUNCTION("""COMPUTED_VALUE"""),4.69)</f>
        <v>4.6900000000000004</v>
      </c>
      <c r="G305" s="2">
        <f ca="1">IFERROR(__xludf.DUMMYFUNCTION("""COMPUTED_VALUE"""),2.99)</f>
        <v>2.99</v>
      </c>
      <c r="H305" s="2">
        <f ca="1">IFERROR(__xludf.DUMMYFUNCTION("""COMPUTED_VALUE"""),2.81)</f>
        <v>2.81</v>
      </c>
      <c r="I305" s="2">
        <f ca="1">IFERROR(__xludf.DUMMYFUNCTION("""COMPUTED_VALUE"""),4)</f>
        <v>4</v>
      </c>
      <c r="J305" s="2">
        <f ca="1">IFERROR(__xludf.DUMMYFUNCTION("""COMPUTED_VALUE"""),2.68)</f>
        <v>2.68</v>
      </c>
      <c r="K305" s="2">
        <f ca="1">IFERROR(__xludf.DUMMYFUNCTION("""COMPUTED_VALUE"""),70.89)</f>
        <v>70.89</v>
      </c>
      <c r="L305" s="2">
        <f ca="1">IFERROR(__xludf.DUMMYFUNCTION("""COMPUTED_VALUE"""),71.04)</f>
        <v>71.040000000000006</v>
      </c>
      <c r="M305" s="2">
        <f ca="1">IFERROR(__xludf.DUMMYFUNCTION("""COMPUTED_VALUE"""),71.49)</f>
        <v>71.489999999999995</v>
      </c>
      <c r="N305" s="2">
        <f ca="1">IFERROR(__xludf.DUMMYFUNCTION("""COMPUTED_VALUE"""),72.49)</f>
        <v>72.489999999999995</v>
      </c>
      <c r="O305" s="2">
        <f ca="1">IFERROR(__xludf.DUMMYFUNCTION("""COMPUTED_VALUE"""),78.56)</f>
        <v>78.56</v>
      </c>
      <c r="P305" s="2">
        <f ca="1">IFERROR(__xludf.DUMMYFUNCTION("""COMPUTED_VALUE"""),74.78)</f>
        <v>74.78</v>
      </c>
      <c r="Q305" s="2">
        <f ca="1">IFERROR(__xludf.DUMMYFUNCTION("""COMPUTED_VALUE"""),86.4)</f>
        <v>86.4</v>
      </c>
    </row>
    <row r="306" spans="1:17" ht="15.75" customHeight="1" x14ac:dyDescent="0.25">
      <c r="A306" s="2">
        <v>5313</v>
      </c>
      <c r="B306" s="2" t="str">
        <f ca="1">IFERROR(__xludf.DUMMYFUNCTION("""COMPUTED_VALUE"""),"NUSA TENGGARA TIMUR")</f>
        <v>NUSA TENGGARA TIMUR</v>
      </c>
      <c r="C306" s="2" t="str">
        <f ca="1">IFERROR(__xludf.DUMMYFUNCTION("""COMPUTED_VALUE"""),"Manggarai")</f>
        <v>Manggarai</v>
      </c>
      <c r="D306" s="2">
        <f ca="1">IFERROR(__xludf.DUMMYFUNCTION("""COMPUTED_VALUE"""),3.21)</f>
        <v>3.21</v>
      </c>
      <c r="E306" s="2">
        <f ca="1">IFERROR(__xludf.DUMMYFUNCTION("""COMPUTED_VALUE"""),3.11)</f>
        <v>3.11</v>
      </c>
      <c r="F306" s="2">
        <f ca="1">IFERROR(__xludf.DUMMYFUNCTION("""COMPUTED_VALUE"""),4.09)</f>
        <v>4.09</v>
      </c>
      <c r="G306" s="2">
        <f ca="1">IFERROR(__xludf.DUMMYFUNCTION("""COMPUTED_VALUE"""),3.7)</f>
        <v>3.7</v>
      </c>
      <c r="H306" s="2">
        <f ca="1">IFERROR(__xludf.DUMMYFUNCTION("""COMPUTED_VALUE"""),3.5)</f>
        <v>3.5</v>
      </c>
      <c r="I306" s="2">
        <f ca="1">IFERROR(__xludf.DUMMYFUNCTION("""COMPUTED_VALUE"""),2.44)</f>
        <v>2.44</v>
      </c>
      <c r="J306" s="2">
        <f ca="1">IFERROR(__xludf.DUMMYFUNCTION("""COMPUTED_VALUE"""),1.17)</f>
        <v>1.17</v>
      </c>
      <c r="K306" s="2">
        <f ca="1">IFERROR(__xludf.DUMMYFUNCTION("""COMPUTED_VALUE"""),73.14)</f>
        <v>73.14</v>
      </c>
      <c r="L306" s="2">
        <f ca="1">IFERROR(__xludf.DUMMYFUNCTION("""COMPUTED_VALUE"""),70.54)</f>
        <v>70.540000000000006</v>
      </c>
      <c r="M306" s="2">
        <f ca="1">IFERROR(__xludf.DUMMYFUNCTION("""COMPUTED_VALUE"""),76.53)</f>
        <v>76.53</v>
      </c>
      <c r="N306" s="2">
        <f ca="1">IFERROR(__xludf.DUMMYFUNCTION("""COMPUTED_VALUE"""),77.6)</f>
        <v>77.599999999999994</v>
      </c>
      <c r="O306" s="2">
        <f ca="1">IFERROR(__xludf.DUMMYFUNCTION("""COMPUTED_VALUE"""),78.52)</f>
        <v>78.52</v>
      </c>
      <c r="P306" s="2">
        <f ca="1">IFERROR(__xludf.DUMMYFUNCTION("""COMPUTED_VALUE"""),79.14)</f>
        <v>79.14</v>
      </c>
      <c r="Q306" s="2">
        <f ca="1">IFERROR(__xludf.DUMMYFUNCTION("""COMPUTED_VALUE"""),83.14)</f>
        <v>83.14</v>
      </c>
    </row>
    <row r="307" spans="1:17" ht="15.75" customHeight="1" x14ac:dyDescent="0.25">
      <c r="A307" s="2">
        <v>5314</v>
      </c>
      <c r="B307" s="2" t="str">
        <f ca="1">IFERROR(__xludf.DUMMYFUNCTION("""COMPUTED_VALUE"""),"NUSA TENGGARA TIMUR")</f>
        <v>NUSA TENGGARA TIMUR</v>
      </c>
      <c r="C307" s="2" t="str">
        <f ca="1">IFERROR(__xludf.DUMMYFUNCTION("""COMPUTED_VALUE"""),"Rote Ndao")</f>
        <v>Rote Ndao</v>
      </c>
      <c r="D307" s="2">
        <f ca="1">IFERROR(__xludf.DUMMYFUNCTION("""COMPUTED_VALUE"""),2.11)</f>
        <v>2.11</v>
      </c>
      <c r="E307" s="2">
        <f ca="1">IFERROR(__xludf.DUMMYFUNCTION("""COMPUTED_VALUE"""),2.73)</f>
        <v>2.73</v>
      </c>
      <c r="F307" s="2">
        <f ca="1">IFERROR(__xludf.DUMMYFUNCTION("""COMPUTED_VALUE"""),4.9)</f>
        <v>4.9000000000000004</v>
      </c>
      <c r="G307" s="2">
        <f ca="1">IFERROR(__xludf.DUMMYFUNCTION("""COMPUTED_VALUE"""),3.67)</f>
        <v>3.67</v>
      </c>
      <c r="H307" s="2">
        <f ca="1">IFERROR(__xludf.DUMMYFUNCTION("""COMPUTED_VALUE"""),3.64)</f>
        <v>3.64</v>
      </c>
      <c r="I307" s="2">
        <f ca="1">IFERROR(__xludf.DUMMYFUNCTION("""COMPUTED_VALUE"""),3.65)</f>
        <v>3.65</v>
      </c>
      <c r="J307" s="2">
        <f ca="1">IFERROR(__xludf.DUMMYFUNCTION("""COMPUTED_VALUE"""),2.42)</f>
        <v>2.42</v>
      </c>
      <c r="K307" s="2">
        <f ca="1">IFERROR(__xludf.DUMMYFUNCTION("""COMPUTED_VALUE"""),72.98)</f>
        <v>72.98</v>
      </c>
      <c r="L307" s="2">
        <f ca="1">IFERROR(__xludf.DUMMYFUNCTION("""COMPUTED_VALUE"""),69.46)</f>
        <v>69.459999999999994</v>
      </c>
      <c r="M307" s="2">
        <f ca="1">IFERROR(__xludf.DUMMYFUNCTION("""COMPUTED_VALUE"""),73.07)</f>
        <v>73.069999999999993</v>
      </c>
      <c r="N307" s="2">
        <f ca="1">IFERROR(__xludf.DUMMYFUNCTION("""COMPUTED_VALUE"""),74.16)</f>
        <v>74.16</v>
      </c>
      <c r="O307" s="2">
        <f ca="1">IFERROR(__xludf.DUMMYFUNCTION("""COMPUTED_VALUE"""),73.2)</f>
        <v>73.2</v>
      </c>
      <c r="P307" s="2">
        <f ca="1">IFERROR(__xludf.DUMMYFUNCTION("""COMPUTED_VALUE"""),68.99)</f>
        <v>68.989999999999995</v>
      </c>
      <c r="Q307" s="2">
        <f ca="1">IFERROR(__xludf.DUMMYFUNCTION("""COMPUTED_VALUE"""),71.82)</f>
        <v>71.819999999999993</v>
      </c>
    </row>
    <row r="308" spans="1:17" ht="15.75" customHeight="1" x14ac:dyDescent="0.25">
      <c r="A308" s="2">
        <v>5315</v>
      </c>
      <c r="B308" s="2" t="str">
        <f ca="1">IFERROR(__xludf.DUMMYFUNCTION("""COMPUTED_VALUE"""),"NUSA TENGGARA TIMUR")</f>
        <v>NUSA TENGGARA TIMUR</v>
      </c>
      <c r="C308" s="2" t="str">
        <f ca="1">IFERROR(__xludf.DUMMYFUNCTION("""COMPUTED_VALUE"""),"Manggarai Barat")</f>
        <v>Manggarai Barat</v>
      </c>
      <c r="D308" s="2">
        <f ca="1">IFERROR(__xludf.DUMMYFUNCTION("""COMPUTED_VALUE"""),1.19)</f>
        <v>1.19</v>
      </c>
      <c r="E308" s="2">
        <f ca="1">IFERROR(__xludf.DUMMYFUNCTION("""COMPUTED_VALUE"""),2.42)</f>
        <v>2.42</v>
      </c>
      <c r="F308" s="2">
        <f ca="1">IFERROR(__xludf.DUMMYFUNCTION("""COMPUTED_VALUE"""),3.72)</f>
        <v>3.72</v>
      </c>
      <c r="G308" s="2">
        <f ca="1">IFERROR(__xludf.DUMMYFUNCTION("""COMPUTED_VALUE"""),4.94)</f>
        <v>4.9400000000000004</v>
      </c>
      <c r="H308" s="2">
        <f ca="1">IFERROR(__xludf.DUMMYFUNCTION("""COMPUTED_VALUE"""),4.91)</f>
        <v>4.91</v>
      </c>
      <c r="I308" s="2">
        <f ca="1">IFERROR(__xludf.DUMMYFUNCTION("""COMPUTED_VALUE"""),4.42)</f>
        <v>4.42</v>
      </c>
      <c r="J308" s="2">
        <f ca="1">IFERROR(__xludf.DUMMYFUNCTION("""COMPUTED_VALUE"""),3.47)</f>
        <v>3.47</v>
      </c>
      <c r="K308" s="2">
        <f ca="1">IFERROR(__xludf.DUMMYFUNCTION("""COMPUTED_VALUE"""),67.24)</f>
        <v>67.239999999999995</v>
      </c>
      <c r="L308" s="2">
        <f ca="1">IFERROR(__xludf.DUMMYFUNCTION("""COMPUTED_VALUE"""),72.87)</f>
        <v>72.87</v>
      </c>
      <c r="M308" s="2">
        <f ca="1">IFERROR(__xludf.DUMMYFUNCTION("""COMPUTED_VALUE"""),78.52)</f>
        <v>78.52</v>
      </c>
      <c r="N308" s="2">
        <f ca="1">IFERROR(__xludf.DUMMYFUNCTION("""COMPUTED_VALUE"""),73.18)</f>
        <v>73.180000000000007</v>
      </c>
      <c r="O308" s="2">
        <f ca="1">IFERROR(__xludf.DUMMYFUNCTION("""COMPUTED_VALUE"""),80.46)</f>
        <v>80.459999999999994</v>
      </c>
      <c r="P308" s="2">
        <f ca="1">IFERROR(__xludf.DUMMYFUNCTION("""COMPUTED_VALUE"""),70.71)</f>
        <v>70.709999999999994</v>
      </c>
      <c r="Q308" s="2">
        <f ca="1">IFERROR(__xludf.DUMMYFUNCTION("""COMPUTED_VALUE"""),76.75)</f>
        <v>76.75</v>
      </c>
    </row>
    <row r="309" spans="1:17" ht="15.75" customHeight="1" x14ac:dyDescent="0.25">
      <c r="A309" s="2">
        <v>5316</v>
      </c>
      <c r="B309" s="2" t="str">
        <f ca="1">IFERROR(__xludf.DUMMYFUNCTION("""COMPUTED_VALUE"""),"NUSA TENGGARA TIMUR")</f>
        <v>NUSA TENGGARA TIMUR</v>
      </c>
      <c r="C309" s="2" t="str">
        <f ca="1">IFERROR(__xludf.DUMMYFUNCTION("""COMPUTED_VALUE"""),"Sumba Tengah")</f>
        <v>Sumba Tengah</v>
      </c>
      <c r="D309" s="2">
        <f ca="1">IFERROR(__xludf.DUMMYFUNCTION("""COMPUTED_VALUE"""),3.57)</f>
        <v>3.57</v>
      </c>
      <c r="E309" s="2">
        <f ca="1">IFERROR(__xludf.DUMMYFUNCTION("""COMPUTED_VALUE"""),3.43)</f>
        <v>3.43</v>
      </c>
      <c r="F309" s="2">
        <f ca="1">IFERROR(__xludf.DUMMYFUNCTION("""COMPUTED_VALUE"""),4.02)</f>
        <v>4.0199999999999996</v>
      </c>
      <c r="G309" s="2">
        <f ca="1">IFERROR(__xludf.DUMMYFUNCTION("""COMPUTED_VALUE"""),1.45)</f>
        <v>1.45</v>
      </c>
      <c r="H309" s="2">
        <f ca="1">IFERROR(__xludf.DUMMYFUNCTION("""COMPUTED_VALUE"""),1.21)</f>
        <v>1.21</v>
      </c>
      <c r="I309" s="2">
        <f ca="1">IFERROR(__xludf.DUMMYFUNCTION("""COMPUTED_VALUE"""),1.89)</f>
        <v>1.89</v>
      </c>
      <c r="J309" s="2">
        <f ca="1">IFERROR(__xludf.DUMMYFUNCTION("""COMPUTED_VALUE"""),1.89)</f>
        <v>1.89</v>
      </c>
      <c r="K309" s="2">
        <f ca="1">IFERROR(__xludf.DUMMYFUNCTION("""COMPUTED_VALUE"""),63.4)</f>
        <v>63.4</v>
      </c>
      <c r="L309" s="2">
        <f ca="1">IFERROR(__xludf.DUMMYFUNCTION("""COMPUTED_VALUE"""),67.97)</f>
        <v>67.97</v>
      </c>
      <c r="M309" s="2">
        <f ca="1">IFERROR(__xludf.DUMMYFUNCTION("""COMPUTED_VALUE"""),69.98)</f>
        <v>69.98</v>
      </c>
      <c r="N309" s="2">
        <f ca="1">IFERROR(__xludf.DUMMYFUNCTION("""COMPUTED_VALUE"""),69.12)</f>
        <v>69.12</v>
      </c>
      <c r="O309" s="2">
        <f ca="1">IFERROR(__xludf.DUMMYFUNCTION("""COMPUTED_VALUE"""),76.71)</f>
        <v>76.709999999999994</v>
      </c>
      <c r="P309" s="2">
        <f ca="1">IFERROR(__xludf.DUMMYFUNCTION("""COMPUTED_VALUE"""),78.79)</f>
        <v>78.790000000000006</v>
      </c>
      <c r="Q309" s="2">
        <f ca="1">IFERROR(__xludf.DUMMYFUNCTION("""COMPUTED_VALUE"""),76.66)</f>
        <v>76.66</v>
      </c>
    </row>
    <row r="310" spans="1:17" ht="15.75" customHeight="1" x14ac:dyDescent="0.25">
      <c r="A310" s="2">
        <v>5317</v>
      </c>
      <c r="B310" s="2" t="str">
        <f ca="1">IFERROR(__xludf.DUMMYFUNCTION("""COMPUTED_VALUE"""),"NUSA TENGGARA TIMUR")</f>
        <v>NUSA TENGGARA TIMUR</v>
      </c>
      <c r="C310" s="2" t="str">
        <f ca="1">IFERROR(__xludf.DUMMYFUNCTION("""COMPUTED_VALUE"""),"Sumba Barat Daya")</f>
        <v>Sumba Barat Daya</v>
      </c>
      <c r="D310" s="2">
        <f ca="1">IFERROR(__xludf.DUMMYFUNCTION("""COMPUTED_VALUE"""),1.01)</f>
        <v>1.01</v>
      </c>
      <c r="E310" s="2">
        <f ca="1">IFERROR(__xludf.DUMMYFUNCTION("""COMPUTED_VALUE"""),1.25)</f>
        <v>1.25</v>
      </c>
      <c r="F310" s="2">
        <f ca="1">IFERROR(__xludf.DUMMYFUNCTION("""COMPUTED_VALUE"""),2.36)</f>
        <v>2.36</v>
      </c>
      <c r="G310" s="2">
        <f ca="1">IFERROR(__xludf.DUMMYFUNCTION("""COMPUTED_VALUE"""),2.04)</f>
        <v>2.04</v>
      </c>
      <c r="H310" s="2">
        <f ca="1">IFERROR(__xludf.DUMMYFUNCTION("""COMPUTED_VALUE"""),1.97)</f>
        <v>1.97</v>
      </c>
      <c r="I310" s="2">
        <f ca="1">IFERROR(__xludf.DUMMYFUNCTION("""COMPUTED_VALUE"""),2.08)</f>
        <v>2.08</v>
      </c>
      <c r="J310" s="2">
        <f ca="1">IFERROR(__xludf.DUMMYFUNCTION("""COMPUTED_VALUE"""),2.64)</f>
        <v>2.64</v>
      </c>
      <c r="K310" s="2">
        <f ca="1">IFERROR(__xludf.DUMMYFUNCTION("""COMPUTED_VALUE"""),79.68)</f>
        <v>79.680000000000007</v>
      </c>
      <c r="L310" s="2">
        <f ca="1">IFERROR(__xludf.DUMMYFUNCTION("""COMPUTED_VALUE"""),78.33)</f>
        <v>78.33</v>
      </c>
      <c r="M310" s="2">
        <f ca="1">IFERROR(__xludf.DUMMYFUNCTION("""COMPUTED_VALUE"""),77.91)</f>
        <v>77.91</v>
      </c>
      <c r="N310" s="2">
        <f ca="1">IFERROR(__xludf.DUMMYFUNCTION("""COMPUTED_VALUE"""),83.33)</f>
        <v>83.33</v>
      </c>
      <c r="O310" s="2">
        <f ca="1">IFERROR(__xludf.DUMMYFUNCTION("""COMPUTED_VALUE"""),77.22)</f>
        <v>77.22</v>
      </c>
      <c r="P310" s="2">
        <f ca="1">IFERROR(__xludf.DUMMYFUNCTION("""COMPUTED_VALUE"""),80.15)</f>
        <v>80.150000000000006</v>
      </c>
      <c r="Q310" s="2">
        <f ca="1">IFERROR(__xludf.DUMMYFUNCTION("""COMPUTED_VALUE"""),78.7)</f>
        <v>78.7</v>
      </c>
    </row>
    <row r="311" spans="1:17" ht="15.75" customHeight="1" x14ac:dyDescent="0.25">
      <c r="A311" s="2">
        <v>5318</v>
      </c>
      <c r="B311" s="2" t="str">
        <f ca="1">IFERROR(__xludf.DUMMYFUNCTION("""COMPUTED_VALUE"""),"NUSA TENGGARA TIMUR")</f>
        <v>NUSA TENGGARA TIMUR</v>
      </c>
      <c r="C311" s="2" t="str">
        <f ca="1">IFERROR(__xludf.DUMMYFUNCTION("""COMPUTED_VALUE"""),"Nagekeo")</f>
        <v>Nagekeo</v>
      </c>
      <c r="D311" s="2">
        <f ca="1">IFERROR(__xludf.DUMMYFUNCTION("""COMPUTED_VALUE"""),1.88)</f>
        <v>1.88</v>
      </c>
      <c r="E311" s="2">
        <f ca="1">IFERROR(__xludf.DUMMYFUNCTION("""COMPUTED_VALUE"""),2.76)</f>
        <v>2.76</v>
      </c>
      <c r="F311" s="2">
        <f ca="1">IFERROR(__xludf.DUMMYFUNCTION("""COMPUTED_VALUE"""),3.09)</f>
        <v>3.09</v>
      </c>
      <c r="G311" s="2">
        <f ca="1">IFERROR(__xludf.DUMMYFUNCTION("""COMPUTED_VALUE"""),0.97)</f>
        <v>0.97</v>
      </c>
      <c r="H311" s="2">
        <f ca="1">IFERROR(__xludf.DUMMYFUNCTION("""COMPUTED_VALUE"""),2.97)</f>
        <v>2.97</v>
      </c>
      <c r="I311" s="2">
        <f ca="1">IFERROR(__xludf.DUMMYFUNCTION("""COMPUTED_VALUE"""),3.54)</f>
        <v>3.54</v>
      </c>
      <c r="J311" s="2">
        <f ca="1">IFERROR(__xludf.DUMMYFUNCTION("""COMPUTED_VALUE"""),2.17)</f>
        <v>2.17</v>
      </c>
      <c r="K311" s="2">
        <f ca="1">IFERROR(__xludf.DUMMYFUNCTION("""COMPUTED_VALUE"""),63.8)</f>
        <v>63.8</v>
      </c>
      <c r="L311" s="2">
        <f ca="1">IFERROR(__xludf.DUMMYFUNCTION("""COMPUTED_VALUE"""),67.14)</f>
        <v>67.14</v>
      </c>
      <c r="M311" s="2">
        <f ca="1">IFERROR(__xludf.DUMMYFUNCTION("""COMPUTED_VALUE"""),70.05)</f>
        <v>70.05</v>
      </c>
      <c r="N311" s="2">
        <f ca="1">IFERROR(__xludf.DUMMYFUNCTION("""COMPUTED_VALUE"""),67.19)</f>
        <v>67.19</v>
      </c>
      <c r="O311" s="2">
        <f ca="1">IFERROR(__xludf.DUMMYFUNCTION("""COMPUTED_VALUE"""),71.02)</f>
        <v>71.02</v>
      </c>
      <c r="P311" s="2">
        <f ca="1">IFERROR(__xludf.DUMMYFUNCTION("""COMPUTED_VALUE"""),76.86)</f>
        <v>76.86</v>
      </c>
      <c r="Q311" s="2">
        <f ca="1">IFERROR(__xludf.DUMMYFUNCTION("""COMPUTED_VALUE"""),76.01)</f>
        <v>76.010000000000005</v>
      </c>
    </row>
    <row r="312" spans="1:17" ht="15.75" customHeight="1" x14ac:dyDescent="0.25">
      <c r="A312" s="2">
        <v>5319</v>
      </c>
      <c r="B312" s="2" t="str">
        <f ca="1">IFERROR(__xludf.DUMMYFUNCTION("""COMPUTED_VALUE"""),"NUSA TENGGARA TIMUR")</f>
        <v>NUSA TENGGARA TIMUR</v>
      </c>
      <c r="C312" s="2" t="str">
        <f ca="1">IFERROR(__xludf.DUMMYFUNCTION("""COMPUTED_VALUE"""),"Manggarai Timur")</f>
        <v>Manggarai Timur</v>
      </c>
      <c r="D312" s="2">
        <f ca="1">IFERROR(__xludf.DUMMYFUNCTION("""COMPUTED_VALUE"""),1.57)</f>
        <v>1.57</v>
      </c>
      <c r="E312" s="2">
        <f ca="1">IFERROR(__xludf.DUMMYFUNCTION("""COMPUTED_VALUE"""),0.95)</f>
        <v>0.95</v>
      </c>
      <c r="F312" s="2">
        <f ca="1">IFERROR(__xludf.DUMMYFUNCTION("""COMPUTED_VALUE"""),2.1)</f>
        <v>2.1</v>
      </c>
      <c r="G312" s="2">
        <f ca="1">IFERROR(__xludf.DUMMYFUNCTION("""COMPUTED_VALUE"""),1.96)</f>
        <v>1.96</v>
      </c>
      <c r="H312" s="2">
        <f ca="1">IFERROR(__xludf.DUMMYFUNCTION("""COMPUTED_VALUE"""),1.89)</f>
        <v>1.89</v>
      </c>
      <c r="I312" s="2">
        <f ca="1">IFERROR(__xludf.DUMMYFUNCTION("""COMPUTED_VALUE"""),1.63)</f>
        <v>1.63</v>
      </c>
      <c r="J312" s="2">
        <f ca="1">IFERROR(__xludf.DUMMYFUNCTION("""COMPUTED_VALUE"""),0.51)</f>
        <v>0.51</v>
      </c>
      <c r="K312" s="2">
        <f ca="1">IFERROR(__xludf.DUMMYFUNCTION("""COMPUTED_VALUE"""),67.88)</f>
        <v>67.88</v>
      </c>
      <c r="L312" s="2">
        <f ca="1">IFERROR(__xludf.DUMMYFUNCTION("""COMPUTED_VALUE"""),79.67)</f>
        <v>79.67</v>
      </c>
      <c r="M312" s="2">
        <f ca="1">IFERROR(__xludf.DUMMYFUNCTION("""COMPUTED_VALUE"""),81.73)</f>
        <v>81.73</v>
      </c>
      <c r="N312" s="2">
        <f ca="1">IFERROR(__xludf.DUMMYFUNCTION("""COMPUTED_VALUE"""),81.95)</f>
        <v>81.95</v>
      </c>
      <c r="O312" s="2">
        <f ca="1">IFERROR(__xludf.DUMMYFUNCTION("""COMPUTED_VALUE"""),82.55)</f>
        <v>82.55</v>
      </c>
      <c r="P312" s="2">
        <f ca="1">IFERROR(__xludf.DUMMYFUNCTION("""COMPUTED_VALUE"""),80.33)</f>
        <v>80.33</v>
      </c>
      <c r="Q312" s="2">
        <f ca="1">IFERROR(__xludf.DUMMYFUNCTION("""COMPUTED_VALUE"""),83.36)</f>
        <v>83.36</v>
      </c>
    </row>
    <row r="313" spans="1:17" ht="15.75" customHeight="1" x14ac:dyDescent="0.25">
      <c r="A313" s="2">
        <v>5320</v>
      </c>
      <c r="B313" s="2" t="str">
        <f ca="1">IFERROR(__xludf.DUMMYFUNCTION("""COMPUTED_VALUE"""),"NUSA TENGGARA TIMUR")</f>
        <v>NUSA TENGGARA TIMUR</v>
      </c>
      <c r="C313" s="2" t="str">
        <f ca="1">IFERROR(__xludf.DUMMYFUNCTION("""COMPUTED_VALUE"""),"Sabu Raijua")</f>
        <v>Sabu Raijua</v>
      </c>
      <c r="D313" s="2">
        <f ca="1">IFERROR(__xludf.DUMMYFUNCTION("""COMPUTED_VALUE"""),2.12)</f>
        <v>2.12</v>
      </c>
      <c r="E313" s="2">
        <f ca="1">IFERROR(__xludf.DUMMYFUNCTION("""COMPUTED_VALUE"""),2.89)</f>
        <v>2.89</v>
      </c>
      <c r="F313" s="2">
        <f ca="1">IFERROR(__xludf.DUMMYFUNCTION("""COMPUTED_VALUE"""),3.08)</f>
        <v>3.08</v>
      </c>
      <c r="G313" s="2">
        <f ca="1">IFERROR(__xludf.DUMMYFUNCTION("""COMPUTED_VALUE"""),1.25)</f>
        <v>1.25</v>
      </c>
      <c r="H313" s="2">
        <f ca="1">IFERROR(__xludf.DUMMYFUNCTION("""COMPUTED_VALUE"""),3.29)</f>
        <v>3.29</v>
      </c>
      <c r="I313" s="2">
        <f ca="1">IFERROR(__xludf.DUMMYFUNCTION("""COMPUTED_VALUE"""),4.06)</f>
        <v>4.0599999999999996</v>
      </c>
      <c r="J313" s="2">
        <f ca="1">IFERROR(__xludf.DUMMYFUNCTION("""COMPUTED_VALUE"""),3.99)</f>
        <v>3.99</v>
      </c>
      <c r="K313" s="2">
        <f ca="1">IFERROR(__xludf.DUMMYFUNCTION("""COMPUTED_VALUE"""),75.72)</f>
        <v>75.72</v>
      </c>
      <c r="L313" s="2">
        <f ca="1">IFERROR(__xludf.DUMMYFUNCTION("""COMPUTED_VALUE"""),69.22)</f>
        <v>69.22</v>
      </c>
      <c r="M313" s="2">
        <f ca="1">IFERROR(__xludf.DUMMYFUNCTION("""COMPUTED_VALUE"""),75.11)</f>
        <v>75.11</v>
      </c>
      <c r="N313" s="2">
        <f ca="1">IFERROR(__xludf.DUMMYFUNCTION("""COMPUTED_VALUE"""),68.82)</f>
        <v>68.819999999999993</v>
      </c>
      <c r="O313" s="2">
        <f ca="1">IFERROR(__xludf.DUMMYFUNCTION("""COMPUTED_VALUE"""),76.71)</f>
        <v>76.709999999999994</v>
      </c>
      <c r="P313" s="2">
        <f ca="1">IFERROR(__xludf.DUMMYFUNCTION("""COMPUTED_VALUE"""),76.14)</f>
        <v>76.14</v>
      </c>
      <c r="Q313" s="2">
        <f ca="1">IFERROR(__xludf.DUMMYFUNCTION("""COMPUTED_VALUE"""),77.44)</f>
        <v>77.44</v>
      </c>
    </row>
    <row r="314" spans="1:17" ht="15.75" customHeight="1" x14ac:dyDescent="0.25">
      <c r="A314" s="2">
        <v>5321</v>
      </c>
      <c r="B314" s="2" t="str">
        <f ca="1">IFERROR(__xludf.DUMMYFUNCTION("""COMPUTED_VALUE"""),"NUSA TENGGARA TIMUR")</f>
        <v>NUSA TENGGARA TIMUR</v>
      </c>
      <c r="C314" s="2" t="str">
        <f ca="1">IFERROR(__xludf.DUMMYFUNCTION("""COMPUTED_VALUE"""),"Malaka")</f>
        <v>Malaka</v>
      </c>
      <c r="D314" s="2">
        <f ca="1">IFERROR(__xludf.DUMMYFUNCTION("""COMPUTED_VALUE"""),3.79)</f>
        <v>3.79</v>
      </c>
      <c r="E314" s="2">
        <f ca="1">IFERROR(__xludf.DUMMYFUNCTION("""COMPUTED_VALUE"""),2.34)</f>
        <v>2.34</v>
      </c>
      <c r="F314" s="2">
        <f ca="1">IFERROR(__xludf.DUMMYFUNCTION("""COMPUTED_VALUE"""),3.63)</f>
        <v>3.63</v>
      </c>
      <c r="G314" s="2">
        <f ca="1">IFERROR(__xludf.DUMMYFUNCTION("""COMPUTED_VALUE"""),3.43)</f>
        <v>3.43</v>
      </c>
      <c r="H314" s="2">
        <f ca="1">IFERROR(__xludf.DUMMYFUNCTION("""COMPUTED_VALUE"""),3.3)</f>
        <v>3.3</v>
      </c>
      <c r="I314" s="2">
        <f ca="1">IFERROR(__xludf.DUMMYFUNCTION("""COMPUTED_VALUE"""),3.06)</f>
        <v>3.06</v>
      </c>
      <c r="J314" s="2">
        <f ca="1">IFERROR(__xludf.DUMMYFUNCTION("""COMPUTED_VALUE"""),1.58)</f>
        <v>1.58</v>
      </c>
      <c r="K314" s="2">
        <f ca="1">IFERROR(__xludf.DUMMYFUNCTION("""COMPUTED_VALUE"""),71.76)</f>
        <v>71.760000000000005</v>
      </c>
      <c r="L314" s="2">
        <f ca="1">IFERROR(__xludf.DUMMYFUNCTION("""COMPUTED_VALUE"""),70.1)</f>
        <v>70.099999999999994</v>
      </c>
      <c r="M314" s="2">
        <f ca="1">IFERROR(__xludf.DUMMYFUNCTION("""COMPUTED_VALUE"""),67.47)</f>
        <v>67.47</v>
      </c>
      <c r="N314" s="2">
        <f ca="1">IFERROR(__xludf.DUMMYFUNCTION("""COMPUTED_VALUE"""),70.1)</f>
        <v>70.099999999999994</v>
      </c>
      <c r="O314" s="2">
        <f ca="1">IFERROR(__xludf.DUMMYFUNCTION("""COMPUTED_VALUE"""),76.38)</f>
        <v>76.38</v>
      </c>
      <c r="P314" s="2">
        <f ca="1">IFERROR(__xludf.DUMMYFUNCTION("""COMPUTED_VALUE"""),73.48)</f>
        <v>73.48</v>
      </c>
      <c r="Q314" s="2">
        <f ca="1">IFERROR(__xludf.DUMMYFUNCTION("""COMPUTED_VALUE"""),72.08)</f>
        <v>72.08</v>
      </c>
    </row>
    <row r="315" spans="1:17" ht="15.75" customHeight="1" x14ac:dyDescent="0.25">
      <c r="A315" s="2">
        <v>5371</v>
      </c>
      <c r="B315" s="2" t="str">
        <f ca="1">IFERROR(__xludf.DUMMYFUNCTION("""COMPUTED_VALUE"""),"NUSA TENGGARA TIMUR")</f>
        <v>NUSA TENGGARA TIMUR</v>
      </c>
      <c r="C315" s="2" t="str">
        <f ca="1">IFERROR(__xludf.DUMMYFUNCTION("""COMPUTED_VALUE"""),"Kota Kupang")</f>
        <v>Kota Kupang</v>
      </c>
      <c r="D315" s="2">
        <f ca="1">IFERROR(__xludf.DUMMYFUNCTION("""COMPUTED_VALUE"""),10.17)</f>
        <v>10.17</v>
      </c>
      <c r="E315" s="2">
        <f ca="1">IFERROR(__xludf.DUMMYFUNCTION("""COMPUTED_VALUE"""),9.78)</f>
        <v>9.7799999999999994</v>
      </c>
      <c r="F315" s="2">
        <f ca="1">IFERROR(__xludf.DUMMYFUNCTION("""COMPUTED_VALUE"""),10.9)</f>
        <v>10.9</v>
      </c>
      <c r="G315" s="2">
        <f ca="1">IFERROR(__xludf.DUMMYFUNCTION("""COMPUTED_VALUE"""),9.76)</f>
        <v>9.76</v>
      </c>
      <c r="H315" s="2">
        <f ca="1">IFERROR(__xludf.DUMMYFUNCTION("""COMPUTED_VALUE"""),8.55)</f>
        <v>8.5500000000000007</v>
      </c>
      <c r="I315" s="2">
        <f ca="1">IFERROR(__xludf.DUMMYFUNCTION("""COMPUTED_VALUE"""),5.69)</f>
        <v>5.69</v>
      </c>
      <c r="J315" s="2">
        <f ca="1">IFERROR(__xludf.DUMMYFUNCTION("""COMPUTED_VALUE"""),8.6)</f>
        <v>8.6</v>
      </c>
      <c r="K315" s="2">
        <f ca="1">IFERROR(__xludf.DUMMYFUNCTION("""COMPUTED_VALUE"""),57.67)</f>
        <v>57.67</v>
      </c>
      <c r="L315" s="2">
        <f ca="1">IFERROR(__xludf.DUMMYFUNCTION("""COMPUTED_VALUE"""),58.75)</f>
        <v>58.75</v>
      </c>
      <c r="M315" s="2">
        <f ca="1">IFERROR(__xludf.DUMMYFUNCTION("""COMPUTED_VALUE"""),64.14)</f>
        <v>64.14</v>
      </c>
      <c r="N315" s="2">
        <f ca="1">IFERROR(__xludf.DUMMYFUNCTION("""COMPUTED_VALUE"""),62.34)</f>
        <v>62.34</v>
      </c>
      <c r="O315" s="2">
        <f ca="1">IFERROR(__xludf.DUMMYFUNCTION("""COMPUTED_VALUE"""),61.33)</f>
        <v>61.33</v>
      </c>
      <c r="P315" s="2">
        <f ca="1">IFERROR(__xludf.DUMMYFUNCTION("""COMPUTED_VALUE"""),64.75)</f>
        <v>64.75</v>
      </c>
      <c r="Q315" s="2">
        <f ca="1">IFERROR(__xludf.DUMMYFUNCTION("""COMPUTED_VALUE"""),67.01)</f>
        <v>67.010000000000005</v>
      </c>
    </row>
    <row r="316" spans="1:17" ht="15.75" customHeight="1" x14ac:dyDescent="0.25">
      <c r="A316" s="2">
        <v>6101</v>
      </c>
      <c r="B316" s="2" t="str">
        <f ca="1">IFERROR(__xludf.DUMMYFUNCTION("""COMPUTED_VALUE"""),"KALIMANTAN BARAT")</f>
        <v>KALIMANTAN BARAT</v>
      </c>
      <c r="C316" s="2" t="str">
        <f ca="1">IFERROR(__xludf.DUMMYFUNCTION("""COMPUTED_VALUE"""),"Sambas")</f>
        <v>Sambas</v>
      </c>
      <c r="D316" s="2">
        <f ca="1">IFERROR(__xludf.DUMMYFUNCTION("""COMPUTED_VALUE"""),3.3)</f>
        <v>3.3</v>
      </c>
      <c r="E316" s="2">
        <f ca="1">IFERROR(__xludf.DUMMYFUNCTION("""COMPUTED_VALUE"""),3.48)</f>
        <v>3.48</v>
      </c>
      <c r="F316" s="2">
        <f ca="1">IFERROR(__xludf.DUMMYFUNCTION("""COMPUTED_VALUE"""),3.71)</f>
        <v>3.71</v>
      </c>
      <c r="G316" s="2">
        <f ca="1">IFERROR(__xludf.DUMMYFUNCTION("""COMPUTED_VALUE"""),3.97)</f>
        <v>3.97</v>
      </c>
      <c r="H316" s="2">
        <f ca="1">IFERROR(__xludf.DUMMYFUNCTION("""COMPUTED_VALUE"""),5.08)</f>
        <v>5.08</v>
      </c>
      <c r="I316" s="2">
        <f ca="1">IFERROR(__xludf.DUMMYFUNCTION("""COMPUTED_VALUE"""),5.04)</f>
        <v>5.04</v>
      </c>
      <c r="J316" s="2">
        <f ca="1">IFERROR(__xludf.DUMMYFUNCTION("""COMPUTED_VALUE"""),4.99)</f>
        <v>4.99</v>
      </c>
      <c r="K316" s="2">
        <f ca="1">IFERROR(__xludf.DUMMYFUNCTION("""COMPUTED_VALUE"""),71.53)</f>
        <v>71.53</v>
      </c>
      <c r="L316" s="2">
        <f ca="1">IFERROR(__xludf.DUMMYFUNCTION("""COMPUTED_VALUE"""),71.76)</f>
        <v>71.760000000000005</v>
      </c>
      <c r="M316" s="2">
        <f ca="1">IFERROR(__xludf.DUMMYFUNCTION("""COMPUTED_VALUE"""),74.28)</f>
        <v>74.28</v>
      </c>
      <c r="N316" s="2">
        <f ca="1">IFERROR(__xludf.DUMMYFUNCTION("""COMPUTED_VALUE"""),72.84)</f>
        <v>72.84</v>
      </c>
      <c r="O316" s="2">
        <f ca="1">IFERROR(__xludf.DUMMYFUNCTION("""COMPUTED_VALUE"""),74.12)</f>
        <v>74.12</v>
      </c>
      <c r="P316" s="2">
        <f ca="1">IFERROR(__xludf.DUMMYFUNCTION("""COMPUTED_VALUE"""),72.72)</f>
        <v>72.72</v>
      </c>
      <c r="Q316" s="2">
        <f ca="1">IFERROR(__xludf.DUMMYFUNCTION("""COMPUTED_VALUE"""),72.78)</f>
        <v>72.78</v>
      </c>
    </row>
    <row r="317" spans="1:17" ht="15.75" customHeight="1" x14ac:dyDescent="0.25">
      <c r="A317" s="2">
        <v>6102</v>
      </c>
      <c r="B317" s="2" t="str">
        <f ca="1">IFERROR(__xludf.DUMMYFUNCTION("""COMPUTED_VALUE"""),"KALIMANTAN BARAT")</f>
        <v>KALIMANTAN BARAT</v>
      </c>
      <c r="C317" s="2" t="str">
        <f ca="1">IFERROR(__xludf.DUMMYFUNCTION("""COMPUTED_VALUE"""),"Bengkayang")</f>
        <v>Bengkayang</v>
      </c>
      <c r="D317" s="2">
        <f ca="1">IFERROR(__xludf.DUMMYFUNCTION("""COMPUTED_VALUE"""),2.36)</f>
        <v>2.36</v>
      </c>
      <c r="E317" s="2">
        <f ca="1">IFERROR(__xludf.DUMMYFUNCTION("""COMPUTED_VALUE"""),2.66)</f>
        <v>2.66</v>
      </c>
      <c r="F317" s="2">
        <f ca="1">IFERROR(__xludf.DUMMYFUNCTION("""COMPUTED_VALUE"""),3.91)</f>
        <v>3.91</v>
      </c>
      <c r="G317" s="2">
        <f ca="1">IFERROR(__xludf.DUMMYFUNCTION("""COMPUTED_VALUE"""),4.42)</f>
        <v>4.42</v>
      </c>
      <c r="H317" s="2">
        <f ca="1">IFERROR(__xludf.DUMMYFUNCTION("""COMPUTED_VALUE"""),2.84)</f>
        <v>2.84</v>
      </c>
      <c r="I317" s="2">
        <f ca="1">IFERROR(__xludf.DUMMYFUNCTION("""COMPUTED_VALUE"""),2.92)</f>
        <v>2.92</v>
      </c>
      <c r="J317" s="2">
        <f ca="1">IFERROR(__xludf.DUMMYFUNCTION("""COMPUTED_VALUE"""),2.81)</f>
        <v>2.81</v>
      </c>
      <c r="K317" s="2">
        <f ca="1">IFERROR(__xludf.DUMMYFUNCTION("""COMPUTED_VALUE"""),76.23)</f>
        <v>76.23</v>
      </c>
      <c r="L317" s="2">
        <f ca="1">IFERROR(__xludf.DUMMYFUNCTION("""COMPUTED_VALUE"""),73.47)</f>
        <v>73.47</v>
      </c>
      <c r="M317" s="2">
        <f ca="1">IFERROR(__xludf.DUMMYFUNCTION("""COMPUTED_VALUE"""),75.81)</f>
        <v>75.81</v>
      </c>
      <c r="N317" s="2">
        <f ca="1">IFERROR(__xludf.DUMMYFUNCTION("""COMPUTED_VALUE"""),70.16)</f>
        <v>70.16</v>
      </c>
      <c r="O317" s="2">
        <f ca="1">IFERROR(__xludf.DUMMYFUNCTION("""COMPUTED_VALUE"""),69.95)</f>
        <v>69.95</v>
      </c>
      <c r="P317" s="2">
        <f ca="1">IFERROR(__xludf.DUMMYFUNCTION("""COMPUTED_VALUE"""),72.93)</f>
        <v>72.930000000000007</v>
      </c>
      <c r="Q317" s="2">
        <f ca="1">IFERROR(__xludf.DUMMYFUNCTION("""COMPUTED_VALUE"""),72.48)</f>
        <v>72.48</v>
      </c>
    </row>
    <row r="318" spans="1:17" ht="15.75" customHeight="1" x14ac:dyDescent="0.25">
      <c r="A318" s="2">
        <v>6103</v>
      </c>
      <c r="B318" s="2" t="str">
        <f ca="1">IFERROR(__xludf.DUMMYFUNCTION("""COMPUTED_VALUE"""),"KALIMANTAN BARAT")</f>
        <v>KALIMANTAN BARAT</v>
      </c>
      <c r="C318" s="2" t="str">
        <f ca="1">IFERROR(__xludf.DUMMYFUNCTION("""COMPUTED_VALUE"""),"Landak")</f>
        <v>Landak</v>
      </c>
      <c r="D318" s="2">
        <f ca="1">IFERROR(__xludf.DUMMYFUNCTION("""COMPUTED_VALUE"""),2.23)</f>
        <v>2.23</v>
      </c>
      <c r="E318" s="2">
        <f ca="1">IFERROR(__xludf.DUMMYFUNCTION("""COMPUTED_VALUE"""),2.69)</f>
        <v>2.69</v>
      </c>
      <c r="F318" s="2">
        <f ca="1">IFERROR(__xludf.DUMMYFUNCTION("""COMPUTED_VALUE"""),3.38)</f>
        <v>3.38</v>
      </c>
      <c r="G318" s="2">
        <f ca="1">IFERROR(__xludf.DUMMYFUNCTION("""COMPUTED_VALUE"""),3.22)</f>
        <v>3.22</v>
      </c>
      <c r="H318" s="2">
        <f ca="1">IFERROR(__xludf.DUMMYFUNCTION("""COMPUTED_VALUE"""),1.78)</f>
        <v>1.78</v>
      </c>
      <c r="I318" s="2">
        <f ca="1">IFERROR(__xludf.DUMMYFUNCTION("""COMPUTED_VALUE"""),2.24)</f>
        <v>2.2400000000000002</v>
      </c>
      <c r="J318" s="2">
        <f ca="1">IFERROR(__xludf.DUMMYFUNCTION("""COMPUTED_VALUE"""),2.22)</f>
        <v>2.2200000000000002</v>
      </c>
      <c r="K318" s="2">
        <f ca="1">IFERROR(__xludf.DUMMYFUNCTION("""COMPUTED_VALUE"""),74.7)</f>
        <v>74.7</v>
      </c>
      <c r="L318" s="2">
        <f ca="1">IFERROR(__xludf.DUMMYFUNCTION("""COMPUTED_VALUE"""),68.74)</f>
        <v>68.739999999999995</v>
      </c>
      <c r="M318" s="2">
        <f ca="1">IFERROR(__xludf.DUMMYFUNCTION("""COMPUTED_VALUE"""),71.78)</f>
        <v>71.78</v>
      </c>
      <c r="N318" s="2">
        <f ca="1">IFERROR(__xludf.DUMMYFUNCTION("""COMPUTED_VALUE"""),70.19)</f>
        <v>70.19</v>
      </c>
      <c r="O318" s="2">
        <f ca="1">IFERROR(__xludf.DUMMYFUNCTION("""COMPUTED_VALUE"""),72.29)</f>
        <v>72.290000000000006</v>
      </c>
      <c r="P318" s="2">
        <f ca="1">IFERROR(__xludf.DUMMYFUNCTION("""COMPUTED_VALUE"""),71.13)</f>
        <v>71.13</v>
      </c>
      <c r="Q318" s="2">
        <f ca="1">IFERROR(__xludf.DUMMYFUNCTION("""COMPUTED_VALUE"""),71.83)</f>
        <v>71.83</v>
      </c>
    </row>
    <row r="319" spans="1:17" ht="15.75" customHeight="1" x14ac:dyDescent="0.25">
      <c r="A319" s="2">
        <v>6104</v>
      </c>
      <c r="B319" s="2" t="str">
        <f ca="1">IFERROR(__xludf.DUMMYFUNCTION("""COMPUTED_VALUE"""),"KALIMANTAN BARAT")</f>
        <v>KALIMANTAN BARAT</v>
      </c>
      <c r="C319" s="2" t="str">
        <f ca="1">IFERROR(__xludf.DUMMYFUNCTION("""COMPUTED_VALUE"""),"Mempawah")</f>
        <v>Mempawah</v>
      </c>
      <c r="D319" s="2">
        <f ca="1">IFERROR(__xludf.DUMMYFUNCTION("""COMPUTED_VALUE"""),6.79)</f>
        <v>6.79</v>
      </c>
      <c r="E319" s="2">
        <f ca="1">IFERROR(__xludf.DUMMYFUNCTION("""COMPUTED_VALUE"""),5.11)</f>
        <v>5.1100000000000003</v>
      </c>
      <c r="F319" s="2">
        <f ca="1">IFERROR(__xludf.DUMMYFUNCTION("""COMPUTED_VALUE"""),7.55)</f>
        <v>7.55</v>
      </c>
      <c r="G319" s="2">
        <f ca="1">IFERROR(__xludf.DUMMYFUNCTION("""COMPUTED_VALUE"""),7.71)</f>
        <v>7.71</v>
      </c>
      <c r="H319" s="2">
        <f ca="1">IFERROR(__xludf.DUMMYFUNCTION("""COMPUTED_VALUE"""),7.48)</f>
        <v>7.48</v>
      </c>
      <c r="I319" s="2">
        <f ca="1">IFERROR(__xludf.DUMMYFUNCTION("""COMPUTED_VALUE"""),7.33)</f>
        <v>7.33</v>
      </c>
      <c r="J319" s="2">
        <f ca="1">IFERROR(__xludf.DUMMYFUNCTION("""COMPUTED_VALUE"""),6.78)</f>
        <v>6.78</v>
      </c>
      <c r="K319" s="2">
        <f ca="1">IFERROR(__xludf.DUMMYFUNCTION("""COMPUTED_VALUE"""),65.16)</f>
        <v>65.16</v>
      </c>
      <c r="L319" s="2">
        <f ca="1">IFERROR(__xludf.DUMMYFUNCTION("""COMPUTED_VALUE"""),63.12)</f>
        <v>63.12</v>
      </c>
      <c r="M319" s="2">
        <f ca="1">IFERROR(__xludf.DUMMYFUNCTION("""COMPUTED_VALUE"""),64.14)</f>
        <v>64.14</v>
      </c>
      <c r="N319" s="2">
        <f ca="1">IFERROR(__xludf.DUMMYFUNCTION("""COMPUTED_VALUE"""),60.86)</f>
        <v>60.86</v>
      </c>
      <c r="O319" s="2">
        <f ca="1">IFERROR(__xludf.DUMMYFUNCTION("""COMPUTED_VALUE"""),63.31)</f>
        <v>63.31</v>
      </c>
      <c r="P319" s="2">
        <f ca="1">IFERROR(__xludf.DUMMYFUNCTION("""COMPUTED_VALUE"""),68.27)</f>
        <v>68.27</v>
      </c>
      <c r="Q319" s="2">
        <f ca="1">IFERROR(__xludf.DUMMYFUNCTION("""COMPUTED_VALUE"""),73.07)</f>
        <v>73.069999999999993</v>
      </c>
    </row>
    <row r="320" spans="1:17" ht="15.75" customHeight="1" x14ac:dyDescent="0.25">
      <c r="A320" s="2">
        <v>6105</v>
      </c>
      <c r="B320" s="2" t="str">
        <f ca="1">IFERROR(__xludf.DUMMYFUNCTION("""COMPUTED_VALUE"""),"KALIMANTAN BARAT")</f>
        <v>KALIMANTAN BARAT</v>
      </c>
      <c r="C320" s="2" t="str">
        <f ca="1">IFERROR(__xludf.DUMMYFUNCTION("""COMPUTED_VALUE"""),"Sanggau")</f>
        <v>Sanggau</v>
      </c>
      <c r="D320" s="2">
        <f ca="1">IFERROR(__xludf.DUMMYFUNCTION("""COMPUTED_VALUE"""),2.42)</f>
        <v>2.42</v>
      </c>
      <c r="E320" s="2">
        <f ca="1">IFERROR(__xludf.DUMMYFUNCTION("""COMPUTED_VALUE"""),3)</f>
        <v>3</v>
      </c>
      <c r="F320" s="2">
        <f ca="1">IFERROR(__xludf.DUMMYFUNCTION("""COMPUTED_VALUE"""),3.52)</f>
        <v>3.52</v>
      </c>
      <c r="G320" s="2">
        <f ca="1">IFERROR(__xludf.DUMMYFUNCTION("""COMPUTED_VALUE"""),3.45)</f>
        <v>3.45</v>
      </c>
      <c r="H320" s="2">
        <f ca="1">IFERROR(__xludf.DUMMYFUNCTION("""COMPUTED_VALUE"""),3.76)</f>
        <v>3.76</v>
      </c>
      <c r="I320" s="2">
        <f ca="1">IFERROR(__xludf.DUMMYFUNCTION("""COMPUTED_VALUE"""),3.86)</f>
        <v>3.86</v>
      </c>
      <c r="J320" s="2">
        <f ca="1">IFERROR(__xludf.DUMMYFUNCTION("""COMPUTED_VALUE"""),3.71)</f>
        <v>3.71</v>
      </c>
      <c r="K320" s="2">
        <f ca="1">IFERROR(__xludf.DUMMYFUNCTION("""COMPUTED_VALUE"""),72.8)</f>
        <v>72.8</v>
      </c>
      <c r="L320" s="2">
        <f ca="1">IFERROR(__xludf.DUMMYFUNCTION("""COMPUTED_VALUE"""),69.18)</f>
        <v>69.180000000000007</v>
      </c>
      <c r="M320" s="2">
        <f ca="1">IFERROR(__xludf.DUMMYFUNCTION("""COMPUTED_VALUE"""),70.38)</f>
        <v>70.38</v>
      </c>
      <c r="N320" s="2">
        <f ca="1">IFERROR(__xludf.DUMMYFUNCTION("""COMPUTED_VALUE"""),69.41)</f>
        <v>69.41</v>
      </c>
      <c r="O320" s="2">
        <f ca="1">IFERROR(__xludf.DUMMYFUNCTION("""COMPUTED_VALUE"""),70.27)</f>
        <v>70.27</v>
      </c>
      <c r="P320" s="2">
        <f ca="1">IFERROR(__xludf.DUMMYFUNCTION("""COMPUTED_VALUE"""),70.31)</f>
        <v>70.31</v>
      </c>
      <c r="Q320" s="2">
        <f ca="1">IFERROR(__xludf.DUMMYFUNCTION("""COMPUTED_VALUE"""),71.69)</f>
        <v>71.69</v>
      </c>
    </row>
    <row r="321" spans="1:17" ht="15.75" customHeight="1" x14ac:dyDescent="0.25">
      <c r="A321" s="2">
        <v>6106</v>
      </c>
      <c r="B321" s="2" t="str">
        <f ca="1">IFERROR(__xludf.DUMMYFUNCTION("""COMPUTED_VALUE"""),"KALIMANTAN BARAT")</f>
        <v>KALIMANTAN BARAT</v>
      </c>
      <c r="C321" s="2" t="str">
        <f ca="1">IFERROR(__xludf.DUMMYFUNCTION("""COMPUTED_VALUE"""),"Ketapang")</f>
        <v>Ketapang</v>
      </c>
      <c r="D321" s="2">
        <f ca="1">IFERROR(__xludf.DUMMYFUNCTION("""COMPUTED_VALUE"""),3.17)</f>
        <v>3.17</v>
      </c>
      <c r="E321" s="2">
        <f ca="1">IFERROR(__xludf.DUMMYFUNCTION("""COMPUTED_VALUE"""),4.39)</f>
        <v>4.3899999999999997</v>
      </c>
      <c r="F321" s="2">
        <f ca="1">IFERROR(__xludf.DUMMYFUNCTION("""COMPUTED_VALUE"""),7.3)</f>
        <v>7.3</v>
      </c>
      <c r="G321" s="2">
        <f ca="1">IFERROR(__xludf.DUMMYFUNCTION("""COMPUTED_VALUE"""),6.94)</f>
        <v>6.94</v>
      </c>
      <c r="H321" s="2">
        <f ca="1">IFERROR(__xludf.DUMMYFUNCTION("""COMPUTED_VALUE"""),6.71)</f>
        <v>6.71</v>
      </c>
      <c r="I321" s="2">
        <f ca="1">IFERROR(__xludf.DUMMYFUNCTION("""COMPUTED_VALUE"""),6.57)</f>
        <v>6.57</v>
      </c>
      <c r="J321" s="2">
        <f ca="1">IFERROR(__xludf.DUMMYFUNCTION("""COMPUTED_VALUE"""),6.36)</f>
        <v>6.36</v>
      </c>
      <c r="K321" s="2">
        <f ca="1">IFERROR(__xludf.DUMMYFUNCTION("""COMPUTED_VALUE"""),66.39)</f>
        <v>66.39</v>
      </c>
      <c r="L321" s="2">
        <f ca="1">IFERROR(__xludf.DUMMYFUNCTION("""COMPUTED_VALUE"""),65.53)</f>
        <v>65.53</v>
      </c>
      <c r="M321" s="2">
        <f ca="1">IFERROR(__xludf.DUMMYFUNCTION("""COMPUTED_VALUE"""),60.75)</f>
        <v>60.75</v>
      </c>
      <c r="N321" s="2">
        <f ca="1">IFERROR(__xludf.DUMMYFUNCTION("""COMPUTED_VALUE"""),64.44)</f>
        <v>64.44</v>
      </c>
      <c r="O321" s="2">
        <f ca="1">IFERROR(__xludf.DUMMYFUNCTION("""COMPUTED_VALUE"""),60.57)</f>
        <v>60.57</v>
      </c>
      <c r="P321" s="2">
        <f ca="1">IFERROR(__xludf.DUMMYFUNCTION("""COMPUTED_VALUE"""),66.48)</f>
        <v>66.48</v>
      </c>
      <c r="Q321" s="2">
        <f ca="1">IFERROR(__xludf.DUMMYFUNCTION("""COMPUTED_VALUE"""),66.73)</f>
        <v>66.73</v>
      </c>
    </row>
    <row r="322" spans="1:17" ht="15.75" customHeight="1" x14ac:dyDescent="0.25">
      <c r="A322" s="2">
        <v>6107</v>
      </c>
      <c r="B322" s="2" t="str">
        <f ca="1">IFERROR(__xludf.DUMMYFUNCTION("""COMPUTED_VALUE"""),"KALIMANTAN BARAT")</f>
        <v>KALIMANTAN BARAT</v>
      </c>
      <c r="C322" s="2" t="str">
        <f ca="1">IFERROR(__xludf.DUMMYFUNCTION("""COMPUTED_VALUE"""),"Sintang")</f>
        <v>Sintang</v>
      </c>
      <c r="D322" s="2">
        <f ca="1">IFERROR(__xludf.DUMMYFUNCTION("""COMPUTED_VALUE"""),2.28)</f>
        <v>2.2799999999999998</v>
      </c>
      <c r="E322" s="2">
        <f ca="1">IFERROR(__xludf.DUMMYFUNCTION("""COMPUTED_VALUE"""),3.1)</f>
        <v>3.1</v>
      </c>
      <c r="F322" s="2">
        <f ca="1">IFERROR(__xludf.DUMMYFUNCTION("""COMPUTED_VALUE"""),4.5)</f>
        <v>4.5</v>
      </c>
      <c r="G322" s="2">
        <f ca="1">IFERROR(__xludf.DUMMYFUNCTION("""COMPUTED_VALUE"""),3.95)</f>
        <v>3.95</v>
      </c>
      <c r="H322" s="2">
        <f ca="1">IFERROR(__xludf.DUMMYFUNCTION("""COMPUTED_VALUE"""),2.97)</f>
        <v>2.97</v>
      </c>
      <c r="I322" s="2">
        <f ca="1">IFERROR(__xludf.DUMMYFUNCTION("""COMPUTED_VALUE"""),2.92)</f>
        <v>2.92</v>
      </c>
      <c r="J322" s="2">
        <f ca="1">IFERROR(__xludf.DUMMYFUNCTION("""COMPUTED_VALUE"""),2.85)</f>
        <v>2.85</v>
      </c>
      <c r="K322" s="2">
        <f ca="1">IFERROR(__xludf.DUMMYFUNCTION("""COMPUTED_VALUE"""),71.85)</f>
        <v>71.849999999999994</v>
      </c>
      <c r="L322" s="2">
        <f ca="1">IFERROR(__xludf.DUMMYFUNCTION("""COMPUTED_VALUE"""),72.01)</f>
        <v>72.010000000000005</v>
      </c>
      <c r="M322" s="2">
        <f ca="1">IFERROR(__xludf.DUMMYFUNCTION("""COMPUTED_VALUE"""),75.57)</f>
        <v>75.569999999999993</v>
      </c>
      <c r="N322" s="2">
        <f ca="1">IFERROR(__xludf.DUMMYFUNCTION("""COMPUTED_VALUE"""),77.78)</f>
        <v>77.78</v>
      </c>
      <c r="O322" s="2">
        <f ca="1">IFERROR(__xludf.DUMMYFUNCTION("""COMPUTED_VALUE"""),73.14)</f>
        <v>73.14</v>
      </c>
      <c r="P322" s="2">
        <f ca="1">IFERROR(__xludf.DUMMYFUNCTION("""COMPUTED_VALUE"""),74.12)</f>
        <v>74.12</v>
      </c>
      <c r="Q322" s="2">
        <f ca="1">IFERROR(__xludf.DUMMYFUNCTION("""COMPUTED_VALUE"""),74.96)</f>
        <v>74.959999999999994</v>
      </c>
    </row>
    <row r="323" spans="1:17" ht="15.75" customHeight="1" x14ac:dyDescent="0.25">
      <c r="A323" s="2">
        <v>6108</v>
      </c>
      <c r="B323" s="2" t="str">
        <f ca="1">IFERROR(__xludf.DUMMYFUNCTION("""COMPUTED_VALUE"""),"KALIMANTAN BARAT")</f>
        <v>KALIMANTAN BARAT</v>
      </c>
      <c r="C323" s="2" t="str">
        <f ca="1">IFERROR(__xludf.DUMMYFUNCTION("""COMPUTED_VALUE"""),"Kapuas Hulu")</f>
        <v>Kapuas Hulu</v>
      </c>
      <c r="D323" s="2">
        <f ca="1">IFERROR(__xludf.DUMMYFUNCTION("""COMPUTED_VALUE"""),1.54)</f>
        <v>1.54</v>
      </c>
      <c r="E323" s="2">
        <f ca="1">IFERROR(__xludf.DUMMYFUNCTION("""COMPUTED_VALUE"""),2.43)</f>
        <v>2.4300000000000002</v>
      </c>
      <c r="F323" s="2">
        <f ca="1">IFERROR(__xludf.DUMMYFUNCTION("""COMPUTED_VALUE"""),4.02)</f>
        <v>4.0199999999999996</v>
      </c>
      <c r="G323" s="2">
        <f ca="1">IFERROR(__xludf.DUMMYFUNCTION("""COMPUTED_VALUE"""),4.18)</f>
        <v>4.18</v>
      </c>
      <c r="H323" s="2">
        <f ca="1">IFERROR(__xludf.DUMMYFUNCTION("""COMPUTED_VALUE"""),2.21)</f>
        <v>2.21</v>
      </c>
      <c r="I323" s="2">
        <f ca="1">IFERROR(__xludf.DUMMYFUNCTION("""COMPUTED_VALUE"""),2.19)</f>
        <v>2.19</v>
      </c>
      <c r="J323" s="2">
        <f ca="1">IFERROR(__xludf.DUMMYFUNCTION("""COMPUTED_VALUE"""),2.18)</f>
        <v>2.1800000000000002</v>
      </c>
      <c r="K323" s="2">
        <f ca="1">IFERROR(__xludf.DUMMYFUNCTION("""COMPUTED_VALUE"""),76.14)</f>
        <v>76.14</v>
      </c>
      <c r="L323" s="2">
        <f ca="1">IFERROR(__xludf.DUMMYFUNCTION("""COMPUTED_VALUE"""),77.22)</f>
        <v>77.22</v>
      </c>
      <c r="M323" s="2">
        <f ca="1">IFERROR(__xludf.DUMMYFUNCTION("""COMPUTED_VALUE"""),74.09)</f>
        <v>74.09</v>
      </c>
      <c r="N323" s="2">
        <f ca="1">IFERROR(__xludf.DUMMYFUNCTION("""COMPUTED_VALUE"""),72.35)</f>
        <v>72.349999999999994</v>
      </c>
      <c r="O323" s="2">
        <f ca="1">IFERROR(__xludf.DUMMYFUNCTION("""COMPUTED_VALUE"""),77.68)</f>
        <v>77.680000000000007</v>
      </c>
      <c r="P323" s="2">
        <f ca="1">IFERROR(__xludf.DUMMYFUNCTION("""COMPUTED_VALUE"""),72.28)</f>
        <v>72.28</v>
      </c>
      <c r="Q323" s="2">
        <f ca="1">IFERROR(__xludf.DUMMYFUNCTION("""COMPUTED_VALUE"""),76.02)</f>
        <v>76.02</v>
      </c>
    </row>
    <row r="324" spans="1:17" ht="15.75" customHeight="1" x14ac:dyDescent="0.25">
      <c r="A324" s="2">
        <v>6109</v>
      </c>
      <c r="B324" s="2" t="str">
        <f ca="1">IFERROR(__xludf.DUMMYFUNCTION("""COMPUTED_VALUE"""),"KALIMANTAN BARAT")</f>
        <v>KALIMANTAN BARAT</v>
      </c>
      <c r="C324" s="2" t="str">
        <f ca="1">IFERROR(__xludf.DUMMYFUNCTION("""COMPUTED_VALUE"""),"Sekadau")</f>
        <v>Sekadau</v>
      </c>
      <c r="D324" s="2">
        <f ca="1">IFERROR(__xludf.DUMMYFUNCTION("""COMPUTED_VALUE"""),2.75)</f>
        <v>2.75</v>
      </c>
      <c r="E324" s="2">
        <f ca="1">IFERROR(__xludf.DUMMYFUNCTION("""COMPUTED_VALUE"""),3.04)</f>
        <v>3.04</v>
      </c>
      <c r="F324" s="2">
        <f ca="1">IFERROR(__xludf.DUMMYFUNCTION("""COMPUTED_VALUE"""),3.39)</f>
        <v>3.39</v>
      </c>
      <c r="G324" s="2">
        <f ca="1">IFERROR(__xludf.DUMMYFUNCTION("""COMPUTED_VALUE"""),2.92)</f>
        <v>2.92</v>
      </c>
      <c r="H324" s="2">
        <f ca="1">IFERROR(__xludf.DUMMYFUNCTION("""COMPUTED_VALUE"""),1.33)</f>
        <v>1.33</v>
      </c>
      <c r="I324" s="2">
        <f ca="1">IFERROR(__xludf.DUMMYFUNCTION("""COMPUTED_VALUE"""),2.29)</f>
        <v>2.29</v>
      </c>
      <c r="J324" s="2">
        <f ca="1">IFERROR(__xludf.DUMMYFUNCTION("""COMPUTED_VALUE"""),2.24)</f>
        <v>2.2400000000000002</v>
      </c>
      <c r="K324" s="2">
        <f ca="1">IFERROR(__xludf.DUMMYFUNCTION("""COMPUTED_VALUE"""),76.64)</f>
        <v>76.64</v>
      </c>
      <c r="L324" s="2">
        <f ca="1">IFERROR(__xludf.DUMMYFUNCTION("""COMPUTED_VALUE"""),77.38)</f>
        <v>77.38</v>
      </c>
      <c r="M324" s="2">
        <f ca="1">IFERROR(__xludf.DUMMYFUNCTION("""COMPUTED_VALUE"""),77.53)</f>
        <v>77.53</v>
      </c>
      <c r="N324" s="2">
        <f ca="1">IFERROR(__xludf.DUMMYFUNCTION("""COMPUTED_VALUE"""),71.98)</f>
        <v>71.98</v>
      </c>
      <c r="O324" s="2">
        <f ca="1">IFERROR(__xludf.DUMMYFUNCTION("""COMPUTED_VALUE"""),74.31)</f>
        <v>74.31</v>
      </c>
      <c r="P324" s="2">
        <f ca="1">IFERROR(__xludf.DUMMYFUNCTION("""COMPUTED_VALUE"""),73.77)</f>
        <v>73.77</v>
      </c>
      <c r="Q324" s="2">
        <f ca="1">IFERROR(__xludf.DUMMYFUNCTION("""COMPUTED_VALUE"""),76.65)</f>
        <v>76.650000000000006</v>
      </c>
    </row>
    <row r="325" spans="1:17" ht="15.75" customHeight="1" x14ac:dyDescent="0.25">
      <c r="A325" s="2">
        <v>6110</v>
      </c>
      <c r="B325" s="2" t="str">
        <f ca="1">IFERROR(__xludf.DUMMYFUNCTION("""COMPUTED_VALUE"""),"KALIMANTAN BARAT")</f>
        <v>KALIMANTAN BARAT</v>
      </c>
      <c r="C325" s="2" t="str">
        <f ca="1">IFERROR(__xludf.DUMMYFUNCTION("""COMPUTED_VALUE"""),"Melawi")</f>
        <v>Melawi</v>
      </c>
      <c r="D325" s="2">
        <f ca="1">IFERROR(__xludf.DUMMYFUNCTION("""COMPUTED_VALUE"""),3.05)</f>
        <v>3.05</v>
      </c>
      <c r="E325" s="2">
        <f ca="1">IFERROR(__xludf.DUMMYFUNCTION("""COMPUTED_VALUE"""),2.39)</f>
        <v>2.39</v>
      </c>
      <c r="F325" s="2">
        <f ca="1">IFERROR(__xludf.DUMMYFUNCTION("""COMPUTED_VALUE"""),2.7)</f>
        <v>2.7</v>
      </c>
      <c r="G325" s="2">
        <f ca="1">IFERROR(__xludf.DUMMYFUNCTION("""COMPUTED_VALUE"""),2.66)</f>
        <v>2.66</v>
      </c>
      <c r="H325" s="2">
        <f ca="1">IFERROR(__xludf.DUMMYFUNCTION("""COMPUTED_VALUE"""),1.95)</f>
        <v>1.95</v>
      </c>
      <c r="I325" s="2">
        <f ca="1">IFERROR(__xludf.DUMMYFUNCTION("""COMPUTED_VALUE"""),2.46)</f>
        <v>2.46</v>
      </c>
      <c r="J325" s="2">
        <f ca="1">IFERROR(__xludf.DUMMYFUNCTION("""COMPUTED_VALUE"""),2.41)</f>
        <v>2.41</v>
      </c>
      <c r="K325" s="2">
        <f ca="1">IFERROR(__xludf.DUMMYFUNCTION("""COMPUTED_VALUE"""),73.75)</f>
        <v>73.75</v>
      </c>
      <c r="L325" s="2">
        <f ca="1">IFERROR(__xludf.DUMMYFUNCTION("""COMPUTED_VALUE"""),74.57)</f>
        <v>74.569999999999993</v>
      </c>
      <c r="M325" s="2">
        <f ca="1">IFERROR(__xludf.DUMMYFUNCTION("""COMPUTED_VALUE"""),73.93)</f>
        <v>73.930000000000007</v>
      </c>
      <c r="N325" s="2">
        <f ca="1">IFERROR(__xludf.DUMMYFUNCTION("""COMPUTED_VALUE"""),72.31)</f>
        <v>72.31</v>
      </c>
      <c r="O325" s="2">
        <f ca="1">IFERROR(__xludf.DUMMYFUNCTION("""COMPUTED_VALUE"""),74.41)</f>
        <v>74.41</v>
      </c>
      <c r="P325" s="2">
        <f ca="1">IFERROR(__xludf.DUMMYFUNCTION("""COMPUTED_VALUE"""),73.73)</f>
        <v>73.73</v>
      </c>
      <c r="Q325" s="2">
        <f ca="1">IFERROR(__xludf.DUMMYFUNCTION("""COMPUTED_VALUE"""),75.07)</f>
        <v>75.069999999999993</v>
      </c>
    </row>
    <row r="326" spans="1:17" ht="15.75" customHeight="1" x14ac:dyDescent="0.25">
      <c r="A326" s="2">
        <v>6111</v>
      </c>
      <c r="B326" s="2" t="str">
        <f ca="1">IFERROR(__xludf.DUMMYFUNCTION("""COMPUTED_VALUE"""),"KALIMANTAN BARAT")</f>
        <v>KALIMANTAN BARAT</v>
      </c>
      <c r="C326" s="2" t="str">
        <f ca="1">IFERROR(__xludf.DUMMYFUNCTION("""COMPUTED_VALUE"""),"Kayong Utara")</f>
        <v>Kayong Utara</v>
      </c>
      <c r="D326" s="2">
        <f ca="1">IFERROR(__xludf.DUMMYFUNCTION("""COMPUTED_VALUE"""),3.86)</f>
        <v>3.86</v>
      </c>
      <c r="E326" s="2">
        <f ca="1">IFERROR(__xludf.DUMMYFUNCTION("""COMPUTED_VALUE"""),3.89)</f>
        <v>3.89</v>
      </c>
      <c r="F326" s="2">
        <f ca="1">IFERROR(__xludf.DUMMYFUNCTION("""COMPUTED_VALUE"""),3.71)</f>
        <v>3.71</v>
      </c>
      <c r="G326" s="2">
        <f ca="1">IFERROR(__xludf.DUMMYFUNCTION("""COMPUTED_VALUE"""),3.78)</f>
        <v>3.78</v>
      </c>
      <c r="H326" s="2">
        <f ca="1">IFERROR(__xludf.DUMMYFUNCTION("""COMPUTED_VALUE"""),3.1)</f>
        <v>3.1</v>
      </c>
      <c r="I326" s="2">
        <f ca="1">IFERROR(__xludf.DUMMYFUNCTION("""COMPUTED_VALUE"""),3.04)</f>
        <v>3.04</v>
      </c>
      <c r="J326" s="2">
        <f ca="1">IFERROR(__xludf.DUMMYFUNCTION("""COMPUTED_VALUE"""),3.02)</f>
        <v>3.02</v>
      </c>
      <c r="K326" s="2">
        <f ca="1">IFERROR(__xludf.DUMMYFUNCTION("""COMPUTED_VALUE"""),65.82)</f>
        <v>65.819999999999993</v>
      </c>
      <c r="L326" s="2">
        <f ca="1">IFERROR(__xludf.DUMMYFUNCTION("""COMPUTED_VALUE"""),66.43)</f>
        <v>66.430000000000007</v>
      </c>
      <c r="M326" s="2">
        <f ca="1">IFERROR(__xludf.DUMMYFUNCTION("""COMPUTED_VALUE"""),65.53)</f>
        <v>65.53</v>
      </c>
      <c r="N326" s="2">
        <f ca="1">IFERROR(__xludf.DUMMYFUNCTION("""COMPUTED_VALUE"""),65.53)</f>
        <v>65.53</v>
      </c>
      <c r="O326" s="2">
        <f ca="1">IFERROR(__xludf.DUMMYFUNCTION("""COMPUTED_VALUE"""),70.02)</f>
        <v>70.02</v>
      </c>
      <c r="P326" s="2">
        <f ca="1">IFERROR(__xludf.DUMMYFUNCTION("""COMPUTED_VALUE"""),72.54)</f>
        <v>72.540000000000006</v>
      </c>
      <c r="Q326" s="2">
        <f ca="1">IFERROR(__xludf.DUMMYFUNCTION("""COMPUTED_VALUE"""),71.7)</f>
        <v>71.7</v>
      </c>
    </row>
    <row r="327" spans="1:17" ht="15.75" customHeight="1" x14ac:dyDescent="0.25">
      <c r="A327" s="2">
        <v>6112</v>
      </c>
      <c r="B327" s="2" t="str">
        <f ca="1">IFERROR(__xludf.DUMMYFUNCTION("""COMPUTED_VALUE"""),"KALIMANTAN BARAT")</f>
        <v>KALIMANTAN BARAT</v>
      </c>
      <c r="C327" s="2" t="str">
        <f ca="1">IFERROR(__xludf.DUMMYFUNCTION("""COMPUTED_VALUE"""),"Kubu Raya")</f>
        <v>Kubu Raya</v>
      </c>
      <c r="D327" s="2">
        <f ca="1">IFERROR(__xludf.DUMMYFUNCTION("""COMPUTED_VALUE"""),4.94)</f>
        <v>4.9400000000000004</v>
      </c>
      <c r="E327" s="2">
        <f ca="1">IFERROR(__xludf.DUMMYFUNCTION("""COMPUTED_VALUE"""),5.5)</f>
        <v>5.5</v>
      </c>
      <c r="F327" s="2">
        <f ca="1">IFERROR(__xludf.DUMMYFUNCTION("""COMPUTED_VALUE"""),7.14)</f>
        <v>7.14</v>
      </c>
      <c r="G327" s="2">
        <f ca="1">IFERROR(__xludf.DUMMYFUNCTION("""COMPUTED_VALUE"""),7.02)</f>
        <v>7.02</v>
      </c>
      <c r="H327" s="2">
        <f ca="1">IFERROR(__xludf.DUMMYFUNCTION("""COMPUTED_VALUE"""),6.87)</f>
        <v>6.87</v>
      </c>
      <c r="I327" s="2">
        <f ca="1">IFERROR(__xludf.DUMMYFUNCTION("""COMPUTED_VALUE"""),6.76)</f>
        <v>6.76</v>
      </c>
      <c r="J327" s="2">
        <f ca="1">IFERROR(__xludf.DUMMYFUNCTION("""COMPUTED_VALUE"""),6.73)</f>
        <v>6.73</v>
      </c>
      <c r="K327" s="2">
        <f ca="1">IFERROR(__xludf.DUMMYFUNCTION("""COMPUTED_VALUE"""),62.45)</f>
        <v>62.45</v>
      </c>
      <c r="L327" s="2">
        <f ca="1">IFERROR(__xludf.DUMMYFUNCTION("""COMPUTED_VALUE"""),64.86)</f>
        <v>64.86</v>
      </c>
      <c r="M327" s="2">
        <f ca="1">IFERROR(__xludf.DUMMYFUNCTION("""COMPUTED_VALUE"""),67.71)</f>
        <v>67.709999999999994</v>
      </c>
      <c r="N327" s="2">
        <f ca="1">IFERROR(__xludf.DUMMYFUNCTION("""COMPUTED_VALUE"""),67.47)</f>
        <v>67.47</v>
      </c>
      <c r="O327" s="2">
        <f ca="1">IFERROR(__xludf.DUMMYFUNCTION("""COMPUTED_VALUE"""),64.66)</f>
        <v>64.66</v>
      </c>
      <c r="P327" s="2">
        <f ca="1">IFERROR(__xludf.DUMMYFUNCTION("""COMPUTED_VALUE"""),65.28)</f>
        <v>65.28</v>
      </c>
      <c r="Q327" s="2">
        <f ca="1">IFERROR(__xludf.DUMMYFUNCTION("""COMPUTED_VALUE"""),65.83)</f>
        <v>65.83</v>
      </c>
    </row>
    <row r="328" spans="1:17" ht="15.75" customHeight="1" x14ac:dyDescent="0.25">
      <c r="A328" s="2">
        <v>6171</v>
      </c>
      <c r="B328" s="2" t="str">
        <f ca="1">IFERROR(__xludf.DUMMYFUNCTION("""COMPUTED_VALUE"""),"KALIMANTAN BARAT")</f>
        <v>KALIMANTAN BARAT</v>
      </c>
      <c r="C328" s="2" t="str">
        <f ca="1">IFERROR(__xludf.DUMMYFUNCTION("""COMPUTED_VALUE"""),"Kota Pontianak")</f>
        <v>Kota Pontianak</v>
      </c>
      <c r="D328" s="2">
        <f ca="1">IFERROR(__xludf.DUMMYFUNCTION("""COMPUTED_VALUE"""),10.21)</f>
        <v>10.210000000000001</v>
      </c>
      <c r="E328" s="2">
        <f ca="1">IFERROR(__xludf.DUMMYFUNCTION("""COMPUTED_VALUE"""),9.06)</f>
        <v>9.06</v>
      </c>
      <c r="F328" s="2">
        <f ca="1">IFERROR(__xludf.DUMMYFUNCTION("""COMPUTED_VALUE"""),12.36)</f>
        <v>12.36</v>
      </c>
      <c r="G328" s="2">
        <f ca="1">IFERROR(__xludf.DUMMYFUNCTION("""COMPUTED_VALUE"""),12.38)</f>
        <v>12.38</v>
      </c>
      <c r="H328" s="2">
        <f ca="1">IFERROR(__xludf.DUMMYFUNCTION("""COMPUTED_VALUE"""),9.92)</f>
        <v>9.92</v>
      </c>
      <c r="I328" s="2">
        <f ca="1">IFERROR(__xludf.DUMMYFUNCTION("""COMPUTED_VALUE"""),8.92)</f>
        <v>8.92</v>
      </c>
      <c r="J328" s="2">
        <f ca="1">IFERROR(__xludf.DUMMYFUNCTION("""COMPUTED_VALUE"""),8.29)</f>
        <v>8.2899999999999991</v>
      </c>
      <c r="K328" s="2">
        <f ca="1">IFERROR(__xludf.DUMMYFUNCTION("""COMPUTED_VALUE"""),61.26)</f>
        <v>61.26</v>
      </c>
      <c r="L328" s="2">
        <f ca="1">IFERROR(__xludf.DUMMYFUNCTION("""COMPUTED_VALUE"""),61.75)</f>
        <v>61.75</v>
      </c>
      <c r="M328" s="2">
        <f ca="1">IFERROR(__xludf.DUMMYFUNCTION("""COMPUTED_VALUE"""),60.05)</f>
        <v>60.05</v>
      </c>
      <c r="N328" s="2">
        <f ca="1">IFERROR(__xludf.DUMMYFUNCTION("""COMPUTED_VALUE"""),61.94)</f>
        <v>61.94</v>
      </c>
      <c r="O328" s="2">
        <f ca="1">IFERROR(__xludf.DUMMYFUNCTION("""COMPUTED_VALUE"""),64.82)</f>
        <v>64.819999999999993</v>
      </c>
      <c r="P328" s="2">
        <f ca="1">IFERROR(__xludf.DUMMYFUNCTION("""COMPUTED_VALUE"""),63.47)</f>
        <v>63.47</v>
      </c>
      <c r="Q328" s="2">
        <f ca="1">IFERROR(__xludf.DUMMYFUNCTION("""COMPUTED_VALUE"""),64.53)</f>
        <v>64.53</v>
      </c>
    </row>
    <row r="329" spans="1:17" ht="15.75" customHeight="1" x14ac:dyDescent="0.25">
      <c r="A329" s="2">
        <v>6172</v>
      </c>
      <c r="B329" s="2" t="str">
        <f ca="1">IFERROR(__xludf.DUMMYFUNCTION("""COMPUTED_VALUE"""),"KALIMANTAN BARAT")</f>
        <v>KALIMANTAN BARAT</v>
      </c>
      <c r="C329" s="2" t="str">
        <f ca="1">IFERROR(__xludf.DUMMYFUNCTION("""COMPUTED_VALUE"""),"Kota Singkawang")</f>
        <v>Kota Singkawang</v>
      </c>
      <c r="D329" s="2">
        <f ca="1">IFERROR(__xludf.DUMMYFUNCTION("""COMPUTED_VALUE"""),7.75)</f>
        <v>7.75</v>
      </c>
      <c r="E329" s="2">
        <f ca="1">IFERROR(__xludf.DUMMYFUNCTION("""COMPUTED_VALUE"""),6.31)</f>
        <v>6.31</v>
      </c>
      <c r="F329" s="2">
        <f ca="1">IFERROR(__xludf.DUMMYFUNCTION("""COMPUTED_VALUE"""),8.78)</f>
        <v>8.7799999999999994</v>
      </c>
      <c r="G329" s="2">
        <f ca="1">IFERROR(__xludf.DUMMYFUNCTION("""COMPUTED_VALUE"""),9.16)</f>
        <v>9.16</v>
      </c>
      <c r="H329" s="2">
        <f ca="1">IFERROR(__xludf.DUMMYFUNCTION("""COMPUTED_VALUE"""),8.63)</f>
        <v>8.6300000000000008</v>
      </c>
      <c r="I329" s="2">
        <f ca="1">IFERROR(__xludf.DUMMYFUNCTION("""COMPUTED_VALUE"""),8.51)</f>
        <v>8.51</v>
      </c>
      <c r="J329" s="2">
        <f ca="1">IFERROR(__xludf.DUMMYFUNCTION("""COMPUTED_VALUE"""),7.92)</f>
        <v>7.92</v>
      </c>
      <c r="K329" s="2">
        <f ca="1">IFERROR(__xludf.DUMMYFUNCTION("""COMPUTED_VALUE"""),61.19)</f>
        <v>61.19</v>
      </c>
      <c r="L329" s="2">
        <f ca="1">IFERROR(__xludf.DUMMYFUNCTION("""COMPUTED_VALUE"""),67.04)</f>
        <v>67.040000000000006</v>
      </c>
      <c r="M329" s="2">
        <f ca="1">IFERROR(__xludf.DUMMYFUNCTION("""COMPUTED_VALUE"""),63.84)</f>
        <v>63.84</v>
      </c>
      <c r="N329" s="2">
        <f ca="1">IFERROR(__xludf.DUMMYFUNCTION("""COMPUTED_VALUE"""),64.31)</f>
        <v>64.31</v>
      </c>
      <c r="O329" s="2">
        <f ca="1">IFERROR(__xludf.DUMMYFUNCTION("""COMPUTED_VALUE"""),68.86)</f>
        <v>68.86</v>
      </c>
      <c r="P329" s="2">
        <f ca="1">IFERROR(__xludf.DUMMYFUNCTION("""COMPUTED_VALUE"""),66.6)</f>
        <v>66.599999999999994</v>
      </c>
      <c r="Q329" s="2">
        <f ca="1">IFERROR(__xludf.DUMMYFUNCTION("""COMPUTED_VALUE"""),66.12)</f>
        <v>66.12</v>
      </c>
    </row>
    <row r="330" spans="1:17" ht="15.75" customHeight="1" x14ac:dyDescent="0.25">
      <c r="A330" s="2">
        <v>6201</v>
      </c>
      <c r="B330" s="2" t="str">
        <f ca="1">IFERROR(__xludf.DUMMYFUNCTION("""COMPUTED_VALUE"""),"KALIMANTAN TENGAH")</f>
        <v>KALIMANTAN TENGAH</v>
      </c>
      <c r="C330" s="2" t="str">
        <f ca="1">IFERROR(__xludf.DUMMYFUNCTION("""COMPUTED_VALUE"""),"Kotawaringin Barat")</f>
        <v>Kotawaringin Barat</v>
      </c>
      <c r="D330" s="2">
        <f ca="1">IFERROR(__xludf.DUMMYFUNCTION("""COMPUTED_VALUE"""),2.88)</f>
        <v>2.88</v>
      </c>
      <c r="E330" s="2">
        <f ca="1">IFERROR(__xludf.DUMMYFUNCTION("""COMPUTED_VALUE"""),2.58)</f>
        <v>2.58</v>
      </c>
      <c r="F330" s="2">
        <f ca="1">IFERROR(__xludf.DUMMYFUNCTION("""COMPUTED_VALUE"""),4.76)</f>
        <v>4.76</v>
      </c>
      <c r="G330" s="2">
        <f ca="1">IFERROR(__xludf.DUMMYFUNCTION("""COMPUTED_VALUE"""),4.7)</f>
        <v>4.7</v>
      </c>
      <c r="H330" s="2">
        <f ca="1">IFERROR(__xludf.DUMMYFUNCTION("""COMPUTED_VALUE"""),4.51)</f>
        <v>4.51</v>
      </c>
      <c r="I330" s="2">
        <f ca="1">IFERROR(__xludf.DUMMYFUNCTION("""COMPUTED_VALUE"""),4.45)</f>
        <v>4.45</v>
      </c>
      <c r="J330" s="2">
        <f ca="1">IFERROR(__xludf.DUMMYFUNCTION("""COMPUTED_VALUE"""),4.42)</f>
        <v>4.42</v>
      </c>
      <c r="K330" s="2">
        <f ca="1">IFERROR(__xludf.DUMMYFUNCTION("""COMPUTED_VALUE"""),72.06)</f>
        <v>72.06</v>
      </c>
      <c r="L330" s="2">
        <f ca="1">IFERROR(__xludf.DUMMYFUNCTION("""COMPUTED_VALUE"""),73.16)</f>
        <v>73.16</v>
      </c>
      <c r="M330" s="2">
        <f ca="1">IFERROR(__xludf.DUMMYFUNCTION("""COMPUTED_VALUE"""),73.01)</f>
        <v>73.010000000000005</v>
      </c>
      <c r="N330" s="2">
        <f ca="1">IFERROR(__xludf.DUMMYFUNCTION("""COMPUTED_VALUE"""),70.01)</f>
        <v>70.010000000000005</v>
      </c>
      <c r="O330" s="2">
        <f ca="1">IFERROR(__xludf.DUMMYFUNCTION("""COMPUTED_VALUE"""),68.63)</f>
        <v>68.63</v>
      </c>
      <c r="P330" s="2">
        <f ca="1">IFERROR(__xludf.DUMMYFUNCTION("""COMPUTED_VALUE"""),67.17)</f>
        <v>67.17</v>
      </c>
      <c r="Q330" s="2">
        <f ca="1">IFERROR(__xludf.DUMMYFUNCTION("""COMPUTED_VALUE"""),69.1)</f>
        <v>69.099999999999994</v>
      </c>
    </row>
    <row r="331" spans="1:17" ht="15.75" customHeight="1" x14ac:dyDescent="0.25">
      <c r="A331" s="2">
        <v>6202</v>
      </c>
      <c r="B331" s="2" t="str">
        <f ca="1">IFERROR(__xludf.DUMMYFUNCTION("""COMPUTED_VALUE"""),"KALIMANTAN TENGAH")</f>
        <v>KALIMANTAN TENGAH</v>
      </c>
      <c r="C331" s="2" t="str">
        <f ca="1">IFERROR(__xludf.DUMMYFUNCTION("""COMPUTED_VALUE"""),"Kotawaringin Timur")</f>
        <v>Kotawaringin Timur</v>
      </c>
      <c r="D331" s="2">
        <f ca="1">IFERROR(__xludf.DUMMYFUNCTION("""COMPUTED_VALUE"""),4.46)</f>
        <v>4.46</v>
      </c>
      <c r="E331" s="2">
        <f ca="1">IFERROR(__xludf.DUMMYFUNCTION("""COMPUTED_VALUE"""),4.41)</f>
        <v>4.41</v>
      </c>
      <c r="F331" s="2">
        <f ca="1">IFERROR(__xludf.DUMMYFUNCTION("""COMPUTED_VALUE"""),5.25)</f>
        <v>5.25</v>
      </c>
      <c r="G331" s="2">
        <f ca="1">IFERROR(__xludf.DUMMYFUNCTION("""COMPUTED_VALUE"""),5.15)</f>
        <v>5.15</v>
      </c>
      <c r="H331" s="2">
        <f ca="1">IFERROR(__xludf.DUMMYFUNCTION("""COMPUTED_VALUE"""),5)</f>
        <v>5</v>
      </c>
      <c r="I331" s="2">
        <f ca="1">IFERROR(__xludf.DUMMYFUNCTION("""COMPUTED_VALUE"""),4.77)</f>
        <v>4.7699999999999996</v>
      </c>
      <c r="J331" s="2">
        <f ca="1">IFERROR(__xludf.DUMMYFUNCTION("""COMPUTED_VALUE"""),4.63)</f>
        <v>4.63</v>
      </c>
      <c r="K331" s="2">
        <f ca="1">IFERROR(__xludf.DUMMYFUNCTION("""COMPUTED_VALUE"""),68.08)</f>
        <v>68.08</v>
      </c>
      <c r="L331" s="2">
        <f ca="1">IFERROR(__xludf.DUMMYFUNCTION("""COMPUTED_VALUE"""),67.04)</f>
        <v>67.040000000000006</v>
      </c>
      <c r="M331" s="2">
        <f ca="1">IFERROR(__xludf.DUMMYFUNCTION("""COMPUTED_VALUE"""),67.41)</f>
        <v>67.41</v>
      </c>
      <c r="N331" s="2">
        <f ca="1">IFERROR(__xludf.DUMMYFUNCTION("""COMPUTED_VALUE"""),66.57)</f>
        <v>66.569999999999993</v>
      </c>
      <c r="O331" s="2">
        <f ca="1">IFERROR(__xludf.DUMMYFUNCTION("""COMPUTED_VALUE"""),61.47)</f>
        <v>61.47</v>
      </c>
      <c r="P331" s="2">
        <f ca="1">IFERROR(__xludf.DUMMYFUNCTION("""COMPUTED_VALUE"""),63.03)</f>
        <v>63.03</v>
      </c>
      <c r="Q331" s="2">
        <f ca="1">IFERROR(__xludf.DUMMYFUNCTION("""COMPUTED_VALUE"""),64.01)</f>
        <v>64.010000000000005</v>
      </c>
    </row>
    <row r="332" spans="1:17" ht="15.75" customHeight="1" x14ac:dyDescent="0.25">
      <c r="A332" s="2">
        <v>6203</v>
      </c>
      <c r="B332" s="2" t="str">
        <f ca="1">IFERROR(__xludf.DUMMYFUNCTION("""COMPUTED_VALUE"""),"KALIMANTAN TENGAH")</f>
        <v>KALIMANTAN TENGAH</v>
      </c>
      <c r="C332" s="2" t="str">
        <f ca="1">IFERROR(__xludf.DUMMYFUNCTION("""COMPUTED_VALUE"""),"Kapuas")</f>
        <v>Kapuas</v>
      </c>
      <c r="D332" s="2">
        <f ca="1">IFERROR(__xludf.DUMMYFUNCTION("""COMPUTED_VALUE"""),3.97)</f>
        <v>3.97</v>
      </c>
      <c r="E332" s="2">
        <f ca="1">IFERROR(__xludf.DUMMYFUNCTION("""COMPUTED_VALUE"""),5.18)</f>
        <v>5.18</v>
      </c>
      <c r="F332" s="2">
        <f ca="1">IFERROR(__xludf.DUMMYFUNCTION("""COMPUTED_VALUE"""),4.98)</f>
        <v>4.9800000000000004</v>
      </c>
      <c r="G332" s="2">
        <f ca="1">IFERROR(__xludf.DUMMYFUNCTION("""COMPUTED_VALUE"""),4.91)</f>
        <v>4.91</v>
      </c>
      <c r="H332" s="2">
        <f ca="1">IFERROR(__xludf.DUMMYFUNCTION("""COMPUTED_VALUE"""),3.91)</f>
        <v>3.91</v>
      </c>
      <c r="I332" s="2">
        <f ca="1">IFERROR(__xludf.DUMMYFUNCTION("""COMPUTED_VALUE"""),3.66)</f>
        <v>3.66</v>
      </c>
      <c r="J332" s="2">
        <f ca="1">IFERROR(__xludf.DUMMYFUNCTION("""COMPUTED_VALUE"""),3.61)</f>
        <v>3.61</v>
      </c>
      <c r="K332" s="2">
        <f ca="1">IFERROR(__xludf.DUMMYFUNCTION("""COMPUTED_VALUE"""),69.37)</f>
        <v>69.37</v>
      </c>
      <c r="L332" s="2">
        <f ca="1">IFERROR(__xludf.DUMMYFUNCTION("""COMPUTED_VALUE"""),67.1)</f>
        <v>67.099999999999994</v>
      </c>
      <c r="M332" s="2">
        <f ca="1">IFERROR(__xludf.DUMMYFUNCTION("""COMPUTED_VALUE"""),70.04)</f>
        <v>70.040000000000006</v>
      </c>
      <c r="N332" s="2">
        <f ca="1">IFERROR(__xludf.DUMMYFUNCTION("""COMPUTED_VALUE"""),70.23)</f>
        <v>70.23</v>
      </c>
      <c r="O332" s="2">
        <f ca="1">IFERROR(__xludf.DUMMYFUNCTION("""COMPUTED_VALUE"""),66.43)</f>
        <v>66.430000000000007</v>
      </c>
      <c r="P332" s="2">
        <f ca="1">IFERROR(__xludf.DUMMYFUNCTION("""COMPUTED_VALUE"""),66.58)</f>
        <v>66.58</v>
      </c>
      <c r="Q332" s="2">
        <f ca="1">IFERROR(__xludf.DUMMYFUNCTION("""COMPUTED_VALUE"""),71.52)</f>
        <v>71.52</v>
      </c>
    </row>
    <row r="333" spans="1:17" ht="15.75" customHeight="1" x14ac:dyDescent="0.25">
      <c r="A333" s="2">
        <v>6204</v>
      </c>
      <c r="B333" s="2" t="str">
        <f ca="1">IFERROR(__xludf.DUMMYFUNCTION("""COMPUTED_VALUE"""),"KALIMANTAN TENGAH")</f>
        <v>KALIMANTAN TENGAH</v>
      </c>
      <c r="C333" s="2" t="str">
        <f ca="1">IFERROR(__xludf.DUMMYFUNCTION("""COMPUTED_VALUE"""),"Barito Selatan")</f>
        <v>Barito Selatan</v>
      </c>
      <c r="D333" s="2">
        <f ca="1">IFERROR(__xludf.DUMMYFUNCTION("""COMPUTED_VALUE"""),4.14)</f>
        <v>4.1399999999999997</v>
      </c>
      <c r="E333" s="2">
        <f ca="1">IFERROR(__xludf.DUMMYFUNCTION("""COMPUTED_VALUE"""),4.05)</f>
        <v>4.05</v>
      </c>
      <c r="F333" s="2">
        <f ca="1">IFERROR(__xludf.DUMMYFUNCTION("""COMPUTED_VALUE"""),4.21)</f>
        <v>4.21</v>
      </c>
      <c r="G333" s="2">
        <f ca="1">IFERROR(__xludf.DUMMYFUNCTION("""COMPUTED_VALUE"""),4.16)</f>
        <v>4.16</v>
      </c>
      <c r="H333" s="2">
        <f ca="1">IFERROR(__xludf.DUMMYFUNCTION("""COMPUTED_VALUE"""),3.53)</f>
        <v>3.53</v>
      </c>
      <c r="I333" s="2">
        <f ca="1">IFERROR(__xludf.DUMMYFUNCTION("""COMPUTED_VALUE"""),4.33)</f>
        <v>4.33</v>
      </c>
      <c r="J333" s="2">
        <f ca="1">IFERROR(__xludf.DUMMYFUNCTION("""COMPUTED_VALUE"""),4.12)</f>
        <v>4.12</v>
      </c>
      <c r="K333" s="2">
        <f ca="1">IFERROR(__xludf.DUMMYFUNCTION("""COMPUTED_VALUE"""),61.87)</f>
        <v>61.87</v>
      </c>
      <c r="L333" s="2">
        <f ca="1">IFERROR(__xludf.DUMMYFUNCTION("""COMPUTED_VALUE"""),69.41)</f>
        <v>69.41</v>
      </c>
      <c r="M333" s="2">
        <f ca="1">IFERROR(__xludf.DUMMYFUNCTION("""COMPUTED_VALUE"""),64.68)</f>
        <v>64.680000000000007</v>
      </c>
      <c r="N333" s="2">
        <f ca="1">IFERROR(__xludf.DUMMYFUNCTION("""COMPUTED_VALUE"""),63.48)</f>
        <v>63.48</v>
      </c>
      <c r="O333" s="2">
        <f ca="1">IFERROR(__xludf.DUMMYFUNCTION("""COMPUTED_VALUE"""),65.99)</f>
        <v>65.989999999999995</v>
      </c>
      <c r="P333" s="2">
        <f ca="1">IFERROR(__xludf.DUMMYFUNCTION("""COMPUTED_VALUE"""),65.62)</f>
        <v>65.62</v>
      </c>
      <c r="Q333" s="2">
        <f ca="1">IFERROR(__xludf.DUMMYFUNCTION("""COMPUTED_VALUE"""),68.88)</f>
        <v>68.88</v>
      </c>
    </row>
    <row r="334" spans="1:17" ht="15.75" customHeight="1" x14ac:dyDescent="0.25">
      <c r="A334" s="2">
        <v>6205</v>
      </c>
      <c r="B334" s="2" t="str">
        <f ca="1">IFERROR(__xludf.DUMMYFUNCTION("""COMPUTED_VALUE"""),"KALIMANTAN TENGAH")</f>
        <v>KALIMANTAN TENGAH</v>
      </c>
      <c r="C334" s="2" t="str">
        <f ca="1">IFERROR(__xludf.DUMMYFUNCTION("""COMPUTED_VALUE"""),"Barito Utara")</f>
        <v>Barito Utara</v>
      </c>
      <c r="D334" s="2">
        <f ca="1">IFERROR(__xludf.DUMMYFUNCTION("""COMPUTED_VALUE"""),4.19)</f>
        <v>4.1900000000000004</v>
      </c>
      <c r="E334" s="2">
        <f ca="1">IFERROR(__xludf.DUMMYFUNCTION("""COMPUTED_VALUE"""),3.93)</f>
        <v>3.93</v>
      </c>
      <c r="F334" s="2">
        <f ca="1">IFERROR(__xludf.DUMMYFUNCTION("""COMPUTED_VALUE"""),5.29)</f>
        <v>5.29</v>
      </c>
      <c r="G334" s="2">
        <f ca="1">IFERROR(__xludf.DUMMYFUNCTION("""COMPUTED_VALUE"""),5.14)</f>
        <v>5.14</v>
      </c>
      <c r="H334" s="2">
        <f ca="1">IFERROR(__xludf.DUMMYFUNCTION("""COMPUTED_VALUE"""),4.82)</f>
        <v>4.82</v>
      </c>
      <c r="I334" s="2">
        <f ca="1">IFERROR(__xludf.DUMMYFUNCTION("""COMPUTED_VALUE"""),4.85)</f>
        <v>4.8499999999999996</v>
      </c>
      <c r="J334" s="2">
        <f ca="1">IFERROR(__xludf.DUMMYFUNCTION("""COMPUTED_VALUE"""),4.71)</f>
        <v>4.71</v>
      </c>
      <c r="K334" s="2">
        <f ca="1">IFERROR(__xludf.DUMMYFUNCTION("""COMPUTED_VALUE"""),73.65)</f>
        <v>73.650000000000006</v>
      </c>
      <c r="L334" s="2">
        <f ca="1">IFERROR(__xludf.DUMMYFUNCTION("""COMPUTED_VALUE"""),69.34)</f>
        <v>69.34</v>
      </c>
      <c r="M334" s="2">
        <f ca="1">IFERROR(__xludf.DUMMYFUNCTION("""COMPUTED_VALUE"""),71.54)</f>
        <v>71.540000000000006</v>
      </c>
      <c r="N334" s="2">
        <f ca="1">IFERROR(__xludf.DUMMYFUNCTION("""COMPUTED_VALUE"""),70.45)</f>
        <v>70.45</v>
      </c>
      <c r="O334" s="2">
        <f ca="1">IFERROR(__xludf.DUMMYFUNCTION("""COMPUTED_VALUE"""),69.98)</f>
        <v>69.98</v>
      </c>
      <c r="P334" s="2">
        <f ca="1">IFERROR(__xludf.DUMMYFUNCTION("""COMPUTED_VALUE"""),70.27)</f>
        <v>70.27</v>
      </c>
      <c r="Q334" s="2">
        <f ca="1">IFERROR(__xludf.DUMMYFUNCTION("""COMPUTED_VALUE"""),70.84)</f>
        <v>70.84</v>
      </c>
    </row>
    <row r="335" spans="1:17" ht="15.75" customHeight="1" x14ac:dyDescent="0.25">
      <c r="A335" s="2">
        <v>6206</v>
      </c>
      <c r="B335" s="2" t="str">
        <f ca="1">IFERROR(__xludf.DUMMYFUNCTION("""COMPUTED_VALUE"""),"KALIMANTAN TENGAH")</f>
        <v>KALIMANTAN TENGAH</v>
      </c>
      <c r="C335" s="2" t="str">
        <f ca="1">IFERROR(__xludf.DUMMYFUNCTION("""COMPUTED_VALUE"""),"Sukamara")</f>
        <v>Sukamara</v>
      </c>
      <c r="D335" s="2">
        <f ca="1">IFERROR(__xludf.DUMMYFUNCTION("""COMPUTED_VALUE"""),4.35)</f>
        <v>4.3499999999999996</v>
      </c>
      <c r="E335" s="2">
        <f ca="1">IFERROR(__xludf.DUMMYFUNCTION("""COMPUTED_VALUE"""),4.8)</f>
        <v>4.8</v>
      </c>
      <c r="F335" s="2">
        <f ca="1">IFERROR(__xludf.DUMMYFUNCTION("""COMPUTED_VALUE"""),4.7)</f>
        <v>4.7</v>
      </c>
      <c r="G335" s="2">
        <f ca="1">IFERROR(__xludf.DUMMYFUNCTION("""COMPUTED_VALUE"""),4.65)</f>
        <v>4.6500000000000004</v>
      </c>
      <c r="H335" s="2">
        <f ca="1">IFERROR(__xludf.DUMMYFUNCTION("""COMPUTED_VALUE"""),6.46)</f>
        <v>6.46</v>
      </c>
      <c r="I335" s="2">
        <f ca="1">IFERROR(__xludf.DUMMYFUNCTION("""COMPUTED_VALUE"""),5.23)</f>
        <v>5.23</v>
      </c>
      <c r="J335" s="2">
        <f ca="1">IFERROR(__xludf.DUMMYFUNCTION("""COMPUTED_VALUE"""),4.95)</f>
        <v>4.95</v>
      </c>
      <c r="K335" s="2">
        <f ca="1">IFERROR(__xludf.DUMMYFUNCTION("""COMPUTED_VALUE"""),73.95)</f>
        <v>73.95</v>
      </c>
      <c r="L335" s="2">
        <f ca="1">IFERROR(__xludf.DUMMYFUNCTION("""COMPUTED_VALUE"""),72.77)</f>
        <v>72.77</v>
      </c>
      <c r="M335" s="2">
        <f ca="1">IFERROR(__xludf.DUMMYFUNCTION("""COMPUTED_VALUE"""),65.5)</f>
        <v>65.5</v>
      </c>
      <c r="N335" s="2">
        <f ca="1">IFERROR(__xludf.DUMMYFUNCTION("""COMPUTED_VALUE"""),71.82)</f>
        <v>71.819999999999993</v>
      </c>
      <c r="O335" s="2">
        <f ca="1">IFERROR(__xludf.DUMMYFUNCTION("""COMPUTED_VALUE"""),69.82)</f>
        <v>69.819999999999993</v>
      </c>
      <c r="P335" s="2">
        <f ca="1">IFERROR(__xludf.DUMMYFUNCTION("""COMPUTED_VALUE"""),72.39)</f>
        <v>72.39</v>
      </c>
      <c r="Q335" s="2">
        <f ca="1">IFERROR(__xludf.DUMMYFUNCTION("""COMPUTED_VALUE"""),69.73)</f>
        <v>69.73</v>
      </c>
    </row>
    <row r="336" spans="1:17" ht="15.75" customHeight="1" x14ac:dyDescent="0.25">
      <c r="A336" s="2">
        <v>6207</v>
      </c>
      <c r="B336" s="2" t="str">
        <f ca="1">IFERROR(__xludf.DUMMYFUNCTION("""COMPUTED_VALUE"""),"KALIMANTAN TENGAH")</f>
        <v>KALIMANTAN TENGAH</v>
      </c>
      <c r="C336" s="2" t="str">
        <f ca="1">IFERROR(__xludf.DUMMYFUNCTION("""COMPUTED_VALUE"""),"Lamandau")</f>
        <v>Lamandau</v>
      </c>
      <c r="D336" s="2">
        <f ca="1">IFERROR(__xludf.DUMMYFUNCTION("""COMPUTED_VALUE"""),2.3)</f>
        <v>2.2999999999999998</v>
      </c>
      <c r="E336" s="2">
        <f ca="1">IFERROR(__xludf.DUMMYFUNCTION("""COMPUTED_VALUE"""),2.32)</f>
        <v>2.3199999999999998</v>
      </c>
      <c r="F336" s="2">
        <f ca="1">IFERROR(__xludf.DUMMYFUNCTION("""COMPUTED_VALUE"""),2.83)</f>
        <v>2.83</v>
      </c>
      <c r="G336" s="2">
        <f ca="1">IFERROR(__xludf.DUMMYFUNCTION("""COMPUTED_VALUE"""),2.3)</f>
        <v>2.2999999999999998</v>
      </c>
      <c r="H336" s="2">
        <f ca="1">IFERROR(__xludf.DUMMYFUNCTION("""COMPUTED_VALUE"""),3.41)</f>
        <v>3.41</v>
      </c>
      <c r="I336" s="2">
        <f ca="1">IFERROR(__xludf.DUMMYFUNCTION("""COMPUTED_VALUE"""),3.32)</f>
        <v>3.32</v>
      </c>
      <c r="J336" s="2">
        <f ca="1">IFERROR(__xludf.DUMMYFUNCTION("""COMPUTED_VALUE"""),3.17)</f>
        <v>3.17</v>
      </c>
      <c r="K336" s="2">
        <f ca="1">IFERROR(__xludf.DUMMYFUNCTION("""COMPUTED_VALUE"""),67.61)</f>
        <v>67.61</v>
      </c>
      <c r="L336" s="2">
        <f ca="1">IFERROR(__xludf.DUMMYFUNCTION("""COMPUTED_VALUE"""),68.05)</f>
        <v>68.05</v>
      </c>
      <c r="M336" s="2">
        <f ca="1">IFERROR(__xludf.DUMMYFUNCTION("""COMPUTED_VALUE"""),70.5)</f>
        <v>70.5</v>
      </c>
      <c r="N336" s="2">
        <f ca="1">IFERROR(__xludf.DUMMYFUNCTION("""COMPUTED_VALUE"""),70.44)</f>
        <v>70.44</v>
      </c>
      <c r="O336" s="2">
        <f ca="1">IFERROR(__xludf.DUMMYFUNCTION("""COMPUTED_VALUE"""),70.32)</f>
        <v>70.319999999999993</v>
      </c>
      <c r="P336" s="2">
        <f ca="1">IFERROR(__xludf.DUMMYFUNCTION("""COMPUTED_VALUE"""),69.01)</f>
        <v>69.010000000000005</v>
      </c>
      <c r="Q336" s="2">
        <f ca="1">IFERROR(__xludf.DUMMYFUNCTION("""COMPUTED_VALUE"""),72.2)</f>
        <v>72.2</v>
      </c>
    </row>
    <row r="337" spans="1:17" ht="15.75" customHeight="1" x14ac:dyDescent="0.25">
      <c r="A337" s="2">
        <v>6208</v>
      </c>
      <c r="B337" s="2" t="str">
        <f ca="1">IFERROR(__xludf.DUMMYFUNCTION("""COMPUTED_VALUE"""),"KALIMANTAN TENGAH")</f>
        <v>KALIMANTAN TENGAH</v>
      </c>
      <c r="C337" s="2" t="str">
        <f ca="1">IFERROR(__xludf.DUMMYFUNCTION("""COMPUTED_VALUE"""),"Seruyan")</f>
        <v>Seruyan</v>
      </c>
      <c r="D337" s="2">
        <f ca="1">IFERROR(__xludf.DUMMYFUNCTION("""COMPUTED_VALUE"""),4.28)</f>
        <v>4.28</v>
      </c>
      <c r="E337" s="2">
        <f ca="1">IFERROR(__xludf.DUMMYFUNCTION("""COMPUTED_VALUE"""),4.45)</f>
        <v>4.45</v>
      </c>
      <c r="F337" s="2">
        <f ca="1">IFERROR(__xludf.DUMMYFUNCTION("""COMPUTED_VALUE"""),4.3)</f>
        <v>4.3</v>
      </c>
      <c r="G337" s="2">
        <f ca="1">IFERROR(__xludf.DUMMYFUNCTION("""COMPUTED_VALUE"""),4.25)</f>
        <v>4.25</v>
      </c>
      <c r="H337" s="2">
        <f ca="1">IFERROR(__xludf.DUMMYFUNCTION("""COMPUTED_VALUE"""),3.96)</f>
        <v>3.96</v>
      </c>
      <c r="I337" s="2">
        <f ca="1">IFERROR(__xludf.DUMMYFUNCTION("""COMPUTED_VALUE"""),3.61)</f>
        <v>3.61</v>
      </c>
      <c r="J337" s="2">
        <f ca="1">IFERROR(__xludf.DUMMYFUNCTION("""COMPUTED_VALUE"""),3.47)</f>
        <v>3.47</v>
      </c>
      <c r="K337" s="2">
        <f ca="1">IFERROR(__xludf.DUMMYFUNCTION("""COMPUTED_VALUE"""),74.5)</f>
        <v>74.5</v>
      </c>
      <c r="L337" s="2">
        <f ca="1">IFERROR(__xludf.DUMMYFUNCTION("""COMPUTED_VALUE"""),71.09)</f>
        <v>71.09</v>
      </c>
      <c r="M337" s="2">
        <f ca="1">IFERROR(__xludf.DUMMYFUNCTION("""COMPUTED_VALUE"""),65.04)</f>
        <v>65.040000000000006</v>
      </c>
      <c r="N337" s="2">
        <f ca="1">IFERROR(__xludf.DUMMYFUNCTION("""COMPUTED_VALUE"""),71.46)</f>
        <v>71.459999999999994</v>
      </c>
      <c r="O337" s="2">
        <f ca="1">IFERROR(__xludf.DUMMYFUNCTION("""COMPUTED_VALUE"""),72.1)</f>
        <v>72.099999999999994</v>
      </c>
      <c r="P337" s="2">
        <f ca="1">IFERROR(__xludf.DUMMYFUNCTION("""COMPUTED_VALUE"""),67.66)</f>
        <v>67.66</v>
      </c>
      <c r="Q337" s="2">
        <f ca="1">IFERROR(__xludf.DUMMYFUNCTION("""COMPUTED_VALUE"""),70.04)</f>
        <v>70.040000000000006</v>
      </c>
    </row>
    <row r="338" spans="1:17" ht="15.75" customHeight="1" x14ac:dyDescent="0.25">
      <c r="A338" s="2">
        <v>6209</v>
      </c>
      <c r="B338" s="2" t="str">
        <f ca="1">IFERROR(__xludf.DUMMYFUNCTION("""COMPUTED_VALUE"""),"KALIMANTAN TENGAH")</f>
        <v>KALIMANTAN TENGAH</v>
      </c>
      <c r="C338" s="2" t="str">
        <f ca="1">IFERROR(__xludf.DUMMYFUNCTION("""COMPUTED_VALUE"""),"Katingan")</f>
        <v>Katingan</v>
      </c>
      <c r="D338" s="2">
        <f ca="1">IFERROR(__xludf.DUMMYFUNCTION("""COMPUTED_VALUE"""),4.65)</f>
        <v>4.6500000000000004</v>
      </c>
      <c r="E338" s="2">
        <f ca="1">IFERROR(__xludf.DUMMYFUNCTION("""COMPUTED_VALUE"""),5.25)</f>
        <v>5.25</v>
      </c>
      <c r="F338" s="2">
        <f ca="1">IFERROR(__xludf.DUMMYFUNCTION("""COMPUTED_VALUE"""),5.69)</f>
        <v>5.69</v>
      </c>
      <c r="G338" s="2">
        <f ca="1">IFERROR(__xludf.DUMMYFUNCTION("""COMPUTED_VALUE"""),5.5)</f>
        <v>5.5</v>
      </c>
      <c r="H338" s="2">
        <f ca="1">IFERROR(__xludf.DUMMYFUNCTION("""COMPUTED_VALUE"""),5.33)</f>
        <v>5.33</v>
      </c>
      <c r="I338" s="2">
        <f ca="1">IFERROR(__xludf.DUMMYFUNCTION("""COMPUTED_VALUE"""),4.96)</f>
        <v>4.96</v>
      </c>
      <c r="J338" s="2">
        <f ca="1">IFERROR(__xludf.DUMMYFUNCTION("""COMPUTED_VALUE"""),4.88)</f>
        <v>4.88</v>
      </c>
      <c r="K338" s="2">
        <f ca="1">IFERROR(__xludf.DUMMYFUNCTION("""COMPUTED_VALUE"""),69.36)</f>
        <v>69.36</v>
      </c>
      <c r="L338" s="2">
        <f ca="1">IFERROR(__xludf.DUMMYFUNCTION("""COMPUTED_VALUE"""),70.5)</f>
        <v>70.5</v>
      </c>
      <c r="M338" s="2">
        <f ca="1">IFERROR(__xludf.DUMMYFUNCTION("""COMPUTED_VALUE"""),64.55)</f>
        <v>64.55</v>
      </c>
      <c r="N338" s="2">
        <f ca="1">IFERROR(__xludf.DUMMYFUNCTION("""COMPUTED_VALUE"""),64.38)</f>
        <v>64.38</v>
      </c>
      <c r="O338" s="2">
        <f ca="1">IFERROR(__xludf.DUMMYFUNCTION("""COMPUTED_VALUE"""),65.94)</f>
        <v>65.94</v>
      </c>
      <c r="P338" s="2">
        <f ca="1">IFERROR(__xludf.DUMMYFUNCTION("""COMPUTED_VALUE"""),64.42)</f>
        <v>64.42</v>
      </c>
      <c r="Q338" s="2">
        <f ca="1">IFERROR(__xludf.DUMMYFUNCTION("""COMPUTED_VALUE"""),67.63)</f>
        <v>67.63</v>
      </c>
    </row>
    <row r="339" spans="1:17" ht="15.75" customHeight="1" x14ac:dyDescent="0.25">
      <c r="A339" s="2">
        <v>6210</v>
      </c>
      <c r="B339" s="2" t="str">
        <f ca="1">IFERROR(__xludf.DUMMYFUNCTION("""COMPUTED_VALUE"""),"KALIMANTAN TENGAH")</f>
        <v>KALIMANTAN TENGAH</v>
      </c>
      <c r="C339" s="2" t="str">
        <f ca="1">IFERROR(__xludf.DUMMYFUNCTION("""COMPUTED_VALUE"""),"Pulang Pisau")</f>
        <v>Pulang Pisau</v>
      </c>
      <c r="D339" s="2">
        <f ca="1">IFERROR(__xludf.DUMMYFUNCTION("""COMPUTED_VALUE"""),2.07)</f>
        <v>2.0699999999999998</v>
      </c>
      <c r="E339" s="2">
        <f ca="1">IFERROR(__xludf.DUMMYFUNCTION("""COMPUTED_VALUE"""),1.71)</f>
        <v>1.71</v>
      </c>
      <c r="F339" s="2">
        <f ca="1">IFERROR(__xludf.DUMMYFUNCTION("""COMPUTED_VALUE"""),2.63)</f>
        <v>2.63</v>
      </c>
      <c r="G339" s="2">
        <f ca="1">IFERROR(__xludf.DUMMYFUNCTION("""COMPUTED_VALUE"""),2.6)</f>
        <v>2.6</v>
      </c>
      <c r="H339" s="2">
        <f ca="1">IFERROR(__xludf.DUMMYFUNCTION("""COMPUTED_VALUE"""),1.96)</f>
        <v>1.96</v>
      </c>
      <c r="I339" s="2">
        <f ca="1">IFERROR(__xludf.DUMMYFUNCTION("""COMPUTED_VALUE"""),2.07)</f>
        <v>2.0699999999999998</v>
      </c>
      <c r="J339" s="2">
        <f ca="1">IFERROR(__xludf.DUMMYFUNCTION("""COMPUTED_VALUE"""),1.99)</f>
        <v>1.99</v>
      </c>
      <c r="K339" s="2">
        <f ca="1">IFERROR(__xludf.DUMMYFUNCTION("""COMPUTED_VALUE"""),70.81)</f>
        <v>70.81</v>
      </c>
      <c r="L339" s="2">
        <f ca="1">IFERROR(__xludf.DUMMYFUNCTION("""COMPUTED_VALUE"""),75.31)</f>
        <v>75.31</v>
      </c>
      <c r="M339" s="2">
        <f ca="1">IFERROR(__xludf.DUMMYFUNCTION("""COMPUTED_VALUE"""),72.77)</f>
        <v>72.77</v>
      </c>
      <c r="N339" s="2">
        <f ca="1">IFERROR(__xludf.DUMMYFUNCTION("""COMPUTED_VALUE"""),73.45)</f>
        <v>73.45</v>
      </c>
      <c r="O339" s="2">
        <f ca="1">IFERROR(__xludf.DUMMYFUNCTION("""COMPUTED_VALUE"""),71.64)</f>
        <v>71.64</v>
      </c>
      <c r="P339" s="2">
        <f ca="1">IFERROR(__xludf.DUMMYFUNCTION("""COMPUTED_VALUE"""),74.92)</f>
        <v>74.92</v>
      </c>
      <c r="Q339" s="2">
        <f ca="1">IFERROR(__xludf.DUMMYFUNCTION("""COMPUTED_VALUE"""),72.37)</f>
        <v>72.37</v>
      </c>
    </row>
    <row r="340" spans="1:17" ht="15.75" customHeight="1" x14ac:dyDescent="0.25">
      <c r="A340" s="2">
        <v>6211</v>
      </c>
      <c r="B340" s="2" t="str">
        <f ca="1">IFERROR(__xludf.DUMMYFUNCTION("""COMPUTED_VALUE"""),"KALIMANTAN TENGAH")</f>
        <v>KALIMANTAN TENGAH</v>
      </c>
      <c r="C340" s="2" t="str">
        <f ca="1">IFERROR(__xludf.DUMMYFUNCTION("""COMPUTED_VALUE"""),"Gunung Mas")</f>
        <v>Gunung Mas</v>
      </c>
      <c r="D340" s="2">
        <f ca="1">IFERROR(__xludf.DUMMYFUNCTION("""COMPUTED_VALUE"""),2.15)</f>
        <v>2.15</v>
      </c>
      <c r="E340" s="2">
        <f ca="1">IFERROR(__xludf.DUMMYFUNCTION("""COMPUTED_VALUE"""),2.62)</f>
        <v>2.62</v>
      </c>
      <c r="F340" s="2">
        <f ca="1">IFERROR(__xludf.DUMMYFUNCTION("""COMPUTED_VALUE"""),2.49)</f>
        <v>2.4900000000000002</v>
      </c>
      <c r="G340" s="2">
        <f ca="1">IFERROR(__xludf.DUMMYFUNCTION("""COMPUTED_VALUE"""),3.11)</f>
        <v>3.11</v>
      </c>
      <c r="H340" s="2">
        <f ca="1">IFERROR(__xludf.DUMMYFUNCTION("""COMPUTED_VALUE"""),2.96)</f>
        <v>2.96</v>
      </c>
      <c r="I340" s="2">
        <f ca="1">IFERROR(__xludf.DUMMYFUNCTION("""COMPUTED_VALUE"""),3.24)</f>
        <v>3.24</v>
      </c>
      <c r="J340" s="2">
        <f ca="1">IFERROR(__xludf.DUMMYFUNCTION("""COMPUTED_VALUE"""),3.12)</f>
        <v>3.12</v>
      </c>
      <c r="K340" s="2">
        <f ca="1">IFERROR(__xludf.DUMMYFUNCTION("""COMPUTED_VALUE"""),75.48)</f>
        <v>75.48</v>
      </c>
      <c r="L340" s="2">
        <f ca="1">IFERROR(__xludf.DUMMYFUNCTION("""COMPUTED_VALUE"""),73.44)</f>
        <v>73.44</v>
      </c>
      <c r="M340" s="2">
        <f ca="1">IFERROR(__xludf.DUMMYFUNCTION("""COMPUTED_VALUE"""),71.22)</f>
        <v>71.22</v>
      </c>
      <c r="N340" s="2">
        <f ca="1">IFERROR(__xludf.DUMMYFUNCTION("""COMPUTED_VALUE"""),69.7)</f>
        <v>69.7</v>
      </c>
      <c r="O340" s="2">
        <f ca="1">IFERROR(__xludf.DUMMYFUNCTION("""COMPUTED_VALUE"""),69.53)</f>
        <v>69.53</v>
      </c>
      <c r="P340" s="2">
        <f ca="1">IFERROR(__xludf.DUMMYFUNCTION("""COMPUTED_VALUE"""),71.06)</f>
        <v>71.06</v>
      </c>
      <c r="Q340" s="2">
        <f ca="1">IFERROR(__xludf.DUMMYFUNCTION("""COMPUTED_VALUE"""),68.72)</f>
        <v>68.72</v>
      </c>
    </row>
    <row r="341" spans="1:17" ht="15.75" customHeight="1" x14ac:dyDescent="0.25">
      <c r="A341" s="2">
        <v>6212</v>
      </c>
      <c r="B341" s="2" t="str">
        <f ca="1">IFERROR(__xludf.DUMMYFUNCTION("""COMPUTED_VALUE"""),"KALIMANTAN TENGAH")</f>
        <v>KALIMANTAN TENGAH</v>
      </c>
      <c r="C341" s="2" t="str">
        <f ca="1">IFERROR(__xludf.DUMMYFUNCTION("""COMPUTED_VALUE"""),"Barito Timur")</f>
        <v>Barito Timur</v>
      </c>
      <c r="D341" s="2">
        <f ca="1">IFERROR(__xludf.DUMMYFUNCTION("""COMPUTED_VALUE"""),3.39)</f>
        <v>3.39</v>
      </c>
      <c r="E341" s="2">
        <f ca="1">IFERROR(__xludf.DUMMYFUNCTION("""COMPUTED_VALUE"""),2.82)</f>
        <v>2.82</v>
      </c>
      <c r="F341" s="2">
        <f ca="1">IFERROR(__xludf.DUMMYFUNCTION("""COMPUTED_VALUE"""),2.91)</f>
        <v>2.91</v>
      </c>
      <c r="G341" s="2">
        <f ca="1">IFERROR(__xludf.DUMMYFUNCTION("""COMPUTED_VALUE"""),3.22)</f>
        <v>3.22</v>
      </c>
      <c r="H341" s="2">
        <f ca="1">IFERROR(__xludf.DUMMYFUNCTION("""COMPUTED_VALUE"""),2.95)</f>
        <v>2.95</v>
      </c>
      <c r="I341" s="2">
        <f ca="1">IFERROR(__xludf.DUMMYFUNCTION("""COMPUTED_VALUE"""),3.37)</f>
        <v>3.37</v>
      </c>
      <c r="J341" s="2">
        <f ca="1">IFERROR(__xludf.DUMMYFUNCTION("""COMPUTED_VALUE"""),3.26)</f>
        <v>3.26</v>
      </c>
      <c r="K341" s="2">
        <f ca="1">IFERROR(__xludf.DUMMYFUNCTION("""COMPUTED_VALUE"""),78.71)</f>
        <v>78.709999999999994</v>
      </c>
      <c r="L341" s="2">
        <f ca="1">IFERROR(__xludf.DUMMYFUNCTION("""COMPUTED_VALUE"""),74.15)</f>
        <v>74.150000000000006</v>
      </c>
      <c r="M341" s="2">
        <f ca="1">IFERROR(__xludf.DUMMYFUNCTION("""COMPUTED_VALUE"""),77.73)</f>
        <v>77.73</v>
      </c>
      <c r="N341" s="2">
        <f ca="1">IFERROR(__xludf.DUMMYFUNCTION("""COMPUTED_VALUE"""),78.4)</f>
        <v>78.400000000000006</v>
      </c>
      <c r="O341" s="2">
        <f ca="1">IFERROR(__xludf.DUMMYFUNCTION("""COMPUTED_VALUE"""),75.3)</f>
        <v>75.3</v>
      </c>
      <c r="P341" s="2">
        <f ca="1">IFERROR(__xludf.DUMMYFUNCTION("""COMPUTED_VALUE"""),74.79)</f>
        <v>74.790000000000006</v>
      </c>
      <c r="Q341" s="2">
        <f ca="1">IFERROR(__xludf.DUMMYFUNCTION("""COMPUTED_VALUE"""),78.53)</f>
        <v>78.53</v>
      </c>
    </row>
    <row r="342" spans="1:17" ht="15.75" customHeight="1" x14ac:dyDescent="0.25">
      <c r="A342" s="2">
        <v>6213</v>
      </c>
      <c r="B342" s="2" t="str">
        <f ca="1">IFERROR(__xludf.DUMMYFUNCTION("""COMPUTED_VALUE"""),"KALIMANTAN TENGAH")</f>
        <v>KALIMANTAN TENGAH</v>
      </c>
      <c r="C342" s="2" t="str">
        <f ca="1">IFERROR(__xludf.DUMMYFUNCTION("""COMPUTED_VALUE"""),"Murung Raya")</f>
        <v>Murung Raya</v>
      </c>
      <c r="D342" s="2">
        <f ca="1">IFERROR(__xludf.DUMMYFUNCTION("""COMPUTED_VALUE"""),3.2)</f>
        <v>3.2</v>
      </c>
      <c r="E342" s="2">
        <f ca="1">IFERROR(__xludf.DUMMYFUNCTION("""COMPUTED_VALUE"""),2.99)</f>
        <v>2.99</v>
      </c>
      <c r="F342" s="2">
        <f ca="1">IFERROR(__xludf.DUMMYFUNCTION("""COMPUTED_VALUE"""),3.1)</f>
        <v>3.1</v>
      </c>
      <c r="G342" s="2">
        <f ca="1">IFERROR(__xludf.DUMMYFUNCTION("""COMPUTED_VALUE"""),3.03)</f>
        <v>3.03</v>
      </c>
      <c r="H342" s="2">
        <f ca="1">IFERROR(__xludf.DUMMYFUNCTION("""COMPUTED_VALUE"""),2.77)</f>
        <v>2.77</v>
      </c>
      <c r="I342" s="2">
        <f ca="1">IFERROR(__xludf.DUMMYFUNCTION("""COMPUTED_VALUE"""),2.75)</f>
        <v>2.75</v>
      </c>
      <c r="J342" s="2">
        <f ca="1">IFERROR(__xludf.DUMMYFUNCTION("""COMPUTED_VALUE"""),2.9)</f>
        <v>2.9</v>
      </c>
      <c r="K342" s="2">
        <f ca="1">IFERROR(__xludf.DUMMYFUNCTION("""COMPUTED_VALUE"""),68.95)</f>
        <v>68.95</v>
      </c>
      <c r="L342" s="2">
        <f ca="1">IFERROR(__xludf.DUMMYFUNCTION("""COMPUTED_VALUE"""),65.96)</f>
        <v>65.959999999999994</v>
      </c>
      <c r="M342" s="2">
        <f ca="1">IFERROR(__xludf.DUMMYFUNCTION("""COMPUTED_VALUE"""),63.93)</f>
        <v>63.93</v>
      </c>
      <c r="N342" s="2">
        <f ca="1">IFERROR(__xludf.DUMMYFUNCTION("""COMPUTED_VALUE"""),67.62)</f>
        <v>67.62</v>
      </c>
      <c r="O342" s="2">
        <f ca="1">IFERROR(__xludf.DUMMYFUNCTION("""COMPUTED_VALUE"""),68.7)</f>
        <v>68.7</v>
      </c>
      <c r="P342" s="2">
        <f ca="1">IFERROR(__xludf.DUMMYFUNCTION("""COMPUTED_VALUE"""),66.78)</f>
        <v>66.78</v>
      </c>
      <c r="Q342" s="2">
        <f ca="1">IFERROR(__xludf.DUMMYFUNCTION("""COMPUTED_VALUE"""),61.14)</f>
        <v>61.14</v>
      </c>
    </row>
    <row r="343" spans="1:17" ht="15.75" customHeight="1" x14ac:dyDescent="0.25">
      <c r="A343" s="2">
        <v>6271</v>
      </c>
      <c r="B343" s="2" t="str">
        <f ca="1">IFERROR(__xludf.DUMMYFUNCTION("""COMPUTED_VALUE"""),"KALIMANTAN TENGAH")</f>
        <v>KALIMANTAN TENGAH</v>
      </c>
      <c r="C343" s="2" t="s">
        <v>52</v>
      </c>
      <c r="D343" s="2">
        <f ca="1">IFERROR(__xludf.DUMMYFUNCTION("""COMPUTED_VALUE"""),5.77)</f>
        <v>5.77</v>
      </c>
      <c r="E343" s="2">
        <f ca="1">IFERROR(__xludf.DUMMYFUNCTION("""COMPUTED_VALUE"""),5.81)</f>
        <v>5.81</v>
      </c>
      <c r="F343" s="2">
        <f ca="1">IFERROR(__xludf.DUMMYFUNCTION("""COMPUTED_VALUE"""),5.95)</f>
        <v>5.95</v>
      </c>
      <c r="G343" s="2">
        <f ca="1">IFERROR(__xludf.DUMMYFUNCTION("""COMPUTED_VALUE"""),5.86)</f>
        <v>5.86</v>
      </c>
      <c r="H343" s="2">
        <f ca="1">IFERROR(__xludf.DUMMYFUNCTION("""COMPUTED_VALUE"""),5.64)</f>
        <v>5.64</v>
      </c>
      <c r="I343" s="2">
        <f ca="1">IFERROR(__xludf.DUMMYFUNCTION("""COMPUTED_VALUE"""),5.13)</f>
        <v>5.13</v>
      </c>
      <c r="J343" s="2">
        <f ca="1">IFERROR(__xludf.DUMMYFUNCTION("""COMPUTED_VALUE"""),5.02)</f>
        <v>5.0199999999999996</v>
      </c>
      <c r="K343" s="2">
        <f ca="1">IFERROR(__xludf.DUMMYFUNCTION("""COMPUTED_VALUE"""),62.41)</f>
        <v>62.41</v>
      </c>
      <c r="L343" s="2">
        <f ca="1">IFERROR(__xludf.DUMMYFUNCTION("""COMPUTED_VALUE"""),63.97)</f>
        <v>63.97</v>
      </c>
      <c r="M343" s="2">
        <f ca="1">IFERROR(__xludf.DUMMYFUNCTION("""COMPUTED_VALUE"""),62.71)</f>
        <v>62.71</v>
      </c>
      <c r="N343" s="2">
        <f ca="1">IFERROR(__xludf.DUMMYFUNCTION("""COMPUTED_VALUE"""),63.3)</f>
        <v>63.3</v>
      </c>
      <c r="O343" s="2">
        <f ca="1">IFERROR(__xludf.DUMMYFUNCTION("""COMPUTED_VALUE"""),64)</f>
        <v>64</v>
      </c>
      <c r="P343" s="2">
        <f ca="1">IFERROR(__xludf.DUMMYFUNCTION("""COMPUTED_VALUE"""),64.51)</f>
        <v>64.510000000000005</v>
      </c>
      <c r="Q343" s="2">
        <f ca="1">IFERROR(__xludf.DUMMYFUNCTION("""COMPUTED_VALUE"""),65.76)</f>
        <v>65.760000000000005</v>
      </c>
    </row>
    <row r="344" spans="1:17" ht="15.75" customHeight="1" x14ac:dyDescent="0.25">
      <c r="A344" s="2">
        <v>6301</v>
      </c>
      <c r="B344" s="2" t="str">
        <f ca="1">IFERROR(__xludf.DUMMYFUNCTION("""COMPUTED_VALUE"""),"KALIMANTAN SELATAN")</f>
        <v>KALIMANTAN SELATAN</v>
      </c>
      <c r="C344" s="2" t="str">
        <f ca="1">IFERROR(__xludf.DUMMYFUNCTION("""COMPUTED_VALUE"""),"Tanah Laut")</f>
        <v>Tanah Laut</v>
      </c>
      <c r="D344" s="2">
        <f ca="1">IFERROR(__xludf.DUMMYFUNCTION("""COMPUTED_VALUE"""),3.28)</f>
        <v>3.28</v>
      </c>
      <c r="E344" s="2">
        <f ca="1">IFERROR(__xludf.DUMMYFUNCTION("""COMPUTED_VALUE"""),3.38)</f>
        <v>3.38</v>
      </c>
      <c r="F344" s="2">
        <f ca="1">IFERROR(__xludf.DUMMYFUNCTION("""COMPUTED_VALUE"""),3.57)</f>
        <v>3.57</v>
      </c>
      <c r="G344" s="2">
        <f ca="1">IFERROR(__xludf.DUMMYFUNCTION("""COMPUTED_VALUE"""),3.52)</f>
        <v>3.52</v>
      </c>
      <c r="H344" s="2">
        <f ca="1">IFERROR(__xludf.DUMMYFUNCTION("""COMPUTED_VALUE"""),4.17)</f>
        <v>4.17</v>
      </c>
      <c r="I344" s="2">
        <f ca="1">IFERROR(__xludf.DUMMYFUNCTION("""COMPUTED_VALUE"""),3.58)</f>
        <v>3.58</v>
      </c>
      <c r="J344" s="2">
        <f ca="1">IFERROR(__xludf.DUMMYFUNCTION("""COMPUTED_VALUE"""),3.43)</f>
        <v>3.43</v>
      </c>
      <c r="K344" s="2">
        <f ca="1">IFERROR(__xludf.DUMMYFUNCTION("""COMPUTED_VALUE"""),66.85)</f>
        <v>66.849999999999994</v>
      </c>
      <c r="L344" s="2">
        <f ca="1">IFERROR(__xludf.DUMMYFUNCTION("""COMPUTED_VALUE"""),69.19)</f>
        <v>69.19</v>
      </c>
      <c r="M344" s="2">
        <f ca="1">IFERROR(__xludf.DUMMYFUNCTION("""COMPUTED_VALUE"""),72.03)</f>
        <v>72.03</v>
      </c>
      <c r="N344" s="2">
        <f ca="1">IFERROR(__xludf.DUMMYFUNCTION("""COMPUTED_VALUE"""),72.27)</f>
        <v>72.27</v>
      </c>
      <c r="O344" s="2">
        <f ca="1">IFERROR(__xludf.DUMMYFUNCTION("""COMPUTED_VALUE"""),70.92)</f>
        <v>70.92</v>
      </c>
      <c r="P344" s="2">
        <f ca="1">IFERROR(__xludf.DUMMYFUNCTION("""COMPUTED_VALUE"""),69.61)</f>
        <v>69.61</v>
      </c>
      <c r="Q344" s="2">
        <f ca="1">IFERROR(__xludf.DUMMYFUNCTION("""COMPUTED_VALUE"""),73.03)</f>
        <v>73.03</v>
      </c>
    </row>
    <row r="345" spans="1:17" ht="15.75" customHeight="1" x14ac:dyDescent="0.25">
      <c r="A345" s="2">
        <v>6302</v>
      </c>
      <c r="B345" s="2" t="str">
        <f ca="1">IFERROR(__xludf.DUMMYFUNCTION("""COMPUTED_VALUE"""),"KALIMANTAN SELATAN")</f>
        <v>KALIMANTAN SELATAN</v>
      </c>
      <c r="C345" s="2" t="str">
        <f ca="1">IFERROR(__xludf.DUMMYFUNCTION("""COMPUTED_VALUE"""),"Kotabaru")</f>
        <v>Kotabaru</v>
      </c>
      <c r="D345" s="2">
        <f ca="1">IFERROR(__xludf.DUMMYFUNCTION("""COMPUTED_VALUE"""),4.71)</f>
        <v>4.71</v>
      </c>
      <c r="E345" s="2">
        <f ca="1">IFERROR(__xludf.DUMMYFUNCTION("""COMPUTED_VALUE"""),4.78)</f>
        <v>4.78</v>
      </c>
      <c r="F345" s="2">
        <f ca="1">IFERROR(__xludf.DUMMYFUNCTION("""COMPUTED_VALUE"""),4.96)</f>
        <v>4.96</v>
      </c>
      <c r="G345" s="2">
        <f ca="1">IFERROR(__xludf.DUMMYFUNCTION("""COMPUTED_VALUE"""),5.57)</f>
        <v>5.57</v>
      </c>
      <c r="H345" s="2">
        <f ca="1">IFERROR(__xludf.DUMMYFUNCTION("""COMPUTED_VALUE"""),6.7)</f>
        <v>6.7</v>
      </c>
      <c r="I345" s="2">
        <f ca="1">IFERROR(__xludf.DUMMYFUNCTION("""COMPUTED_VALUE"""),6.08)</f>
        <v>6.08</v>
      </c>
      <c r="J345" s="2">
        <f ca="1">IFERROR(__xludf.DUMMYFUNCTION("""COMPUTED_VALUE"""),6.05)</f>
        <v>6.05</v>
      </c>
      <c r="K345" s="2">
        <f ca="1">IFERROR(__xludf.DUMMYFUNCTION("""COMPUTED_VALUE"""),69.97)</f>
        <v>69.97</v>
      </c>
      <c r="L345" s="2">
        <f ca="1">IFERROR(__xludf.DUMMYFUNCTION("""COMPUTED_VALUE"""),67.49)</f>
        <v>67.489999999999995</v>
      </c>
      <c r="M345" s="2">
        <f ca="1">IFERROR(__xludf.DUMMYFUNCTION("""COMPUTED_VALUE"""),64.68)</f>
        <v>64.680000000000007</v>
      </c>
      <c r="N345" s="2">
        <f ca="1">IFERROR(__xludf.DUMMYFUNCTION("""COMPUTED_VALUE"""),67.5)</f>
        <v>67.5</v>
      </c>
      <c r="O345" s="2">
        <f ca="1">IFERROR(__xludf.DUMMYFUNCTION("""COMPUTED_VALUE"""),63.96)</f>
        <v>63.96</v>
      </c>
      <c r="P345" s="2">
        <f ca="1">IFERROR(__xludf.DUMMYFUNCTION("""COMPUTED_VALUE"""),64)</f>
        <v>64</v>
      </c>
      <c r="Q345" s="2">
        <f ca="1">IFERROR(__xludf.DUMMYFUNCTION("""COMPUTED_VALUE"""),65.8)</f>
        <v>65.8</v>
      </c>
    </row>
    <row r="346" spans="1:17" ht="15.75" customHeight="1" x14ac:dyDescent="0.25">
      <c r="A346" s="2">
        <v>6303</v>
      </c>
      <c r="B346" s="2" t="str">
        <f ca="1">IFERROR(__xludf.DUMMYFUNCTION("""COMPUTED_VALUE"""),"KALIMANTAN SELATAN")</f>
        <v>KALIMANTAN SELATAN</v>
      </c>
      <c r="C346" s="2" t="str">
        <f ca="1">IFERROR(__xludf.DUMMYFUNCTION("""COMPUTED_VALUE"""),"Banjar")</f>
        <v>Banjar</v>
      </c>
      <c r="D346" s="2">
        <f ca="1">IFERROR(__xludf.DUMMYFUNCTION("""COMPUTED_VALUE"""),2.9)</f>
        <v>2.9</v>
      </c>
      <c r="E346" s="2">
        <f ca="1">IFERROR(__xludf.DUMMYFUNCTION("""COMPUTED_VALUE"""),2.89)</f>
        <v>2.89</v>
      </c>
      <c r="F346" s="2">
        <f ca="1">IFERROR(__xludf.DUMMYFUNCTION("""COMPUTED_VALUE"""),3.87)</f>
        <v>3.87</v>
      </c>
      <c r="G346" s="2">
        <f ca="1">IFERROR(__xludf.DUMMYFUNCTION("""COMPUTED_VALUE"""),3.98)</f>
        <v>3.98</v>
      </c>
      <c r="H346" s="2">
        <f ca="1">IFERROR(__xludf.DUMMYFUNCTION("""COMPUTED_VALUE"""),2.72)</f>
        <v>2.72</v>
      </c>
      <c r="I346" s="2">
        <f ca="1">IFERROR(__xludf.DUMMYFUNCTION("""COMPUTED_VALUE"""),2.73)</f>
        <v>2.73</v>
      </c>
      <c r="J346" s="2">
        <f ca="1">IFERROR(__xludf.DUMMYFUNCTION("""COMPUTED_VALUE"""),2.71)</f>
        <v>2.71</v>
      </c>
      <c r="K346" s="2">
        <f ca="1">IFERROR(__xludf.DUMMYFUNCTION("""COMPUTED_VALUE"""),71.43)</f>
        <v>71.430000000000007</v>
      </c>
      <c r="L346" s="2">
        <f ca="1">IFERROR(__xludf.DUMMYFUNCTION("""COMPUTED_VALUE"""),71.91)</f>
        <v>71.91</v>
      </c>
      <c r="M346" s="2">
        <f ca="1">IFERROR(__xludf.DUMMYFUNCTION("""COMPUTED_VALUE"""),72.55)</f>
        <v>72.55</v>
      </c>
      <c r="N346" s="2">
        <f ca="1">IFERROR(__xludf.DUMMYFUNCTION("""COMPUTED_VALUE"""),70.84)</f>
        <v>70.84</v>
      </c>
      <c r="O346" s="2">
        <f ca="1">IFERROR(__xludf.DUMMYFUNCTION("""COMPUTED_VALUE"""),69.91)</f>
        <v>69.91</v>
      </c>
      <c r="P346" s="2">
        <f ca="1">IFERROR(__xludf.DUMMYFUNCTION("""COMPUTED_VALUE"""),70.21)</f>
        <v>70.209999999999994</v>
      </c>
      <c r="Q346" s="2">
        <f ca="1">IFERROR(__xludf.DUMMYFUNCTION("""COMPUTED_VALUE"""),71.03)</f>
        <v>71.03</v>
      </c>
    </row>
    <row r="347" spans="1:17" ht="15.75" customHeight="1" x14ac:dyDescent="0.25">
      <c r="A347" s="2">
        <v>6304</v>
      </c>
      <c r="B347" s="2" t="str">
        <f ca="1">IFERROR(__xludf.DUMMYFUNCTION("""COMPUTED_VALUE"""),"KALIMANTAN SELATAN")</f>
        <v>KALIMANTAN SELATAN</v>
      </c>
      <c r="C347" s="2" t="str">
        <f ca="1">IFERROR(__xludf.DUMMYFUNCTION("""COMPUTED_VALUE"""),"Barito Kuala")</f>
        <v>Barito Kuala</v>
      </c>
      <c r="D347" s="2">
        <f ca="1">IFERROR(__xludf.DUMMYFUNCTION("""COMPUTED_VALUE"""),2.85)</f>
        <v>2.85</v>
      </c>
      <c r="E347" s="2">
        <f ca="1">IFERROR(__xludf.DUMMYFUNCTION("""COMPUTED_VALUE"""),2.39)</f>
        <v>2.39</v>
      </c>
      <c r="F347" s="2">
        <f ca="1">IFERROR(__xludf.DUMMYFUNCTION("""COMPUTED_VALUE"""),2.93)</f>
        <v>2.93</v>
      </c>
      <c r="G347" s="2">
        <f ca="1">IFERROR(__xludf.DUMMYFUNCTION("""COMPUTED_VALUE"""),3.22)</f>
        <v>3.22</v>
      </c>
      <c r="H347" s="2">
        <f ca="1">IFERROR(__xludf.DUMMYFUNCTION("""COMPUTED_VALUE"""),3.63)</f>
        <v>3.63</v>
      </c>
      <c r="I347" s="2">
        <f ca="1">IFERROR(__xludf.DUMMYFUNCTION("""COMPUTED_VALUE"""),3.42)</f>
        <v>3.42</v>
      </c>
      <c r="J347" s="2">
        <f ca="1">IFERROR(__xludf.DUMMYFUNCTION("""COMPUTED_VALUE"""),3.41)</f>
        <v>3.41</v>
      </c>
      <c r="K347" s="2">
        <f ca="1">IFERROR(__xludf.DUMMYFUNCTION("""COMPUTED_VALUE"""),79.27)</f>
        <v>79.27</v>
      </c>
      <c r="L347" s="2">
        <f ca="1">IFERROR(__xludf.DUMMYFUNCTION("""COMPUTED_VALUE"""),74.49)</f>
        <v>74.489999999999995</v>
      </c>
      <c r="M347" s="2">
        <f ca="1">IFERROR(__xludf.DUMMYFUNCTION("""COMPUTED_VALUE"""),74.61)</f>
        <v>74.61</v>
      </c>
      <c r="N347" s="2">
        <f ca="1">IFERROR(__xludf.DUMMYFUNCTION("""COMPUTED_VALUE"""),75.48)</f>
        <v>75.48</v>
      </c>
      <c r="O347" s="2">
        <f ca="1">IFERROR(__xludf.DUMMYFUNCTION("""COMPUTED_VALUE"""),70.74)</f>
        <v>70.739999999999995</v>
      </c>
      <c r="P347" s="2">
        <f ca="1">IFERROR(__xludf.DUMMYFUNCTION("""COMPUTED_VALUE"""),71.89)</f>
        <v>71.89</v>
      </c>
      <c r="Q347" s="2">
        <f ca="1">IFERROR(__xludf.DUMMYFUNCTION("""COMPUTED_VALUE"""),73.46)</f>
        <v>73.459999999999994</v>
      </c>
    </row>
    <row r="348" spans="1:17" ht="15.75" customHeight="1" x14ac:dyDescent="0.25">
      <c r="A348" s="2">
        <v>6305</v>
      </c>
      <c r="B348" s="2" t="str">
        <f ca="1">IFERROR(__xludf.DUMMYFUNCTION("""COMPUTED_VALUE"""),"KALIMANTAN SELATAN")</f>
        <v>KALIMANTAN SELATAN</v>
      </c>
      <c r="C348" s="2" t="str">
        <f ca="1">IFERROR(__xludf.DUMMYFUNCTION("""COMPUTED_VALUE"""),"Tapin")</f>
        <v>Tapin</v>
      </c>
      <c r="D348" s="2">
        <f ca="1">IFERROR(__xludf.DUMMYFUNCTION("""COMPUTED_VALUE"""),4.02)</f>
        <v>4.0199999999999996</v>
      </c>
      <c r="E348" s="2">
        <f ca="1">IFERROR(__xludf.DUMMYFUNCTION("""COMPUTED_VALUE"""),3.65)</f>
        <v>3.65</v>
      </c>
      <c r="F348" s="2">
        <f ca="1">IFERROR(__xludf.DUMMYFUNCTION("""COMPUTED_VALUE"""),3.73)</f>
        <v>3.73</v>
      </c>
      <c r="G348" s="2">
        <f ca="1">IFERROR(__xludf.DUMMYFUNCTION("""COMPUTED_VALUE"""),4.96)</f>
        <v>4.96</v>
      </c>
      <c r="H348" s="2">
        <f ca="1">IFERROR(__xludf.DUMMYFUNCTION("""COMPUTED_VALUE"""),4.15)</f>
        <v>4.1500000000000004</v>
      </c>
      <c r="I348" s="2">
        <f ca="1">IFERROR(__xludf.DUMMYFUNCTION("""COMPUTED_VALUE"""),3.93)</f>
        <v>3.93</v>
      </c>
      <c r="J348" s="2">
        <f ca="1">IFERROR(__xludf.DUMMYFUNCTION("""COMPUTED_VALUE"""),3.86)</f>
        <v>3.86</v>
      </c>
      <c r="K348" s="2">
        <f ca="1">IFERROR(__xludf.DUMMYFUNCTION("""COMPUTED_VALUE"""),69.76)</f>
        <v>69.760000000000005</v>
      </c>
      <c r="L348" s="2">
        <f ca="1">IFERROR(__xludf.DUMMYFUNCTION("""COMPUTED_VALUE"""),69.3)</f>
        <v>69.3</v>
      </c>
      <c r="M348" s="2">
        <f ca="1">IFERROR(__xludf.DUMMYFUNCTION("""COMPUTED_VALUE"""),70.17)</f>
        <v>70.17</v>
      </c>
      <c r="N348" s="2">
        <f ca="1">IFERROR(__xludf.DUMMYFUNCTION("""COMPUTED_VALUE"""),70.31)</f>
        <v>70.31</v>
      </c>
      <c r="O348" s="2">
        <f ca="1">IFERROR(__xludf.DUMMYFUNCTION("""COMPUTED_VALUE"""),70.31)</f>
        <v>70.31</v>
      </c>
      <c r="P348" s="2">
        <f ca="1">IFERROR(__xludf.DUMMYFUNCTION("""COMPUTED_VALUE"""),70.17)</f>
        <v>70.17</v>
      </c>
      <c r="Q348" s="2">
        <f ca="1">IFERROR(__xludf.DUMMYFUNCTION("""COMPUTED_VALUE"""),68.12)</f>
        <v>68.12</v>
      </c>
    </row>
    <row r="349" spans="1:17" ht="15.75" customHeight="1" x14ac:dyDescent="0.25">
      <c r="A349" s="2">
        <v>6306</v>
      </c>
      <c r="B349" s="2" t="str">
        <f ca="1">IFERROR(__xludf.DUMMYFUNCTION("""COMPUTED_VALUE"""),"KALIMANTAN SELATAN")</f>
        <v>KALIMANTAN SELATAN</v>
      </c>
      <c r="C349" s="2" t="str">
        <f ca="1">IFERROR(__xludf.DUMMYFUNCTION("""COMPUTED_VALUE"""),"Hulu Sungai Selatan")</f>
        <v>Hulu Sungai Selatan</v>
      </c>
      <c r="D349" s="2">
        <f ca="1">IFERROR(__xludf.DUMMYFUNCTION("""COMPUTED_VALUE"""),2.33)</f>
        <v>2.33</v>
      </c>
      <c r="E349" s="2">
        <f ca="1">IFERROR(__xludf.DUMMYFUNCTION("""COMPUTED_VALUE"""),2.43)</f>
        <v>2.4300000000000002</v>
      </c>
      <c r="F349" s="2">
        <f ca="1">IFERROR(__xludf.DUMMYFUNCTION("""COMPUTED_VALUE"""),2.24)</f>
        <v>2.2400000000000002</v>
      </c>
      <c r="G349" s="2">
        <f ca="1">IFERROR(__xludf.DUMMYFUNCTION("""COMPUTED_VALUE"""),2.44)</f>
        <v>2.44</v>
      </c>
      <c r="H349" s="2">
        <f ca="1">IFERROR(__xludf.DUMMYFUNCTION("""COMPUTED_VALUE"""),2.29)</f>
        <v>2.29</v>
      </c>
      <c r="I349" s="2">
        <f ca="1">IFERROR(__xludf.DUMMYFUNCTION("""COMPUTED_VALUE"""),2.12)</f>
        <v>2.12</v>
      </c>
      <c r="J349" s="2">
        <f ca="1">IFERROR(__xludf.DUMMYFUNCTION("""COMPUTED_VALUE"""),2.11)</f>
        <v>2.11</v>
      </c>
      <c r="K349" s="2">
        <f ca="1">IFERROR(__xludf.DUMMYFUNCTION("""COMPUTED_VALUE"""),71.77)</f>
        <v>71.77</v>
      </c>
      <c r="L349" s="2">
        <f ca="1">IFERROR(__xludf.DUMMYFUNCTION("""COMPUTED_VALUE"""),70.82)</f>
        <v>70.819999999999993</v>
      </c>
      <c r="M349" s="2">
        <f ca="1">IFERROR(__xludf.DUMMYFUNCTION("""COMPUTED_VALUE"""),73.15)</f>
        <v>73.150000000000006</v>
      </c>
      <c r="N349" s="2">
        <f ca="1">IFERROR(__xludf.DUMMYFUNCTION("""COMPUTED_VALUE"""),69.25)</f>
        <v>69.25</v>
      </c>
      <c r="O349" s="2">
        <f ca="1">IFERROR(__xludf.DUMMYFUNCTION("""COMPUTED_VALUE"""),69.55)</f>
        <v>69.55</v>
      </c>
      <c r="P349" s="2">
        <f ca="1">IFERROR(__xludf.DUMMYFUNCTION("""COMPUTED_VALUE"""),74.91)</f>
        <v>74.91</v>
      </c>
      <c r="Q349" s="2">
        <f ca="1">IFERROR(__xludf.DUMMYFUNCTION("""COMPUTED_VALUE"""),75.77)</f>
        <v>75.77</v>
      </c>
    </row>
    <row r="350" spans="1:17" ht="15.75" customHeight="1" x14ac:dyDescent="0.25">
      <c r="A350" s="2">
        <v>6307</v>
      </c>
      <c r="B350" s="2" t="str">
        <f ca="1">IFERROR(__xludf.DUMMYFUNCTION("""COMPUTED_VALUE"""),"KALIMANTAN SELATAN")</f>
        <v>KALIMANTAN SELATAN</v>
      </c>
      <c r="C350" s="2" t="str">
        <f ca="1">IFERROR(__xludf.DUMMYFUNCTION("""COMPUTED_VALUE"""),"Hulu Sungai Tengah")</f>
        <v>Hulu Sungai Tengah</v>
      </c>
      <c r="D350" s="2">
        <f ca="1">IFERROR(__xludf.DUMMYFUNCTION("""COMPUTED_VALUE"""),3.48)</f>
        <v>3.48</v>
      </c>
      <c r="E350" s="2">
        <f ca="1">IFERROR(__xludf.DUMMYFUNCTION("""COMPUTED_VALUE"""),2.8)</f>
        <v>2.8</v>
      </c>
      <c r="F350" s="2">
        <f ca="1">IFERROR(__xludf.DUMMYFUNCTION("""COMPUTED_VALUE"""),3.9)</f>
        <v>3.9</v>
      </c>
      <c r="G350" s="2">
        <f ca="1">IFERROR(__xludf.DUMMYFUNCTION("""COMPUTED_VALUE"""),3.76)</f>
        <v>3.76</v>
      </c>
      <c r="H350" s="2">
        <f ca="1">IFERROR(__xludf.DUMMYFUNCTION("""COMPUTED_VALUE"""),3.35)</f>
        <v>3.35</v>
      </c>
      <c r="I350" s="2">
        <f ca="1">IFERROR(__xludf.DUMMYFUNCTION("""COMPUTED_VALUE"""),3.26)</f>
        <v>3.26</v>
      </c>
      <c r="J350" s="2">
        <f ca="1">IFERROR(__xludf.DUMMYFUNCTION("""COMPUTED_VALUE"""),3.2)</f>
        <v>3.2</v>
      </c>
      <c r="K350" s="2">
        <f ca="1">IFERROR(__xludf.DUMMYFUNCTION("""COMPUTED_VALUE"""),73.87)</f>
        <v>73.87</v>
      </c>
      <c r="L350" s="2">
        <f ca="1">IFERROR(__xludf.DUMMYFUNCTION("""COMPUTED_VALUE"""),70.03)</f>
        <v>70.03</v>
      </c>
      <c r="M350" s="2">
        <f ca="1">IFERROR(__xludf.DUMMYFUNCTION("""COMPUTED_VALUE"""),71.15)</f>
        <v>71.150000000000006</v>
      </c>
      <c r="N350" s="2">
        <f ca="1">IFERROR(__xludf.DUMMYFUNCTION("""COMPUTED_VALUE"""),70.2)</f>
        <v>70.2</v>
      </c>
      <c r="O350" s="2">
        <f ca="1">IFERROR(__xludf.DUMMYFUNCTION("""COMPUTED_VALUE"""),67.63)</f>
        <v>67.63</v>
      </c>
      <c r="P350" s="2">
        <f ca="1">IFERROR(__xludf.DUMMYFUNCTION("""COMPUTED_VALUE"""),71.97)</f>
        <v>71.97</v>
      </c>
      <c r="Q350" s="2">
        <f ca="1">IFERROR(__xludf.DUMMYFUNCTION("""COMPUTED_VALUE"""),74.53)</f>
        <v>74.53</v>
      </c>
    </row>
    <row r="351" spans="1:17" ht="15.75" customHeight="1" x14ac:dyDescent="0.25">
      <c r="A351" s="2">
        <v>6308</v>
      </c>
      <c r="B351" s="2" t="str">
        <f ca="1">IFERROR(__xludf.DUMMYFUNCTION("""COMPUTED_VALUE"""),"KALIMANTAN SELATAN")</f>
        <v>KALIMANTAN SELATAN</v>
      </c>
      <c r="C351" s="2" t="str">
        <f ca="1">IFERROR(__xludf.DUMMYFUNCTION("""COMPUTED_VALUE"""),"Hulu Sungai Utara")</f>
        <v>Hulu Sungai Utara</v>
      </c>
      <c r="D351" s="2">
        <f ca="1">IFERROR(__xludf.DUMMYFUNCTION("""COMPUTED_VALUE"""),3.76)</f>
        <v>3.76</v>
      </c>
      <c r="E351" s="2">
        <f ca="1">IFERROR(__xludf.DUMMYFUNCTION("""COMPUTED_VALUE"""),3.35)</f>
        <v>3.35</v>
      </c>
      <c r="F351" s="2">
        <f ca="1">IFERROR(__xludf.DUMMYFUNCTION("""COMPUTED_VALUE"""),4.49)</f>
        <v>4.49</v>
      </c>
      <c r="G351" s="2">
        <f ca="1">IFERROR(__xludf.DUMMYFUNCTION("""COMPUTED_VALUE"""),4.8)</f>
        <v>4.8</v>
      </c>
      <c r="H351" s="2">
        <f ca="1">IFERROR(__xludf.DUMMYFUNCTION("""COMPUTED_VALUE"""),4.64)</f>
        <v>4.6399999999999997</v>
      </c>
      <c r="I351" s="2">
        <f ca="1">IFERROR(__xludf.DUMMYFUNCTION("""COMPUTED_VALUE"""),3.85)</f>
        <v>3.85</v>
      </c>
      <c r="J351" s="2">
        <f ca="1">IFERROR(__xludf.DUMMYFUNCTION("""COMPUTED_VALUE"""),3.73)</f>
        <v>3.73</v>
      </c>
      <c r="K351" s="2">
        <f ca="1">IFERROR(__xludf.DUMMYFUNCTION("""COMPUTED_VALUE"""),69.97)</f>
        <v>69.97</v>
      </c>
      <c r="L351" s="2">
        <f ca="1">IFERROR(__xludf.DUMMYFUNCTION("""COMPUTED_VALUE"""),68.43)</f>
        <v>68.430000000000007</v>
      </c>
      <c r="M351" s="2">
        <f ca="1">IFERROR(__xludf.DUMMYFUNCTION("""COMPUTED_VALUE"""),70.08)</f>
        <v>70.08</v>
      </c>
      <c r="N351" s="2">
        <f ca="1">IFERROR(__xludf.DUMMYFUNCTION("""COMPUTED_VALUE"""),71.41)</f>
        <v>71.41</v>
      </c>
      <c r="O351" s="2">
        <f ca="1">IFERROR(__xludf.DUMMYFUNCTION("""COMPUTED_VALUE"""),69.35)</f>
        <v>69.349999999999994</v>
      </c>
      <c r="P351" s="2">
        <f ca="1">IFERROR(__xludf.DUMMYFUNCTION("""COMPUTED_VALUE"""),75.34)</f>
        <v>75.34</v>
      </c>
      <c r="Q351" s="2">
        <f ca="1">IFERROR(__xludf.DUMMYFUNCTION("""COMPUTED_VALUE"""),73.89)</f>
        <v>73.89</v>
      </c>
    </row>
    <row r="352" spans="1:17" ht="15.75" customHeight="1" x14ac:dyDescent="0.25">
      <c r="A352" s="2">
        <v>6309</v>
      </c>
      <c r="B352" s="2" t="str">
        <f ca="1">IFERROR(__xludf.DUMMYFUNCTION("""COMPUTED_VALUE"""),"KALIMANTAN SELATAN")</f>
        <v>KALIMANTAN SELATAN</v>
      </c>
      <c r="C352" s="2" t="str">
        <f ca="1">IFERROR(__xludf.DUMMYFUNCTION("""COMPUTED_VALUE"""),"Tabalong")</f>
        <v>Tabalong</v>
      </c>
      <c r="D352" s="2">
        <f ca="1">IFERROR(__xludf.DUMMYFUNCTION("""COMPUTED_VALUE"""),3.01)</f>
        <v>3.01</v>
      </c>
      <c r="E352" s="2">
        <f ca="1">IFERROR(__xludf.DUMMYFUNCTION("""COMPUTED_VALUE"""),3.18)</f>
        <v>3.18</v>
      </c>
      <c r="F352" s="2">
        <f ca="1">IFERROR(__xludf.DUMMYFUNCTION("""COMPUTED_VALUE"""),3.07)</f>
        <v>3.07</v>
      </c>
      <c r="G352" s="2">
        <f ca="1">IFERROR(__xludf.DUMMYFUNCTION("""COMPUTED_VALUE"""),3.43)</f>
        <v>3.43</v>
      </c>
      <c r="H352" s="2">
        <f ca="1">IFERROR(__xludf.DUMMYFUNCTION("""COMPUTED_VALUE"""),4.46)</f>
        <v>4.46</v>
      </c>
      <c r="I352" s="2">
        <f ca="1">IFERROR(__xludf.DUMMYFUNCTION("""COMPUTED_VALUE"""),3.6)</f>
        <v>3.6</v>
      </c>
      <c r="J352" s="2">
        <f ca="1">IFERROR(__xludf.DUMMYFUNCTION("""COMPUTED_VALUE"""),3.44)</f>
        <v>3.44</v>
      </c>
      <c r="K352" s="2">
        <f ca="1">IFERROR(__xludf.DUMMYFUNCTION("""COMPUTED_VALUE"""),75.06)</f>
        <v>75.06</v>
      </c>
      <c r="L352" s="2">
        <f ca="1">IFERROR(__xludf.DUMMYFUNCTION("""COMPUTED_VALUE"""),70.42)</f>
        <v>70.42</v>
      </c>
      <c r="M352" s="2">
        <f ca="1">IFERROR(__xludf.DUMMYFUNCTION("""COMPUTED_VALUE"""),69.27)</f>
        <v>69.27</v>
      </c>
      <c r="N352" s="2">
        <f ca="1">IFERROR(__xludf.DUMMYFUNCTION("""COMPUTED_VALUE"""),71.49)</f>
        <v>71.489999999999995</v>
      </c>
      <c r="O352" s="2">
        <f ca="1">IFERROR(__xludf.DUMMYFUNCTION("""COMPUTED_VALUE"""),72.32)</f>
        <v>72.319999999999993</v>
      </c>
      <c r="P352" s="2">
        <f ca="1">IFERROR(__xludf.DUMMYFUNCTION("""COMPUTED_VALUE"""),72.94)</f>
        <v>72.94</v>
      </c>
      <c r="Q352" s="2">
        <f ca="1">IFERROR(__xludf.DUMMYFUNCTION("""COMPUTED_VALUE"""),74.17)</f>
        <v>74.17</v>
      </c>
    </row>
    <row r="353" spans="1:17" ht="15.75" customHeight="1" x14ac:dyDescent="0.25">
      <c r="A353" s="2">
        <v>6310</v>
      </c>
      <c r="B353" s="2" t="str">
        <f ca="1">IFERROR(__xludf.DUMMYFUNCTION("""COMPUTED_VALUE"""),"KALIMANTAN SELATAN")</f>
        <v>KALIMANTAN SELATAN</v>
      </c>
      <c r="C353" s="2" t="str">
        <f ca="1">IFERROR(__xludf.DUMMYFUNCTION("""COMPUTED_VALUE"""),"Tanah Bumbu")</f>
        <v>Tanah Bumbu</v>
      </c>
      <c r="D353" s="2">
        <f ca="1">IFERROR(__xludf.DUMMYFUNCTION("""COMPUTED_VALUE"""),6.26)</f>
        <v>6.26</v>
      </c>
      <c r="E353" s="2">
        <f ca="1">IFERROR(__xludf.DUMMYFUNCTION("""COMPUTED_VALUE"""),6.05)</f>
        <v>6.05</v>
      </c>
      <c r="F353" s="2">
        <f ca="1">IFERROR(__xludf.DUMMYFUNCTION("""COMPUTED_VALUE"""),6.95)</f>
        <v>6.95</v>
      </c>
      <c r="G353" s="2">
        <f ca="1">IFERROR(__xludf.DUMMYFUNCTION("""COMPUTED_VALUE"""),6.83)</f>
        <v>6.83</v>
      </c>
      <c r="H353" s="2">
        <f ca="1">IFERROR(__xludf.DUMMYFUNCTION("""COMPUTED_VALUE"""),6.89)</f>
        <v>6.89</v>
      </c>
      <c r="I353" s="2">
        <f ca="1">IFERROR(__xludf.DUMMYFUNCTION("""COMPUTED_VALUE"""),6.56)</f>
        <v>6.56</v>
      </c>
      <c r="J353" s="2">
        <f ca="1">IFERROR(__xludf.DUMMYFUNCTION("""COMPUTED_VALUE"""),6.37)</f>
        <v>6.37</v>
      </c>
      <c r="K353" s="2">
        <f ca="1">IFERROR(__xludf.DUMMYFUNCTION("""COMPUTED_VALUE"""),65.97)</f>
        <v>65.97</v>
      </c>
      <c r="L353" s="2">
        <f ca="1">IFERROR(__xludf.DUMMYFUNCTION("""COMPUTED_VALUE"""),66.57)</f>
        <v>66.569999999999993</v>
      </c>
      <c r="M353" s="2">
        <f ca="1">IFERROR(__xludf.DUMMYFUNCTION("""COMPUTED_VALUE"""),70.16)</f>
        <v>70.16</v>
      </c>
      <c r="N353" s="2">
        <f ca="1">IFERROR(__xludf.DUMMYFUNCTION("""COMPUTED_VALUE"""),68.29)</f>
        <v>68.290000000000006</v>
      </c>
      <c r="O353" s="2">
        <f ca="1">IFERROR(__xludf.DUMMYFUNCTION("""COMPUTED_VALUE"""),64.75)</f>
        <v>64.75</v>
      </c>
      <c r="P353" s="2">
        <f ca="1">IFERROR(__xludf.DUMMYFUNCTION("""COMPUTED_VALUE"""),68.57)</f>
        <v>68.569999999999993</v>
      </c>
      <c r="Q353" s="2">
        <f ca="1">IFERROR(__xludf.DUMMYFUNCTION("""COMPUTED_VALUE"""),67.35)</f>
        <v>67.349999999999994</v>
      </c>
    </row>
    <row r="354" spans="1:17" ht="15.75" customHeight="1" x14ac:dyDescent="0.25">
      <c r="A354" s="2">
        <v>6311</v>
      </c>
      <c r="B354" s="2" t="str">
        <f ca="1">IFERROR(__xludf.DUMMYFUNCTION("""COMPUTED_VALUE"""),"KALIMANTAN SELATAN")</f>
        <v>KALIMANTAN SELATAN</v>
      </c>
      <c r="C354" s="2" t="str">
        <f ca="1">IFERROR(__xludf.DUMMYFUNCTION("""COMPUTED_VALUE"""),"Balangan")</f>
        <v>Balangan</v>
      </c>
      <c r="D354" s="2">
        <f ca="1">IFERROR(__xludf.DUMMYFUNCTION("""COMPUTED_VALUE"""),2.24)</f>
        <v>2.2400000000000002</v>
      </c>
      <c r="E354" s="2">
        <f ca="1">IFERROR(__xludf.DUMMYFUNCTION("""COMPUTED_VALUE"""),2.28)</f>
        <v>2.2799999999999998</v>
      </c>
      <c r="F354" s="2">
        <f ca="1">IFERROR(__xludf.DUMMYFUNCTION("""COMPUTED_VALUE"""),2.46)</f>
        <v>2.46</v>
      </c>
      <c r="G354" s="2">
        <f ca="1">IFERROR(__xludf.DUMMYFUNCTION("""COMPUTED_VALUE"""),2.44)</f>
        <v>2.44</v>
      </c>
      <c r="H354" s="2">
        <f ca="1">IFERROR(__xludf.DUMMYFUNCTION("""COMPUTED_VALUE"""),3.98)</f>
        <v>3.98</v>
      </c>
      <c r="I354" s="2">
        <f ca="1">IFERROR(__xludf.DUMMYFUNCTION("""COMPUTED_VALUE"""),2.7)</f>
        <v>2.7</v>
      </c>
      <c r="J354" s="2">
        <f ca="1">IFERROR(__xludf.DUMMYFUNCTION("""COMPUTED_VALUE"""),2.69)</f>
        <v>2.69</v>
      </c>
      <c r="K354" s="2">
        <f ca="1">IFERROR(__xludf.DUMMYFUNCTION("""COMPUTED_VALUE"""),77.41)</f>
        <v>77.41</v>
      </c>
      <c r="L354" s="2">
        <f ca="1">IFERROR(__xludf.DUMMYFUNCTION("""COMPUTED_VALUE"""),71.25)</f>
        <v>71.25</v>
      </c>
      <c r="M354" s="2">
        <f ca="1">IFERROR(__xludf.DUMMYFUNCTION("""COMPUTED_VALUE"""),76.5)</f>
        <v>76.5</v>
      </c>
      <c r="N354" s="2">
        <f ca="1">IFERROR(__xludf.DUMMYFUNCTION("""COMPUTED_VALUE"""),75.38)</f>
        <v>75.38</v>
      </c>
      <c r="O354" s="2">
        <f ca="1">IFERROR(__xludf.DUMMYFUNCTION("""COMPUTED_VALUE"""),72.54)</f>
        <v>72.540000000000006</v>
      </c>
      <c r="P354" s="2">
        <f ca="1">IFERROR(__xludf.DUMMYFUNCTION("""COMPUTED_VALUE"""),73.16)</f>
        <v>73.16</v>
      </c>
      <c r="Q354" s="2">
        <f ca="1">IFERROR(__xludf.DUMMYFUNCTION("""COMPUTED_VALUE"""),76.91)</f>
        <v>76.91</v>
      </c>
    </row>
    <row r="355" spans="1:17" ht="15.75" customHeight="1" x14ac:dyDescent="0.25">
      <c r="A355" s="2">
        <v>6371</v>
      </c>
      <c r="B355" s="2" t="str">
        <f ca="1">IFERROR(__xludf.DUMMYFUNCTION("""COMPUTED_VALUE"""),"KALIMANTAN SELATAN")</f>
        <v>KALIMANTAN SELATAN</v>
      </c>
      <c r="C355" s="2" t="str">
        <f ca="1">IFERROR(__xludf.DUMMYFUNCTION("""COMPUTED_VALUE"""),"Kota Banjarmasin")</f>
        <v>Kota Banjarmasin</v>
      </c>
      <c r="D355" s="2">
        <f ca="1">IFERROR(__xludf.DUMMYFUNCTION("""COMPUTED_VALUE"""),8.01)</f>
        <v>8.01</v>
      </c>
      <c r="E355" s="2">
        <f ca="1">IFERROR(__xludf.DUMMYFUNCTION("""COMPUTED_VALUE"""),7.49)</f>
        <v>7.49</v>
      </c>
      <c r="F355" s="2">
        <f ca="1">IFERROR(__xludf.DUMMYFUNCTION("""COMPUTED_VALUE"""),8.32)</f>
        <v>8.32</v>
      </c>
      <c r="G355" s="2">
        <f ca="1">IFERROR(__xludf.DUMMYFUNCTION("""COMPUTED_VALUE"""),8.47)</f>
        <v>8.4700000000000006</v>
      </c>
      <c r="H355" s="2">
        <f ca="1">IFERROR(__xludf.DUMMYFUNCTION("""COMPUTED_VALUE"""),6.96)</f>
        <v>6.96</v>
      </c>
      <c r="I355" s="2">
        <f ca="1">IFERROR(__xludf.DUMMYFUNCTION("""COMPUTED_VALUE"""),6.7)</f>
        <v>6.7</v>
      </c>
      <c r="J355" s="2">
        <f ca="1">IFERROR(__xludf.DUMMYFUNCTION("""COMPUTED_VALUE"""),6.56)</f>
        <v>6.56</v>
      </c>
      <c r="K355" s="2">
        <f ca="1">IFERROR(__xludf.DUMMYFUNCTION("""COMPUTED_VALUE"""),64.4)</f>
        <v>64.400000000000006</v>
      </c>
      <c r="L355" s="2">
        <f ca="1">IFERROR(__xludf.DUMMYFUNCTION("""COMPUTED_VALUE"""),65.23)</f>
        <v>65.23</v>
      </c>
      <c r="M355" s="2">
        <f ca="1">IFERROR(__xludf.DUMMYFUNCTION("""COMPUTED_VALUE"""),62.07)</f>
        <v>62.07</v>
      </c>
      <c r="N355" s="2">
        <f ca="1">IFERROR(__xludf.DUMMYFUNCTION("""COMPUTED_VALUE"""),63.19)</f>
        <v>63.19</v>
      </c>
      <c r="O355" s="2">
        <f ca="1">IFERROR(__xludf.DUMMYFUNCTION("""COMPUTED_VALUE"""),63.15)</f>
        <v>63.15</v>
      </c>
      <c r="P355" s="2">
        <f ca="1">IFERROR(__xludf.DUMMYFUNCTION("""COMPUTED_VALUE"""),66.16)</f>
        <v>66.16</v>
      </c>
      <c r="Q355" s="2">
        <f ca="1">IFERROR(__xludf.DUMMYFUNCTION("""COMPUTED_VALUE"""),63.93)</f>
        <v>63.93</v>
      </c>
    </row>
    <row r="356" spans="1:17" ht="15.75" customHeight="1" x14ac:dyDescent="0.25">
      <c r="A356" s="2">
        <v>6372</v>
      </c>
      <c r="B356" s="2" t="str">
        <f ca="1">IFERROR(__xludf.DUMMYFUNCTION("""COMPUTED_VALUE"""),"KALIMANTAN SELATAN")</f>
        <v>KALIMANTAN SELATAN</v>
      </c>
      <c r="C356" s="2" t="s">
        <v>74</v>
      </c>
      <c r="D356" s="2">
        <f ca="1">IFERROR(__xludf.DUMMYFUNCTION("""COMPUTED_VALUE"""),5.11)</f>
        <v>5.1100000000000003</v>
      </c>
      <c r="E356" s="2">
        <f ca="1">IFERROR(__xludf.DUMMYFUNCTION("""COMPUTED_VALUE"""),4.93)</f>
        <v>4.93</v>
      </c>
      <c r="F356" s="2">
        <f ca="1">IFERROR(__xludf.DUMMYFUNCTION("""COMPUTED_VALUE"""),5.54)</f>
        <v>5.54</v>
      </c>
      <c r="G356" s="2">
        <f ca="1">IFERROR(__xludf.DUMMYFUNCTION("""COMPUTED_VALUE"""),5.7)</f>
        <v>5.7</v>
      </c>
      <c r="H356" s="2">
        <f ca="1">IFERROR(__xludf.DUMMYFUNCTION("""COMPUTED_VALUE"""),5.47)</f>
        <v>5.47</v>
      </c>
      <c r="I356" s="2">
        <f ca="1">IFERROR(__xludf.DUMMYFUNCTION("""COMPUTED_VALUE"""),5.01)</f>
        <v>5.01</v>
      </c>
      <c r="J356" s="2">
        <f ca="1">IFERROR(__xludf.DUMMYFUNCTION("""COMPUTED_VALUE"""),4.93)</f>
        <v>4.93</v>
      </c>
      <c r="K356" s="2">
        <f ca="1">IFERROR(__xludf.DUMMYFUNCTION("""COMPUTED_VALUE"""),62.63)</f>
        <v>62.63</v>
      </c>
      <c r="L356" s="2">
        <f ca="1">IFERROR(__xludf.DUMMYFUNCTION("""COMPUTED_VALUE"""),62.72)</f>
        <v>62.72</v>
      </c>
      <c r="M356" s="2">
        <f ca="1">IFERROR(__xludf.DUMMYFUNCTION("""COMPUTED_VALUE"""),66.82)</f>
        <v>66.819999999999993</v>
      </c>
      <c r="N356" s="2">
        <f ca="1">IFERROR(__xludf.DUMMYFUNCTION("""COMPUTED_VALUE"""),65.95)</f>
        <v>65.95</v>
      </c>
      <c r="O356" s="2">
        <f ca="1">IFERROR(__xludf.DUMMYFUNCTION("""COMPUTED_VALUE"""),62.46)</f>
        <v>62.46</v>
      </c>
      <c r="P356" s="2">
        <f ca="1">IFERROR(__xludf.DUMMYFUNCTION("""COMPUTED_VALUE"""),67.18)</f>
        <v>67.180000000000007</v>
      </c>
      <c r="Q356" s="2">
        <f ca="1">IFERROR(__xludf.DUMMYFUNCTION("""COMPUTED_VALUE"""),67.23)</f>
        <v>67.23</v>
      </c>
    </row>
    <row r="357" spans="1:17" ht="15.75" customHeight="1" x14ac:dyDescent="0.25">
      <c r="A357" s="2">
        <v>6401</v>
      </c>
      <c r="B357" s="2" t="str">
        <f ca="1">IFERROR(__xludf.DUMMYFUNCTION("""COMPUTED_VALUE"""),"KALIMANTAN TIMUR")</f>
        <v>KALIMANTAN TIMUR</v>
      </c>
      <c r="C357" s="2" t="str">
        <f ca="1">IFERROR(__xludf.DUMMYFUNCTION("""COMPUTED_VALUE"""),"Paser")</f>
        <v>Paser</v>
      </c>
      <c r="D357" s="2">
        <f ca="1">IFERROR(__xludf.DUMMYFUNCTION("""COMPUTED_VALUE"""),4.84)</f>
        <v>4.84</v>
      </c>
      <c r="E357" s="2">
        <f ca="1">IFERROR(__xludf.DUMMYFUNCTION("""COMPUTED_VALUE"""),4.38)</f>
        <v>4.38</v>
      </c>
      <c r="F357" s="2">
        <f ca="1">IFERROR(__xludf.DUMMYFUNCTION("""COMPUTED_VALUE"""),4.52)</f>
        <v>4.5199999999999996</v>
      </c>
      <c r="G357" s="2">
        <f ca="1">IFERROR(__xludf.DUMMYFUNCTION("""COMPUTED_VALUE"""),5.7)</f>
        <v>5.7</v>
      </c>
      <c r="H357" s="2">
        <f ca="1">IFERROR(__xludf.DUMMYFUNCTION("""COMPUTED_VALUE"""),4.88)</f>
        <v>4.88</v>
      </c>
      <c r="I357" s="2">
        <f ca="1">IFERROR(__xludf.DUMMYFUNCTION("""COMPUTED_VALUE"""),4.72)</f>
        <v>4.72</v>
      </c>
      <c r="J357" s="2"/>
      <c r="K357" s="2">
        <f ca="1">IFERROR(__xludf.DUMMYFUNCTION("""COMPUTED_VALUE"""),66.84)</f>
        <v>66.84</v>
      </c>
      <c r="L357" s="2">
        <f ca="1">IFERROR(__xludf.DUMMYFUNCTION("""COMPUTED_VALUE"""),66.17)</f>
        <v>66.17</v>
      </c>
      <c r="M357" s="2">
        <f ca="1">IFERROR(__xludf.DUMMYFUNCTION("""COMPUTED_VALUE"""),67.88)</f>
        <v>67.88</v>
      </c>
      <c r="N357" s="2">
        <f ca="1">IFERROR(__xludf.DUMMYFUNCTION("""COMPUTED_VALUE"""),65.34)</f>
        <v>65.34</v>
      </c>
      <c r="O357" s="2">
        <f ca="1">IFERROR(__xludf.DUMMYFUNCTION("""COMPUTED_VALUE"""),61.7)</f>
        <v>61.7</v>
      </c>
      <c r="P357" s="2">
        <f ca="1">IFERROR(__xludf.DUMMYFUNCTION("""COMPUTED_VALUE"""),62.95)</f>
        <v>62.95</v>
      </c>
      <c r="Q357" s="2"/>
    </row>
    <row r="358" spans="1:17" ht="15.75" customHeight="1" x14ac:dyDescent="0.25">
      <c r="A358" s="2">
        <v>6402</v>
      </c>
      <c r="B358" s="2" t="str">
        <f ca="1">IFERROR(__xludf.DUMMYFUNCTION("""COMPUTED_VALUE"""),"KALIMANTAN TIMUR")</f>
        <v>KALIMANTAN TIMUR</v>
      </c>
      <c r="C358" s="2" t="str">
        <f ca="1">IFERROR(__xludf.DUMMYFUNCTION("""COMPUTED_VALUE"""),"Kutai Barat")</f>
        <v>Kutai Barat</v>
      </c>
      <c r="D358" s="2">
        <f ca="1">IFERROR(__xludf.DUMMYFUNCTION("""COMPUTED_VALUE"""),4.67)</f>
        <v>4.67</v>
      </c>
      <c r="E358" s="2">
        <f ca="1">IFERROR(__xludf.DUMMYFUNCTION("""COMPUTED_VALUE"""),4.89)</f>
        <v>4.8899999999999997</v>
      </c>
      <c r="F358" s="2">
        <f ca="1">IFERROR(__xludf.DUMMYFUNCTION("""COMPUTED_VALUE"""),4.97)</f>
        <v>4.97</v>
      </c>
      <c r="G358" s="2">
        <f ca="1">IFERROR(__xludf.DUMMYFUNCTION("""COMPUTED_VALUE"""),5.14)</f>
        <v>5.14</v>
      </c>
      <c r="H358" s="2">
        <f ca="1">IFERROR(__xludf.DUMMYFUNCTION("""COMPUTED_VALUE"""),4.62)</f>
        <v>4.62</v>
      </c>
      <c r="I358" s="2">
        <f ca="1">IFERROR(__xludf.DUMMYFUNCTION("""COMPUTED_VALUE"""),6.16)</f>
        <v>6.16</v>
      </c>
      <c r="J358" s="2"/>
      <c r="K358" s="2">
        <f ca="1">IFERROR(__xludf.DUMMYFUNCTION("""COMPUTED_VALUE"""),71.33)</f>
        <v>71.33</v>
      </c>
      <c r="L358" s="2">
        <f ca="1">IFERROR(__xludf.DUMMYFUNCTION("""COMPUTED_VALUE"""),66.76)</f>
        <v>66.760000000000005</v>
      </c>
      <c r="M358" s="2">
        <f ca="1">IFERROR(__xludf.DUMMYFUNCTION("""COMPUTED_VALUE"""),71.02)</f>
        <v>71.02</v>
      </c>
      <c r="N358" s="2">
        <f ca="1">IFERROR(__xludf.DUMMYFUNCTION("""COMPUTED_VALUE"""),72.53)</f>
        <v>72.53</v>
      </c>
      <c r="O358" s="2">
        <f ca="1">IFERROR(__xludf.DUMMYFUNCTION("""COMPUTED_VALUE"""),69.68)</f>
        <v>69.680000000000007</v>
      </c>
      <c r="P358" s="2">
        <f ca="1">IFERROR(__xludf.DUMMYFUNCTION("""COMPUTED_VALUE"""),70.51)</f>
        <v>70.510000000000005</v>
      </c>
      <c r="Q358" s="2"/>
    </row>
    <row r="359" spans="1:17" ht="15.75" customHeight="1" x14ac:dyDescent="0.25">
      <c r="A359" s="2">
        <v>6403</v>
      </c>
      <c r="B359" s="2" t="str">
        <f ca="1">IFERROR(__xludf.DUMMYFUNCTION("""COMPUTED_VALUE"""),"KALIMANTAN TIMUR")</f>
        <v>KALIMANTAN TIMUR</v>
      </c>
      <c r="C359" s="2" t="str">
        <f ca="1">IFERROR(__xludf.DUMMYFUNCTION("""COMPUTED_VALUE"""),"Kutai Kartanegara")</f>
        <v>Kutai Kartanegara</v>
      </c>
      <c r="D359" s="2">
        <f ca="1">IFERROR(__xludf.DUMMYFUNCTION("""COMPUTED_VALUE"""),5.74)</f>
        <v>5.74</v>
      </c>
      <c r="E359" s="2">
        <f ca="1">IFERROR(__xludf.DUMMYFUNCTION("""COMPUTED_VALUE"""),5.79)</f>
        <v>5.79</v>
      </c>
      <c r="F359" s="2">
        <f ca="1">IFERROR(__xludf.DUMMYFUNCTION("""COMPUTED_VALUE"""),5.7)</f>
        <v>5.7</v>
      </c>
      <c r="G359" s="2">
        <f ca="1">IFERROR(__xludf.DUMMYFUNCTION("""COMPUTED_VALUE"""),5.66)</f>
        <v>5.66</v>
      </c>
      <c r="H359" s="2">
        <f ca="1">IFERROR(__xludf.DUMMYFUNCTION("""COMPUTED_VALUE"""),4.14)</f>
        <v>4.1399999999999997</v>
      </c>
      <c r="I359" s="2">
        <f ca="1">IFERROR(__xludf.DUMMYFUNCTION("""COMPUTED_VALUE"""),4.05)</f>
        <v>4.05</v>
      </c>
      <c r="J359" s="2"/>
      <c r="K359" s="2">
        <f ca="1">IFERROR(__xludf.DUMMYFUNCTION("""COMPUTED_VALUE"""),64.14)</f>
        <v>64.14</v>
      </c>
      <c r="L359" s="2">
        <f ca="1">IFERROR(__xludf.DUMMYFUNCTION("""COMPUTED_VALUE"""),65.74)</f>
        <v>65.739999999999995</v>
      </c>
      <c r="M359" s="2">
        <f ca="1">IFERROR(__xludf.DUMMYFUNCTION("""COMPUTED_VALUE"""),61.98)</f>
        <v>61.98</v>
      </c>
      <c r="N359" s="2">
        <f ca="1">IFERROR(__xludf.DUMMYFUNCTION("""COMPUTED_VALUE"""),64.46)</f>
        <v>64.459999999999994</v>
      </c>
      <c r="O359" s="2">
        <f ca="1">IFERROR(__xludf.DUMMYFUNCTION("""COMPUTED_VALUE"""),61.95)</f>
        <v>61.95</v>
      </c>
      <c r="P359" s="2">
        <f ca="1">IFERROR(__xludf.DUMMYFUNCTION("""COMPUTED_VALUE"""),65.32)</f>
        <v>65.319999999999993</v>
      </c>
      <c r="Q359" s="2"/>
    </row>
    <row r="360" spans="1:17" ht="15.75" customHeight="1" x14ac:dyDescent="0.25">
      <c r="A360" s="2">
        <v>6404</v>
      </c>
      <c r="B360" s="2" t="str">
        <f ca="1">IFERROR(__xludf.DUMMYFUNCTION("""COMPUTED_VALUE"""),"KALIMANTAN TIMUR")</f>
        <v>KALIMANTAN TIMUR</v>
      </c>
      <c r="C360" s="2" t="str">
        <f ca="1">IFERROR(__xludf.DUMMYFUNCTION("""COMPUTED_VALUE"""),"Kutai Timur")</f>
        <v>Kutai Timur</v>
      </c>
      <c r="D360" s="2">
        <f ca="1">IFERROR(__xludf.DUMMYFUNCTION("""COMPUTED_VALUE"""),5.85)</f>
        <v>5.85</v>
      </c>
      <c r="E360" s="2">
        <f ca="1">IFERROR(__xludf.DUMMYFUNCTION("""COMPUTED_VALUE"""),5.45)</f>
        <v>5.45</v>
      </c>
      <c r="F360" s="2">
        <f ca="1">IFERROR(__xludf.DUMMYFUNCTION("""COMPUTED_VALUE"""),5.45)</f>
        <v>5.45</v>
      </c>
      <c r="G360" s="2">
        <f ca="1">IFERROR(__xludf.DUMMYFUNCTION("""COMPUTED_VALUE"""),5.35)</f>
        <v>5.35</v>
      </c>
      <c r="H360" s="2">
        <f ca="1">IFERROR(__xludf.DUMMYFUNCTION("""COMPUTED_VALUE"""),6.48)</f>
        <v>6.48</v>
      </c>
      <c r="I360" s="2">
        <f ca="1">IFERROR(__xludf.DUMMYFUNCTION("""COMPUTED_VALUE"""),5.93)</f>
        <v>5.93</v>
      </c>
      <c r="J360" s="2"/>
      <c r="K360" s="2">
        <f ca="1">IFERROR(__xludf.DUMMYFUNCTION("""COMPUTED_VALUE"""),68.95)</f>
        <v>68.95</v>
      </c>
      <c r="L360" s="2">
        <f ca="1">IFERROR(__xludf.DUMMYFUNCTION("""COMPUTED_VALUE"""),68.85)</f>
        <v>68.849999999999994</v>
      </c>
      <c r="M360" s="2">
        <f ca="1">IFERROR(__xludf.DUMMYFUNCTION("""COMPUTED_VALUE"""),68.96)</f>
        <v>68.959999999999994</v>
      </c>
      <c r="N360" s="2">
        <f ca="1">IFERROR(__xludf.DUMMYFUNCTION("""COMPUTED_VALUE"""),67.97)</f>
        <v>67.97</v>
      </c>
      <c r="O360" s="2">
        <f ca="1">IFERROR(__xludf.DUMMYFUNCTION("""COMPUTED_VALUE"""),67.78)</f>
        <v>67.78</v>
      </c>
      <c r="P360" s="2">
        <f ca="1">IFERROR(__xludf.DUMMYFUNCTION("""COMPUTED_VALUE"""),66.22)</f>
        <v>66.22</v>
      </c>
      <c r="Q360" s="2"/>
    </row>
    <row r="361" spans="1:17" ht="15.75" customHeight="1" x14ac:dyDescent="0.25">
      <c r="A361" s="2">
        <v>6405</v>
      </c>
      <c r="B361" s="2" t="str">
        <f ca="1">IFERROR(__xludf.DUMMYFUNCTION("""COMPUTED_VALUE"""),"KALIMANTAN TIMUR")</f>
        <v>KALIMANTAN TIMUR</v>
      </c>
      <c r="C361" s="2" t="str">
        <f ca="1">IFERROR(__xludf.DUMMYFUNCTION("""COMPUTED_VALUE"""),"Berau")</f>
        <v>Berau</v>
      </c>
      <c r="D361" s="2">
        <f ca="1">IFERROR(__xludf.DUMMYFUNCTION("""COMPUTED_VALUE"""),5.45)</f>
        <v>5.45</v>
      </c>
      <c r="E361" s="2">
        <f ca="1">IFERROR(__xludf.DUMMYFUNCTION("""COMPUTED_VALUE"""),4.95)</f>
        <v>4.95</v>
      </c>
      <c r="F361" s="2">
        <f ca="1">IFERROR(__xludf.DUMMYFUNCTION("""COMPUTED_VALUE"""),5.08)</f>
        <v>5.08</v>
      </c>
      <c r="G361" s="2">
        <f ca="1">IFERROR(__xludf.DUMMYFUNCTION("""COMPUTED_VALUE"""),5.82)</f>
        <v>5.82</v>
      </c>
      <c r="H361" s="2">
        <f ca="1">IFERROR(__xludf.DUMMYFUNCTION("""COMPUTED_VALUE"""),5.02)</f>
        <v>5.0199999999999996</v>
      </c>
      <c r="I361" s="2">
        <f ca="1">IFERROR(__xludf.DUMMYFUNCTION("""COMPUTED_VALUE"""),4.95)</f>
        <v>4.95</v>
      </c>
      <c r="J361" s="2"/>
      <c r="K361" s="2">
        <f ca="1">IFERROR(__xludf.DUMMYFUNCTION("""COMPUTED_VALUE"""),67.48)</f>
        <v>67.48</v>
      </c>
      <c r="L361" s="2">
        <f ca="1">IFERROR(__xludf.DUMMYFUNCTION("""COMPUTED_VALUE"""),66.49)</f>
        <v>66.489999999999995</v>
      </c>
      <c r="M361" s="2">
        <f ca="1">IFERROR(__xludf.DUMMYFUNCTION("""COMPUTED_VALUE"""),67.4)</f>
        <v>67.400000000000006</v>
      </c>
      <c r="N361" s="2">
        <f ca="1">IFERROR(__xludf.DUMMYFUNCTION("""COMPUTED_VALUE"""),65.55)</f>
        <v>65.55</v>
      </c>
      <c r="O361" s="2">
        <f ca="1">IFERROR(__xludf.DUMMYFUNCTION("""COMPUTED_VALUE"""),64.97)</f>
        <v>64.97</v>
      </c>
      <c r="P361" s="2">
        <f ca="1">IFERROR(__xludf.DUMMYFUNCTION("""COMPUTED_VALUE"""),66.91)</f>
        <v>66.91</v>
      </c>
      <c r="Q361" s="2"/>
    </row>
    <row r="362" spans="1:17" ht="15.75" customHeight="1" x14ac:dyDescent="0.25">
      <c r="A362" s="2">
        <v>6409</v>
      </c>
      <c r="B362" s="2" t="str">
        <f ca="1">IFERROR(__xludf.DUMMYFUNCTION("""COMPUTED_VALUE"""),"KALIMANTAN TIMUR")</f>
        <v>KALIMANTAN TIMUR</v>
      </c>
      <c r="C362" s="2" t="str">
        <f ca="1">IFERROR(__xludf.DUMMYFUNCTION("""COMPUTED_VALUE"""),"Penajam Paser Utara")</f>
        <v>Penajam Paser Utara</v>
      </c>
      <c r="D362" s="2">
        <f ca="1">IFERROR(__xludf.DUMMYFUNCTION("""COMPUTED_VALUE"""),4.62)</f>
        <v>4.62</v>
      </c>
      <c r="E362" s="2">
        <f ca="1">IFERROR(__xludf.DUMMYFUNCTION("""COMPUTED_VALUE"""),6.03)</f>
        <v>6.03</v>
      </c>
      <c r="F362" s="2">
        <f ca="1">IFERROR(__xludf.DUMMYFUNCTION("""COMPUTED_VALUE"""),6.22)</f>
        <v>6.22</v>
      </c>
      <c r="G362" s="2">
        <f ca="1">IFERROR(__xludf.DUMMYFUNCTION("""COMPUTED_VALUE"""),2.95)</f>
        <v>2.95</v>
      </c>
      <c r="H362" s="2">
        <f ca="1">IFERROR(__xludf.DUMMYFUNCTION("""COMPUTED_VALUE"""),2.12)</f>
        <v>2.12</v>
      </c>
      <c r="I362" s="2">
        <f ca="1">IFERROR(__xludf.DUMMYFUNCTION("""COMPUTED_VALUE"""),2.07)</f>
        <v>2.0699999999999998</v>
      </c>
      <c r="J362" s="2"/>
      <c r="K362" s="2">
        <f ca="1">IFERROR(__xludf.DUMMYFUNCTION("""COMPUTED_VALUE"""),64.53)</f>
        <v>64.53</v>
      </c>
      <c r="L362" s="2">
        <f ca="1">IFERROR(__xludf.DUMMYFUNCTION("""COMPUTED_VALUE"""),64.33)</f>
        <v>64.33</v>
      </c>
      <c r="M362" s="2">
        <f ca="1">IFERROR(__xludf.DUMMYFUNCTION("""COMPUTED_VALUE"""),69.04)</f>
        <v>69.040000000000006</v>
      </c>
      <c r="N362" s="2">
        <f ca="1">IFERROR(__xludf.DUMMYFUNCTION("""COMPUTED_VALUE"""),66.85)</f>
        <v>66.849999999999994</v>
      </c>
      <c r="O362" s="2">
        <f ca="1">IFERROR(__xludf.DUMMYFUNCTION("""COMPUTED_VALUE"""),68.4)</f>
        <v>68.400000000000006</v>
      </c>
      <c r="P362" s="2">
        <f ca="1">IFERROR(__xludf.DUMMYFUNCTION("""COMPUTED_VALUE"""),66.25)</f>
        <v>66.25</v>
      </c>
      <c r="Q362" s="2"/>
    </row>
    <row r="363" spans="1:17" ht="15.75" customHeight="1" x14ac:dyDescent="0.25">
      <c r="A363" s="2">
        <v>6411</v>
      </c>
      <c r="B363" s="2" t="str">
        <f ca="1">IFERROR(__xludf.DUMMYFUNCTION("""COMPUTED_VALUE"""),"KALIMANTAN TIMUR")</f>
        <v>KALIMANTAN TIMUR</v>
      </c>
      <c r="C363" s="2" t="str">
        <f ca="1">IFERROR(__xludf.DUMMYFUNCTION("""COMPUTED_VALUE"""),"Mahakam Ulu")</f>
        <v>Mahakam Ulu</v>
      </c>
      <c r="D363" s="2">
        <f ca="1">IFERROR(__xludf.DUMMYFUNCTION("""COMPUTED_VALUE"""),4.03)</f>
        <v>4.03</v>
      </c>
      <c r="E363" s="2">
        <f ca="1">IFERROR(__xludf.DUMMYFUNCTION("""COMPUTED_VALUE"""),3.56)</f>
        <v>3.56</v>
      </c>
      <c r="F363" s="2">
        <f ca="1">IFERROR(__xludf.DUMMYFUNCTION("""COMPUTED_VALUE"""),3.49)</f>
        <v>3.49</v>
      </c>
      <c r="G363" s="2">
        <f ca="1">IFERROR(__xludf.DUMMYFUNCTION("""COMPUTED_VALUE"""),3.14)</f>
        <v>3.14</v>
      </c>
      <c r="H363" s="2">
        <f ca="1">IFERROR(__xludf.DUMMYFUNCTION("""COMPUTED_VALUE"""),2.44)</f>
        <v>2.44</v>
      </c>
      <c r="I363" s="2">
        <f ca="1">IFERROR(__xludf.DUMMYFUNCTION("""COMPUTED_VALUE"""),2.09)</f>
        <v>2.09</v>
      </c>
      <c r="J363" s="2"/>
      <c r="K363" s="2">
        <f ca="1">IFERROR(__xludf.DUMMYFUNCTION("""COMPUTED_VALUE"""),79.02)</f>
        <v>79.02</v>
      </c>
      <c r="L363" s="2">
        <f ca="1">IFERROR(__xludf.DUMMYFUNCTION("""COMPUTED_VALUE"""),69.91)</f>
        <v>69.91</v>
      </c>
      <c r="M363" s="2">
        <f ca="1">IFERROR(__xludf.DUMMYFUNCTION("""COMPUTED_VALUE"""),76.22)</f>
        <v>76.22</v>
      </c>
      <c r="N363" s="2">
        <f ca="1">IFERROR(__xludf.DUMMYFUNCTION("""COMPUTED_VALUE"""),74.83)</f>
        <v>74.83</v>
      </c>
      <c r="O363" s="2">
        <f ca="1">IFERROR(__xludf.DUMMYFUNCTION("""COMPUTED_VALUE"""),70.51)</f>
        <v>70.510000000000005</v>
      </c>
      <c r="P363" s="2">
        <f ca="1">IFERROR(__xludf.DUMMYFUNCTION("""COMPUTED_VALUE"""),75)</f>
        <v>75</v>
      </c>
      <c r="Q363" s="2"/>
    </row>
    <row r="364" spans="1:17" ht="15.75" customHeight="1" x14ac:dyDescent="0.25">
      <c r="A364" s="2">
        <v>6471</v>
      </c>
      <c r="B364" s="2" t="str">
        <f ca="1">IFERROR(__xludf.DUMMYFUNCTION("""COMPUTED_VALUE"""),"KALIMANTAN TIMUR")</f>
        <v>KALIMANTAN TIMUR</v>
      </c>
      <c r="C364" s="2" t="s">
        <v>40</v>
      </c>
      <c r="D364" s="2">
        <f ca="1">IFERROR(__xludf.DUMMYFUNCTION("""COMPUTED_VALUE"""),9.27)</f>
        <v>9.27</v>
      </c>
      <c r="E364" s="2">
        <f ca="1">IFERROR(__xludf.DUMMYFUNCTION("""COMPUTED_VALUE"""),7.15)</f>
        <v>7.15</v>
      </c>
      <c r="F364" s="2">
        <f ca="1">IFERROR(__xludf.DUMMYFUNCTION("""COMPUTED_VALUE"""),9)</f>
        <v>9</v>
      </c>
      <c r="G364" s="2">
        <f ca="1">IFERROR(__xludf.DUMMYFUNCTION("""COMPUTED_VALUE"""),8.94)</f>
        <v>8.94</v>
      </c>
      <c r="H364" s="2">
        <f ca="1">IFERROR(__xludf.DUMMYFUNCTION("""COMPUTED_VALUE"""),6.9)</f>
        <v>6.9</v>
      </c>
      <c r="I364" s="2">
        <f ca="1">IFERROR(__xludf.DUMMYFUNCTION("""COMPUTED_VALUE"""),6.09)</f>
        <v>6.09</v>
      </c>
      <c r="J364" s="2"/>
      <c r="K364" s="2">
        <f ca="1">IFERROR(__xludf.DUMMYFUNCTION("""COMPUTED_VALUE"""),63.51)</f>
        <v>63.51</v>
      </c>
      <c r="L364" s="2">
        <f ca="1">IFERROR(__xludf.DUMMYFUNCTION("""COMPUTED_VALUE"""),65.44)</f>
        <v>65.44</v>
      </c>
      <c r="M364" s="2">
        <f ca="1">IFERROR(__xludf.DUMMYFUNCTION("""COMPUTED_VALUE"""),62.9)</f>
        <v>62.9</v>
      </c>
      <c r="N364" s="2">
        <f ca="1">IFERROR(__xludf.DUMMYFUNCTION("""COMPUTED_VALUE"""),64.29)</f>
        <v>64.290000000000006</v>
      </c>
      <c r="O364" s="2">
        <f ca="1">IFERROR(__xludf.DUMMYFUNCTION("""COMPUTED_VALUE"""),65.58)</f>
        <v>65.58</v>
      </c>
      <c r="P364" s="2">
        <f ca="1">IFERROR(__xludf.DUMMYFUNCTION("""COMPUTED_VALUE"""),63.48)</f>
        <v>63.48</v>
      </c>
      <c r="Q364" s="2"/>
    </row>
    <row r="365" spans="1:17" ht="15.75" customHeight="1" x14ac:dyDescent="0.25">
      <c r="A365" s="2">
        <v>6472</v>
      </c>
      <c r="B365" s="2" t="str">
        <f ca="1">IFERROR(__xludf.DUMMYFUNCTION("""COMPUTED_VALUE"""),"KALIMANTAN TIMUR")</f>
        <v>KALIMANTAN TIMUR</v>
      </c>
      <c r="C365" s="2" t="s">
        <v>53</v>
      </c>
      <c r="D365" s="2">
        <f ca="1">IFERROR(__xludf.DUMMYFUNCTION("""COMPUTED_VALUE"""),5.99)</f>
        <v>5.99</v>
      </c>
      <c r="E365" s="2">
        <f ca="1">IFERROR(__xludf.DUMMYFUNCTION("""COMPUTED_VALUE"""),5.73)</f>
        <v>5.73</v>
      </c>
      <c r="F365" s="2">
        <f ca="1">IFERROR(__xludf.DUMMYFUNCTION("""COMPUTED_VALUE"""),8.26)</f>
        <v>8.26</v>
      </c>
      <c r="G365" s="2">
        <f ca="1">IFERROR(__xludf.DUMMYFUNCTION("""COMPUTED_VALUE"""),8.16)</f>
        <v>8.16</v>
      </c>
      <c r="H365" s="2">
        <f ca="1">IFERROR(__xludf.DUMMYFUNCTION("""COMPUTED_VALUE"""),6.78)</f>
        <v>6.78</v>
      </c>
      <c r="I365" s="2">
        <f ca="1">IFERROR(__xludf.DUMMYFUNCTION("""COMPUTED_VALUE"""),5.92)</f>
        <v>5.92</v>
      </c>
      <c r="J365" s="2"/>
      <c r="K365" s="2">
        <f ca="1">IFERROR(__xludf.DUMMYFUNCTION("""COMPUTED_VALUE"""),60.82)</f>
        <v>60.82</v>
      </c>
      <c r="L365" s="2">
        <f ca="1">IFERROR(__xludf.DUMMYFUNCTION("""COMPUTED_VALUE"""),64.77)</f>
        <v>64.77</v>
      </c>
      <c r="M365" s="2">
        <f ca="1">IFERROR(__xludf.DUMMYFUNCTION("""COMPUTED_VALUE"""),65.16)</f>
        <v>65.16</v>
      </c>
      <c r="N365" s="2">
        <f ca="1">IFERROR(__xludf.DUMMYFUNCTION("""COMPUTED_VALUE"""),64.29)</f>
        <v>64.290000000000006</v>
      </c>
      <c r="O365" s="2">
        <f ca="1">IFERROR(__xludf.DUMMYFUNCTION("""COMPUTED_VALUE"""),62.96)</f>
        <v>62.96</v>
      </c>
      <c r="P365" s="2">
        <f ca="1">IFERROR(__xludf.DUMMYFUNCTION("""COMPUTED_VALUE"""),65.49)</f>
        <v>65.489999999999995</v>
      </c>
      <c r="Q365" s="2"/>
    </row>
    <row r="366" spans="1:17" ht="15.75" customHeight="1" x14ac:dyDescent="0.25">
      <c r="A366" s="2">
        <v>6474</v>
      </c>
      <c r="B366" s="2" t="str">
        <f ca="1">IFERROR(__xludf.DUMMYFUNCTION("""COMPUTED_VALUE"""),"KALIMANTAN TIMUR")</f>
        <v>KALIMANTAN TIMUR</v>
      </c>
      <c r="C366" s="10" t="s">
        <v>90</v>
      </c>
      <c r="D366" s="2">
        <f ca="1">IFERROR(__xludf.DUMMYFUNCTION("""COMPUTED_VALUE"""),9.41)</f>
        <v>9.41</v>
      </c>
      <c r="E366" s="2">
        <f ca="1">IFERROR(__xludf.DUMMYFUNCTION("""COMPUTED_VALUE"""),9.02)</f>
        <v>9.02</v>
      </c>
      <c r="F366" s="2">
        <f ca="1">IFERROR(__xludf.DUMMYFUNCTION("""COMPUTED_VALUE"""),9.46)</f>
        <v>9.4600000000000009</v>
      </c>
      <c r="G366" s="2">
        <f ca="1">IFERROR(__xludf.DUMMYFUNCTION("""COMPUTED_VALUE"""),9.92)</f>
        <v>9.92</v>
      </c>
      <c r="H366" s="2">
        <f ca="1">IFERROR(__xludf.DUMMYFUNCTION("""COMPUTED_VALUE"""),7.81)</f>
        <v>7.81</v>
      </c>
      <c r="I366" s="2">
        <f ca="1">IFERROR(__xludf.DUMMYFUNCTION("""COMPUTED_VALUE"""),7.74)</f>
        <v>7.74</v>
      </c>
      <c r="J366" s="2"/>
      <c r="K366" s="2">
        <f ca="1">IFERROR(__xludf.DUMMYFUNCTION("""COMPUTED_VALUE"""),64.72)</f>
        <v>64.72</v>
      </c>
      <c r="L366" s="2">
        <f ca="1">IFERROR(__xludf.DUMMYFUNCTION("""COMPUTED_VALUE"""),68.06)</f>
        <v>68.06</v>
      </c>
      <c r="M366" s="2">
        <f ca="1">IFERROR(__xludf.DUMMYFUNCTION("""COMPUTED_VALUE"""),69.24)</f>
        <v>69.239999999999995</v>
      </c>
      <c r="N366" s="2">
        <f ca="1">IFERROR(__xludf.DUMMYFUNCTION("""COMPUTED_VALUE"""),66.63)</f>
        <v>66.63</v>
      </c>
      <c r="O366" s="2">
        <f ca="1">IFERROR(__xludf.DUMMYFUNCTION("""COMPUTED_VALUE"""),72.08)</f>
        <v>72.08</v>
      </c>
      <c r="P366" s="2">
        <f ca="1">IFERROR(__xludf.DUMMYFUNCTION("""COMPUTED_VALUE"""),68.35)</f>
        <v>68.349999999999994</v>
      </c>
      <c r="Q366" s="2"/>
    </row>
    <row r="367" spans="1:17" ht="15.75" customHeight="1" x14ac:dyDescent="0.25">
      <c r="A367" s="2">
        <v>6501</v>
      </c>
      <c r="B367" s="2" t="str">
        <f ca="1">IFERROR(__xludf.DUMMYFUNCTION("""COMPUTED_VALUE"""),"KALIMANTAN UTARA")</f>
        <v>KALIMANTAN UTARA</v>
      </c>
      <c r="C367" s="2" t="str">
        <f ca="1">IFERROR(__xludf.DUMMYFUNCTION("""COMPUTED_VALUE"""),"Malinau")</f>
        <v>Malinau</v>
      </c>
      <c r="D367" s="2">
        <f ca="1">IFERROR(__xludf.DUMMYFUNCTION("""COMPUTED_VALUE"""),4.24)</f>
        <v>4.24</v>
      </c>
      <c r="E367" s="2">
        <f ca="1">IFERROR(__xludf.DUMMYFUNCTION("""COMPUTED_VALUE"""),3.99)</f>
        <v>3.99</v>
      </c>
      <c r="F367" s="2">
        <f ca="1">IFERROR(__xludf.DUMMYFUNCTION("""COMPUTED_VALUE"""),5.08)</f>
        <v>5.08</v>
      </c>
      <c r="G367" s="2">
        <f ca="1">IFERROR(__xludf.DUMMYFUNCTION("""COMPUTED_VALUE"""),4.14)</f>
        <v>4.1399999999999997</v>
      </c>
      <c r="H367" s="2">
        <f ca="1">IFERROR(__xludf.DUMMYFUNCTION("""COMPUTED_VALUE"""),3.3)</f>
        <v>3.3</v>
      </c>
      <c r="I367" s="2">
        <f ca="1">IFERROR(__xludf.DUMMYFUNCTION("""COMPUTED_VALUE"""),3.19)</f>
        <v>3.19</v>
      </c>
      <c r="J367" s="2">
        <f ca="1">IFERROR(__xludf.DUMMYFUNCTION("""COMPUTED_VALUE"""),3.1)</f>
        <v>3.1</v>
      </c>
      <c r="K367" s="2">
        <f ca="1">IFERROR(__xludf.DUMMYFUNCTION("""COMPUTED_VALUE"""),75.04)</f>
        <v>75.040000000000006</v>
      </c>
      <c r="L367" s="2">
        <f ca="1">IFERROR(__xludf.DUMMYFUNCTION("""COMPUTED_VALUE"""),68.29)</f>
        <v>68.290000000000006</v>
      </c>
      <c r="M367" s="2">
        <f ca="1">IFERROR(__xludf.DUMMYFUNCTION("""COMPUTED_VALUE"""),66.44)</f>
        <v>66.44</v>
      </c>
      <c r="N367" s="2">
        <f ca="1">IFERROR(__xludf.DUMMYFUNCTION("""COMPUTED_VALUE"""),71.49)</f>
        <v>71.489999999999995</v>
      </c>
      <c r="O367" s="2">
        <f ca="1">IFERROR(__xludf.DUMMYFUNCTION("""COMPUTED_VALUE"""),73.55)</f>
        <v>73.55</v>
      </c>
      <c r="P367" s="2">
        <f ca="1">IFERROR(__xludf.DUMMYFUNCTION("""COMPUTED_VALUE"""),74.26)</f>
        <v>74.260000000000005</v>
      </c>
      <c r="Q367" s="2">
        <f ca="1">IFERROR(__xludf.DUMMYFUNCTION("""COMPUTED_VALUE"""),73.23)</f>
        <v>73.23</v>
      </c>
    </row>
    <row r="368" spans="1:17" ht="15.75" customHeight="1" x14ac:dyDescent="0.25">
      <c r="A368" s="2">
        <v>6502</v>
      </c>
      <c r="B368" s="2" t="str">
        <f ca="1">IFERROR(__xludf.DUMMYFUNCTION("""COMPUTED_VALUE"""),"KALIMANTAN UTARA")</f>
        <v>KALIMANTAN UTARA</v>
      </c>
      <c r="C368" s="2" t="str">
        <f ca="1">IFERROR(__xludf.DUMMYFUNCTION("""COMPUTED_VALUE"""),"Bulungan")</f>
        <v>Bulungan</v>
      </c>
      <c r="D368" s="2">
        <f ca="1">IFERROR(__xludf.DUMMYFUNCTION("""COMPUTED_VALUE"""),4.86)</f>
        <v>4.8600000000000003</v>
      </c>
      <c r="E368" s="2">
        <f ca="1">IFERROR(__xludf.DUMMYFUNCTION("""COMPUTED_VALUE"""),4.39)</f>
        <v>4.3899999999999997</v>
      </c>
      <c r="F368" s="2">
        <f ca="1">IFERROR(__xludf.DUMMYFUNCTION("""COMPUTED_VALUE"""),4.45)</f>
        <v>4.45</v>
      </c>
      <c r="G368" s="2">
        <f ca="1">IFERROR(__xludf.DUMMYFUNCTION("""COMPUTED_VALUE"""),4.54)</f>
        <v>4.54</v>
      </c>
      <c r="H368" s="2">
        <f ca="1">IFERROR(__xludf.DUMMYFUNCTION("""COMPUTED_VALUE"""),5.03)</f>
        <v>5.03</v>
      </c>
      <c r="I368" s="2">
        <f ca="1">IFERROR(__xludf.DUMMYFUNCTION("""COMPUTED_VALUE"""),4.54)</f>
        <v>4.54</v>
      </c>
      <c r="J368" s="2">
        <f ca="1">IFERROR(__xludf.DUMMYFUNCTION("""COMPUTED_VALUE"""),4.33)</f>
        <v>4.33</v>
      </c>
      <c r="K368" s="2">
        <f ca="1">IFERROR(__xludf.DUMMYFUNCTION("""COMPUTED_VALUE"""),68.58)</f>
        <v>68.58</v>
      </c>
      <c r="L368" s="2">
        <f ca="1">IFERROR(__xludf.DUMMYFUNCTION("""COMPUTED_VALUE"""),66.21)</f>
        <v>66.209999999999994</v>
      </c>
      <c r="M368" s="2">
        <f ca="1">IFERROR(__xludf.DUMMYFUNCTION("""COMPUTED_VALUE"""),67.38)</f>
        <v>67.38</v>
      </c>
      <c r="N368" s="2">
        <f ca="1">IFERROR(__xludf.DUMMYFUNCTION("""COMPUTED_VALUE"""),68.62)</f>
        <v>68.62</v>
      </c>
      <c r="O368" s="2">
        <f ca="1">IFERROR(__xludf.DUMMYFUNCTION("""COMPUTED_VALUE"""),64.24)</f>
        <v>64.239999999999995</v>
      </c>
      <c r="P368" s="2">
        <f ca="1">IFERROR(__xludf.DUMMYFUNCTION("""COMPUTED_VALUE"""),71.86)</f>
        <v>71.86</v>
      </c>
      <c r="Q368" s="2">
        <f ca="1">IFERROR(__xludf.DUMMYFUNCTION("""COMPUTED_VALUE"""),71.89)</f>
        <v>71.89</v>
      </c>
    </row>
    <row r="369" spans="1:17" ht="15.75" customHeight="1" x14ac:dyDescent="0.25">
      <c r="A369" s="2">
        <v>6503</v>
      </c>
      <c r="B369" s="2" t="str">
        <f ca="1">IFERROR(__xludf.DUMMYFUNCTION("""COMPUTED_VALUE"""),"KALIMANTAN UTARA")</f>
        <v>KALIMANTAN UTARA</v>
      </c>
      <c r="C369" s="2" t="str">
        <f ca="1">IFERROR(__xludf.DUMMYFUNCTION("""COMPUTED_VALUE"""),"Tana Tidung")</f>
        <v>Tana Tidung</v>
      </c>
      <c r="D369" s="2">
        <f ca="1">IFERROR(__xludf.DUMMYFUNCTION("""COMPUTED_VALUE"""),5.18)</f>
        <v>5.18</v>
      </c>
      <c r="E369" s="2">
        <f ca="1">IFERROR(__xludf.DUMMYFUNCTION("""COMPUTED_VALUE"""),4.54)</f>
        <v>4.54</v>
      </c>
      <c r="F369" s="2">
        <f ca="1">IFERROR(__xludf.DUMMYFUNCTION("""COMPUTED_VALUE"""),4.83)</f>
        <v>4.83</v>
      </c>
      <c r="G369" s="2">
        <f ca="1">IFERROR(__xludf.DUMMYFUNCTION("""COMPUTED_VALUE"""),5.26)</f>
        <v>5.26</v>
      </c>
      <c r="H369" s="2">
        <f ca="1">IFERROR(__xludf.DUMMYFUNCTION("""COMPUTED_VALUE"""),3.33)</f>
        <v>3.33</v>
      </c>
      <c r="I369" s="2">
        <f ca="1">IFERROR(__xludf.DUMMYFUNCTION("""COMPUTED_VALUE"""),3.24)</f>
        <v>3.24</v>
      </c>
      <c r="J369" s="2">
        <f ca="1">IFERROR(__xludf.DUMMYFUNCTION("""COMPUTED_VALUE"""),3.67)</f>
        <v>3.67</v>
      </c>
      <c r="K369" s="2">
        <f ca="1">IFERROR(__xludf.DUMMYFUNCTION("""COMPUTED_VALUE"""),62.18)</f>
        <v>62.18</v>
      </c>
      <c r="L369" s="2">
        <f ca="1">IFERROR(__xludf.DUMMYFUNCTION("""COMPUTED_VALUE"""),64.5)</f>
        <v>64.5</v>
      </c>
      <c r="M369" s="2">
        <f ca="1">IFERROR(__xludf.DUMMYFUNCTION("""COMPUTED_VALUE"""),67.81)</f>
        <v>67.81</v>
      </c>
      <c r="N369" s="2">
        <f ca="1">IFERROR(__xludf.DUMMYFUNCTION("""COMPUTED_VALUE"""),67.35)</f>
        <v>67.349999999999994</v>
      </c>
      <c r="O369" s="2">
        <f ca="1">IFERROR(__xludf.DUMMYFUNCTION("""COMPUTED_VALUE"""),74.49)</f>
        <v>74.489999999999995</v>
      </c>
      <c r="P369" s="2">
        <f ca="1">IFERROR(__xludf.DUMMYFUNCTION("""COMPUTED_VALUE"""),75.88)</f>
        <v>75.88</v>
      </c>
      <c r="Q369" s="2">
        <f ca="1">IFERROR(__xludf.DUMMYFUNCTION("""COMPUTED_VALUE"""),74.01)</f>
        <v>74.010000000000005</v>
      </c>
    </row>
    <row r="370" spans="1:17" ht="15.75" customHeight="1" x14ac:dyDescent="0.25">
      <c r="A370" s="2">
        <v>6504</v>
      </c>
      <c r="B370" s="2" t="str">
        <f ca="1">IFERROR(__xludf.DUMMYFUNCTION("""COMPUTED_VALUE"""),"KALIMANTAN UTARA")</f>
        <v>KALIMANTAN UTARA</v>
      </c>
      <c r="C370" s="2" t="str">
        <f ca="1">IFERROR(__xludf.DUMMYFUNCTION("""COMPUTED_VALUE"""),"Nunukan")</f>
        <v>Nunukan</v>
      </c>
      <c r="D370" s="2">
        <f ca="1">IFERROR(__xludf.DUMMYFUNCTION("""COMPUTED_VALUE"""),4.77)</f>
        <v>4.7699999999999996</v>
      </c>
      <c r="E370" s="2">
        <f ca="1">IFERROR(__xludf.DUMMYFUNCTION("""COMPUTED_VALUE"""),3.76)</f>
        <v>3.76</v>
      </c>
      <c r="F370" s="2">
        <f ca="1">IFERROR(__xludf.DUMMYFUNCTION("""COMPUTED_VALUE"""),4.14)</f>
        <v>4.1399999999999997</v>
      </c>
      <c r="G370" s="2">
        <f ca="1">IFERROR(__xludf.DUMMYFUNCTION("""COMPUTED_VALUE"""),4.24)</f>
        <v>4.24</v>
      </c>
      <c r="H370" s="2">
        <f ca="1">IFERROR(__xludf.DUMMYFUNCTION("""COMPUTED_VALUE"""),2.74)</f>
        <v>2.74</v>
      </c>
      <c r="I370" s="2">
        <f ca="1">IFERROR(__xludf.DUMMYFUNCTION("""COMPUTED_VALUE"""),2.69)</f>
        <v>2.69</v>
      </c>
      <c r="J370" s="2">
        <f ca="1">IFERROR(__xludf.DUMMYFUNCTION("""COMPUTED_VALUE"""),2.71)</f>
        <v>2.71</v>
      </c>
      <c r="K370" s="2">
        <f ca="1">IFERROR(__xludf.DUMMYFUNCTION("""COMPUTED_VALUE"""),71.83)</f>
        <v>71.83</v>
      </c>
      <c r="L370" s="2">
        <f ca="1">IFERROR(__xludf.DUMMYFUNCTION("""COMPUTED_VALUE"""),67.14)</f>
        <v>67.14</v>
      </c>
      <c r="M370" s="2">
        <f ca="1">IFERROR(__xludf.DUMMYFUNCTION("""COMPUTED_VALUE"""),66.91)</f>
        <v>66.91</v>
      </c>
      <c r="N370" s="2">
        <f ca="1">IFERROR(__xludf.DUMMYFUNCTION("""COMPUTED_VALUE"""),66.11)</f>
        <v>66.11</v>
      </c>
      <c r="O370" s="2">
        <f ca="1">IFERROR(__xludf.DUMMYFUNCTION("""COMPUTED_VALUE"""),69.1)</f>
        <v>69.099999999999994</v>
      </c>
      <c r="P370" s="2">
        <f ca="1">IFERROR(__xludf.DUMMYFUNCTION("""COMPUTED_VALUE"""),71.93)</f>
        <v>71.930000000000007</v>
      </c>
      <c r="Q370" s="2">
        <f ca="1">IFERROR(__xludf.DUMMYFUNCTION("""COMPUTED_VALUE"""),75.53)</f>
        <v>75.53</v>
      </c>
    </row>
    <row r="371" spans="1:17" ht="15.75" customHeight="1" x14ac:dyDescent="0.25">
      <c r="A371" s="2">
        <v>6571</v>
      </c>
      <c r="B371" s="2" t="str">
        <f ca="1">IFERROR(__xludf.DUMMYFUNCTION("""COMPUTED_VALUE"""),"KALIMANTAN UTARA")</f>
        <v>KALIMANTAN UTARA</v>
      </c>
      <c r="C371" s="2" t="s">
        <v>41</v>
      </c>
      <c r="D371" s="2">
        <f ca="1">IFERROR(__xludf.DUMMYFUNCTION("""COMPUTED_VALUE"""),5.89)</f>
        <v>5.89</v>
      </c>
      <c r="E371" s="2">
        <f ca="1">IFERROR(__xludf.DUMMYFUNCTION("""COMPUTED_VALUE"""),5.3)</f>
        <v>5.3</v>
      </c>
      <c r="F371" s="2">
        <f ca="1">IFERROR(__xludf.DUMMYFUNCTION("""COMPUTED_VALUE"""),5.86)</f>
        <v>5.86</v>
      </c>
      <c r="G371" s="2">
        <f ca="1">IFERROR(__xludf.DUMMYFUNCTION("""COMPUTED_VALUE"""),4.94)</f>
        <v>4.9400000000000004</v>
      </c>
      <c r="H371" s="2">
        <f ca="1">IFERROR(__xludf.DUMMYFUNCTION("""COMPUTED_VALUE"""),5.76)</f>
        <v>5.76</v>
      </c>
      <c r="I371" s="2">
        <f ca="1">IFERROR(__xludf.DUMMYFUNCTION("""COMPUTED_VALUE"""),5.25)</f>
        <v>5.25</v>
      </c>
      <c r="J371" s="2">
        <f ca="1">IFERROR(__xludf.DUMMYFUNCTION("""COMPUTED_VALUE"""),5.11)</f>
        <v>5.1100000000000003</v>
      </c>
      <c r="K371" s="2">
        <f ca="1">IFERROR(__xludf.DUMMYFUNCTION("""COMPUTED_VALUE"""),60.3)</f>
        <v>60.3</v>
      </c>
      <c r="L371" s="2">
        <f ca="1">IFERROR(__xludf.DUMMYFUNCTION("""COMPUTED_VALUE"""),63.37)</f>
        <v>63.37</v>
      </c>
      <c r="M371" s="2">
        <f ca="1">IFERROR(__xludf.DUMMYFUNCTION("""COMPUTED_VALUE"""),65.65)</f>
        <v>65.650000000000006</v>
      </c>
      <c r="N371" s="2">
        <f ca="1">IFERROR(__xludf.DUMMYFUNCTION("""COMPUTED_VALUE"""),63.34)</f>
        <v>63.34</v>
      </c>
      <c r="O371" s="2">
        <f ca="1">IFERROR(__xludf.DUMMYFUNCTION("""COMPUTED_VALUE"""),65.49)</f>
        <v>65.489999999999995</v>
      </c>
      <c r="P371" s="2">
        <f ca="1">IFERROR(__xludf.DUMMYFUNCTION("""COMPUTED_VALUE"""),66.14)</f>
        <v>66.14</v>
      </c>
      <c r="Q371" s="2">
        <f ca="1">IFERROR(__xludf.DUMMYFUNCTION("""COMPUTED_VALUE"""),63.64)</f>
        <v>63.64</v>
      </c>
    </row>
    <row r="372" spans="1:17" ht="15.75" customHeight="1" x14ac:dyDescent="0.25">
      <c r="A372" s="2">
        <v>7101</v>
      </c>
      <c r="B372" s="2" t="str">
        <f ca="1">IFERROR(__xludf.DUMMYFUNCTION("""COMPUTED_VALUE"""),"SULAWESI UTARA")</f>
        <v>SULAWESI UTARA</v>
      </c>
      <c r="C372" s="2" t="str">
        <f ca="1">IFERROR(__xludf.DUMMYFUNCTION("""COMPUTED_VALUE"""),"Bolaang Mongondow")</f>
        <v>Bolaang Mongondow</v>
      </c>
      <c r="D372" s="2">
        <f ca="1">IFERROR(__xludf.DUMMYFUNCTION("""COMPUTED_VALUE"""),3.46)</f>
        <v>3.46</v>
      </c>
      <c r="E372" s="2">
        <f ca="1">IFERROR(__xludf.DUMMYFUNCTION("""COMPUTED_VALUE"""),4.18)</f>
        <v>4.18</v>
      </c>
      <c r="F372" s="2">
        <f ca="1">IFERROR(__xludf.DUMMYFUNCTION("""COMPUTED_VALUE"""),4.87)</f>
        <v>4.87</v>
      </c>
      <c r="G372" s="2">
        <f ca="1">IFERROR(__xludf.DUMMYFUNCTION("""COMPUTED_VALUE"""),4.85)</f>
        <v>4.8499999999999996</v>
      </c>
      <c r="H372" s="2">
        <f ca="1">IFERROR(__xludf.DUMMYFUNCTION("""COMPUTED_VALUE"""),4.96)</f>
        <v>4.96</v>
      </c>
      <c r="I372" s="2">
        <f ca="1">IFERROR(__xludf.DUMMYFUNCTION("""COMPUTED_VALUE"""),4.61)</f>
        <v>4.6100000000000003</v>
      </c>
      <c r="J372" s="2">
        <f ca="1">IFERROR(__xludf.DUMMYFUNCTION("""COMPUTED_VALUE"""),4.48)</f>
        <v>4.4800000000000004</v>
      </c>
      <c r="K372" s="2">
        <f ca="1">IFERROR(__xludf.DUMMYFUNCTION("""COMPUTED_VALUE"""),64.9)</f>
        <v>64.900000000000006</v>
      </c>
      <c r="L372" s="2">
        <f ca="1">IFERROR(__xludf.DUMMYFUNCTION("""COMPUTED_VALUE"""),62.84)</f>
        <v>62.84</v>
      </c>
      <c r="M372" s="2">
        <f ca="1">IFERROR(__xludf.DUMMYFUNCTION("""COMPUTED_VALUE"""),64.01)</f>
        <v>64.010000000000005</v>
      </c>
      <c r="N372" s="2">
        <f ca="1">IFERROR(__xludf.DUMMYFUNCTION("""COMPUTED_VALUE"""),62.06)</f>
        <v>62.06</v>
      </c>
      <c r="O372" s="2">
        <f ca="1">IFERROR(__xludf.DUMMYFUNCTION("""COMPUTED_VALUE"""),62.17)</f>
        <v>62.17</v>
      </c>
      <c r="P372" s="2">
        <f ca="1">IFERROR(__xludf.DUMMYFUNCTION("""COMPUTED_VALUE"""),65.5)</f>
        <v>65.5</v>
      </c>
      <c r="Q372" s="2"/>
    </row>
    <row r="373" spans="1:17" ht="15.75" customHeight="1" x14ac:dyDescent="0.25">
      <c r="A373" s="2">
        <v>7102</v>
      </c>
      <c r="B373" s="2" t="str">
        <f ca="1">IFERROR(__xludf.DUMMYFUNCTION("""COMPUTED_VALUE"""),"SULAWESI UTARA")</f>
        <v>SULAWESI UTARA</v>
      </c>
      <c r="C373" s="2" t="str">
        <f ca="1">IFERROR(__xludf.DUMMYFUNCTION("""COMPUTED_VALUE"""),"Minahasa")</f>
        <v>Minahasa</v>
      </c>
      <c r="D373" s="2">
        <f ca="1">IFERROR(__xludf.DUMMYFUNCTION("""COMPUTED_VALUE"""),7.09)</f>
        <v>7.09</v>
      </c>
      <c r="E373" s="2">
        <f ca="1">IFERROR(__xludf.DUMMYFUNCTION("""COMPUTED_VALUE"""),5.58)</f>
        <v>5.58</v>
      </c>
      <c r="F373" s="2">
        <f ca="1">IFERROR(__xludf.DUMMYFUNCTION("""COMPUTED_VALUE"""),6.3)</f>
        <v>6.3</v>
      </c>
      <c r="G373" s="2">
        <f ca="1">IFERROR(__xludf.DUMMYFUNCTION("""COMPUTED_VALUE"""),6.14)</f>
        <v>6.14</v>
      </c>
      <c r="H373" s="2">
        <f ca="1">IFERROR(__xludf.DUMMYFUNCTION("""COMPUTED_VALUE"""),7)</f>
        <v>7</v>
      </c>
      <c r="I373" s="2">
        <f ca="1">IFERROR(__xludf.DUMMYFUNCTION("""COMPUTED_VALUE"""),7.65)</f>
        <v>7.65</v>
      </c>
      <c r="J373" s="2">
        <f ca="1">IFERROR(__xludf.DUMMYFUNCTION("""COMPUTED_VALUE"""),7.22)</f>
        <v>7.22</v>
      </c>
      <c r="K373" s="2">
        <f ca="1">IFERROR(__xludf.DUMMYFUNCTION("""COMPUTED_VALUE"""),65.99)</f>
        <v>65.989999999999995</v>
      </c>
      <c r="L373" s="2">
        <f ca="1">IFERROR(__xludf.DUMMYFUNCTION("""COMPUTED_VALUE"""),63.33)</f>
        <v>63.33</v>
      </c>
      <c r="M373" s="2">
        <f ca="1">IFERROR(__xludf.DUMMYFUNCTION("""COMPUTED_VALUE"""),62.34)</f>
        <v>62.34</v>
      </c>
      <c r="N373" s="2">
        <f ca="1">IFERROR(__xludf.DUMMYFUNCTION("""COMPUTED_VALUE"""),59.41)</f>
        <v>59.41</v>
      </c>
      <c r="O373" s="2">
        <f ca="1">IFERROR(__xludf.DUMMYFUNCTION("""COMPUTED_VALUE"""),64.99)</f>
        <v>64.989999999999995</v>
      </c>
      <c r="P373" s="2">
        <f ca="1">IFERROR(__xludf.DUMMYFUNCTION("""COMPUTED_VALUE"""),61.11)</f>
        <v>61.11</v>
      </c>
      <c r="Q373" s="2"/>
    </row>
    <row r="374" spans="1:17" ht="15.75" customHeight="1" x14ac:dyDescent="0.25">
      <c r="A374" s="2">
        <v>7103</v>
      </c>
      <c r="B374" s="2" t="str">
        <f ca="1">IFERROR(__xludf.DUMMYFUNCTION("""COMPUTED_VALUE"""),"SULAWESI UTARA")</f>
        <v>SULAWESI UTARA</v>
      </c>
      <c r="C374" s="2" t="str">
        <f ca="1">IFERROR(__xludf.DUMMYFUNCTION("""COMPUTED_VALUE"""),"Kepulauan Sangihe")</f>
        <v>Kepulauan Sangihe</v>
      </c>
      <c r="D374" s="2">
        <f ca="1">IFERROR(__xludf.DUMMYFUNCTION("""COMPUTED_VALUE"""),3.54)</f>
        <v>3.54</v>
      </c>
      <c r="E374" s="2">
        <f ca="1">IFERROR(__xludf.DUMMYFUNCTION("""COMPUTED_VALUE"""),4.01)</f>
        <v>4.01</v>
      </c>
      <c r="F374" s="2">
        <f ca="1">IFERROR(__xludf.DUMMYFUNCTION("""COMPUTED_VALUE"""),4.91)</f>
        <v>4.91</v>
      </c>
      <c r="G374" s="2">
        <f ca="1">IFERROR(__xludf.DUMMYFUNCTION("""COMPUTED_VALUE"""),4.72)</f>
        <v>4.72</v>
      </c>
      <c r="H374" s="2">
        <f ca="1">IFERROR(__xludf.DUMMYFUNCTION("""COMPUTED_VALUE"""),2.87)</f>
        <v>2.87</v>
      </c>
      <c r="I374" s="2">
        <f ca="1">IFERROR(__xludf.DUMMYFUNCTION("""COMPUTED_VALUE"""),2.56)</f>
        <v>2.56</v>
      </c>
      <c r="J374" s="2">
        <f ca="1">IFERROR(__xludf.DUMMYFUNCTION("""COMPUTED_VALUE"""),2.5)</f>
        <v>2.5</v>
      </c>
      <c r="K374" s="2">
        <f ca="1">IFERROR(__xludf.DUMMYFUNCTION("""COMPUTED_VALUE"""),63.44)</f>
        <v>63.44</v>
      </c>
      <c r="L374" s="2">
        <f ca="1">IFERROR(__xludf.DUMMYFUNCTION("""COMPUTED_VALUE"""),62.27)</f>
        <v>62.27</v>
      </c>
      <c r="M374" s="2">
        <f ca="1">IFERROR(__xludf.DUMMYFUNCTION("""COMPUTED_VALUE"""),64.56)</f>
        <v>64.56</v>
      </c>
      <c r="N374" s="2">
        <f ca="1">IFERROR(__xludf.DUMMYFUNCTION("""COMPUTED_VALUE"""),63.6)</f>
        <v>63.6</v>
      </c>
      <c r="O374" s="2">
        <f ca="1">IFERROR(__xludf.DUMMYFUNCTION("""COMPUTED_VALUE"""),66.11)</f>
        <v>66.11</v>
      </c>
      <c r="P374" s="2">
        <f ca="1">IFERROR(__xludf.DUMMYFUNCTION("""COMPUTED_VALUE"""),65.19)</f>
        <v>65.19</v>
      </c>
      <c r="Q374" s="2"/>
    </row>
    <row r="375" spans="1:17" ht="15.75" customHeight="1" x14ac:dyDescent="0.25">
      <c r="A375" s="2">
        <v>7104</v>
      </c>
      <c r="B375" s="2" t="str">
        <f ca="1">IFERROR(__xludf.DUMMYFUNCTION("""COMPUTED_VALUE"""),"SULAWESI UTARA")</f>
        <v>SULAWESI UTARA</v>
      </c>
      <c r="C375" s="2" t="str">
        <f ca="1">IFERROR(__xludf.DUMMYFUNCTION("""COMPUTED_VALUE"""),"Kepulauan Talaud")</f>
        <v>Kepulauan Talaud</v>
      </c>
      <c r="D375" s="2">
        <f ca="1">IFERROR(__xludf.DUMMYFUNCTION("""COMPUTED_VALUE"""),2.14)</f>
        <v>2.14</v>
      </c>
      <c r="E375" s="2">
        <f ca="1">IFERROR(__xludf.DUMMYFUNCTION("""COMPUTED_VALUE"""),2.68)</f>
        <v>2.68</v>
      </c>
      <c r="F375" s="2">
        <f ca="1">IFERROR(__xludf.DUMMYFUNCTION("""COMPUTED_VALUE"""),2.64)</f>
        <v>2.64</v>
      </c>
      <c r="G375" s="2">
        <f ca="1">IFERROR(__xludf.DUMMYFUNCTION("""COMPUTED_VALUE"""),2.3)</f>
        <v>2.2999999999999998</v>
      </c>
      <c r="H375" s="2">
        <f ca="1">IFERROR(__xludf.DUMMYFUNCTION("""COMPUTED_VALUE"""),3.67)</f>
        <v>3.67</v>
      </c>
      <c r="I375" s="2">
        <f ca="1">IFERROR(__xludf.DUMMYFUNCTION("""COMPUTED_VALUE"""),3.1)</f>
        <v>3.1</v>
      </c>
      <c r="J375" s="2">
        <f ca="1">IFERROR(__xludf.DUMMYFUNCTION("""COMPUTED_VALUE"""),3.06)</f>
        <v>3.06</v>
      </c>
      <c r="K375" s="2">
        <f ca="1">IFERROR(__xludf.DUMMYFUNCTION("""COMPUTED_VALUE"""),68.26)</f>
        <v>68.260000000000005</v>
      </c>
      <c r="L375" s="2">
        <f ca="1">IFERROR(__xludf.DUMMYFUNCTION("""COMPUTED_VALUE"""),71.2)</f>
        <v>71.2</v>
      </c>
      <c r="M375" s="2">
        <f ca="1">IFERROR(__xludf.DUMMYFUNCTION("""COMPUTED_VALUE"""),80.97)</f>
        <v>80.97</v>
      </c>
      <c r="N375" s="2">
        <f ca="1">IFERROR(__xludf.DUMMYFUNCTION("""COMPUTED_VALUE"""),79.19)</f>
        <v>79.19</v>
      </c>
      <c r="O375" s="2">
        <f ca="1">IFERROR(__xludf.DUMMYFUNCTION("""COMPUTED_VALUE"""),74.2)</f>
        <v>74.2</v>
      </c>
      <c r="P375" s="2">
        <f ca="1">IFERROR(__xludf.DUMMYFUNCTION("""COMPUTED_VALUE"""),73.88)</f>
        <v>73.88</v>
      </c>
      <c r="Q375" s="2"/>
    </row>
    <row r="376" spans="1:17" ht="15.75" customHeight="1" x14ac:dyDescent="0.25">
      <c r="A376" s="2">
        <v>7105</v>
      </c>
      <c r="B376" s="2" t="str">
        <f ca="1">IFERROR(__xludf.DUMMYFUNCTION("""COMPUTED_VALUE"""),"SULAWESI UTARA")</f>
        <v>SULAWESI UTARA</v>
      </c>
      <c r="C376" s="2" t="str">
        <f ca="1">IFERROR(__xludf.DUMMYFUNCTION("""COMPUTED_VALUE"""),"Minahasa Selatan")</f>
        <v>Minahasa Selatan</v>
      </c>
      <c r="D376" s="2">
        <f ca="1">IFERROR(__xludf.DUMMYFUNCTION("""COMPUTED_VALUE"""),5.76)</f>
        <v>5.76</v>
      </c>
      <c r="E376" s="2">
        <f ca="1">IFERROR(__xludf.DUMMYFUNCTION("""COMPUTED_VALUE"""),4.06)</f>
        <v>4.0599999999999996</v>
      </c>
      <c r="F376" s="2">
        <f ca="1">IFERROR(__xludf.DUMMYFUNCTION("""COMPUTED_VALUE"""),5.01)</f>
        <v>5.01</v>
      </c>
      <c r="G376" s="2">
        <f ca="1">IFERROR(__xludf.DUMMYFUNCTION("""COMPUTED_VALUE"""),4.9)</f>
        <v>4.9000000000000004</v>
      </c>
      <c r="H376" s="2">
        <f ca="1">IFERROR(__xludf.DUMMYFUNCTION("""COMPUTED_VALUE"""),5.77)</f>
        <v>5.77</v>
      </c>
      <c r="I376" s="2">
        <f ca="1">IFERROR(__xludf.DUMMYFUNCTION("""COMPUTED_VALUE"""),4.98)</f>
        <v>4.9800000000000004</v>
      </c>
      <c r="J376" s="2">
        <f ca="1">IFERROR(__xludf.DUMMYFUNCTION("""COMPUTED_VALUE"""),4.79)</f>
        <v>4.79</v>
      </c>
      <c r="K376" s="2">
        <f ca="1">IFERROR(__xludf.DUMMYFUNCTION("""COMPUTED_VALUE"""),64.69)</f>
        <v>64.69</v>
      </c>
      <c r="L376" s="2">
        <f ca="1">IFERROR(__xludf.DUMMYFUNCTION("""COMPUTED_VALUE"""),70.22)</f>
        <v>70.22</v>
      </c>
      <c r="M376" s="2">
        <f ca="1">IFERROR(__xludf.DUMMYFUNCTION("""COMPUTED_VALUE"""),67.09)</f>
        <v>67.09</v>
      </c>
      <c r="N376" s="2">
        <f ca="1">IFERROR(__xludf.DUMMYFUNCTION("""COMPUTED_VALUE"""),63.04)</f>
        <v>63.04</v>
      </c>
      <c r="O376" s="2">
        <f ca="1">IFERROR(__xludf.DUMMYFUNCTION("""COMPUTED_VALUE"""),60.39)</f>
        <v>60.39</v>
      </c>
      <c r="P376" s="2">
        <f ca="1">IFERROR(__xludf.DUMMYFUNCTION("""COMPUTED_VALUE"""),63.62)</f>
        <v>63.62</v>
      </c>
      <c r="Q376" s="2"/>
    </row>
    <row r="377" spans="1:17" ht="15.75" customHeight="1" x14ac:dyDescent="0.25">
      <c r="A377" s="2">
        <v>7106</v>
      </c>
      <c r="B377" s="2" t="str">
        <f ca="1">IFERROR(__xludf.DUMMYFUNCTION("""COMPUTED_VALUE"""),"SULAWESI UTARA")</f>
        <v>SULAWESI UTARA</v>
      </c>
      <c r="C377" s="2" t="str">
        <f ca="1">IFERROR(__xludf.DUMMYFUNCTION("""COMPUTED_VALUE"""),"Minahasa Utara")</f>
        <v>Minahasa Utara</v>
      </c>
      <c r="D377" s="2">
        <f ca="1">IFERROR(__xludf.DUMMYFUNCTION("""COMPUTED_VALUE"""),6.5)</f>
        <v>6.5</v>
      </c>
      <c r="E377" s="2">
        <f ca="1">IFERROR(__xludf.DUMMYFUNCTION("""COMPUTED_VALUE"""),4.84)</f>
        <v>4.84</v>
      </c>
      <c r="F377" s="2">
        <f ca="1">IFERROR(__xludf.DUMMYFUNCTION("""COMPUTED_VALUE"""),7.88)</f>
        <v>7.88</v>
      </c>
      <c r="G377" s="2">
        <f ca="1">IFERROR(__xludf.DUMMYFUNCTION("""COMPUTED_VALUE"""),8.12)</f>
        <v>8.1199999999999992</v>
      </c>
      <c r="H377" s="2">
        <f ca="1">IFERROR(__xludf.DUMMYFUNCTION("""COMPUTED_VALUE"""),7.09)</f>
        <v>7.09</v>
      </c>
      <c r="I377" s="2">
        <f ca="1">IFERROR(__xludf.DUMMYFUNCTION("""COMPUTED_VALUE"""),7.17)</f>
        <v>7.17</v>
      </c>
      <c r="J377" s="2">
        <f ca="1">IFERROR(__xludf.DUMMYFUNCTION("""COMPUTED_VALUE"""),6.73)</f>
        <v>6.73</v>
      </c>
      <c r="K377" s="2">
        <f ca="1">IFERROR(__xludf.DUMMYFUNCTION("""COMPUTED_VALUE"""),60.29)</f>
        <v>60.29</v>
      </c>
      <c r="L377" s="2">
        <f ca="1">IFERROR(__xludf.DUMMYFUNCTION("""COMPUTED_VALUE"""),62.38)</f>
        <v>62.38</v>
      </c>
      <c r="M377" s="2">
        <f ca="1">IFERROR(__xludf.DUMMYFUNCTION("""COMPUTED_VALUE"""),61.64)</f>
        <v>61.64</v>
      </c>
      <c r="N377" s="2">
        <f ca="1">IFERROR(__xludf.DUMMYFUNCTION("""COMPUTED_VALUE"""),61.99)</f>
        <v>61.99</v>
      </c>
      <c r="O377" s="2">
        <f ca="1">IFERROR(__xludf.DUMMYFUNCTION("""COMPUTED_VALUE"""),58.82)</f>
        <v>58.82</v>
      </c>
      <c r="P377" s="2">
        <f ca="1">IFERROR(__xludf.DUMMYFUNCTION("""COMPUTED_VALUE"""),61.59)</f>
        <v>61.59</v>
      </c>
      <c r="Q377" s="2"/>
    </row>
    <row r="378" spans="1:17" ht="15.75" customHeight="1" x14ac:dyDescent="0.25">
      <c r="A378" s="2">
        <v>7107</v>
      </c>
      <c r="B378" s="2" t="str">
        <f ca="1">IFERROR(__xludf.DUMMYFUNCTION("""COMPUTED_VALUE"""),"SULAWESI UTARA")</f>
        <v>SULAWESI UTARA</v>
      </c>
      <c r="C378" s="2" t="str">
        <f ca="1">IFERROR(__xludf.DUMMYFUNCTION("""COMPUTED_VALUE"""),"Bolaang Mongondow Utara")</f>
        <v>Bolaang Mongondow Utara</v>
      </c>
      <c r="D378" s="2">
        <f ca="1">IFERROR(__xludf.DUMMYFUNCTION("""COMPUTED_VALUE"""),4.89)</f>
        <v>4.8899999999999997</v>
      </c>
      <c r="E378" s="2">
        <f ca="1">IFERROR(__xludf.DUMMYFUNCTION("""COMPUTED_VALUE"""),4.42)</f>
        <v>4.42</v>
      </c>
      <c r="F378" s="2">
        <f ca="1">IFERROR(__xludf.DUMMYFUNCTION("""COMPUTED_VALUE"""),5.48)</f>
        <v>5.48</v>
      </c>
      <c r="G378" s="2">
        <f ca="1">IFERROR(__xludf.DUMMYFUNCTION("""COMPUTED_VALUE"""),5.23)</f>
        <v>5.23</v>
      </c>
      <c r="H378" s="2">
        <f ca="1">IFERROR(__xludf.DUMMYFUNCTION("""COMPUTED_VALUE"""),5.1)</f>
        <v>5.0999999999999996</v>
      </c>
      <c r="I378" s="2">
        <f ca="1">IFERROR(__xludf.DUMMYFUNCTION("""COMPUTED_VALUE"""),4.48)</f>
        <v>4.4800000000000004</v>
      </c>
      <c r="J378" s="2">
        <f ca="1">IFERROR(__xludf.DUMMYFUNCTION("""COMPUTED_VALUE"""),4.1)</f>
        <v>4.0999999999999996</v>
      </c>
      <c r="K378" s="2">
        <f ca="1">IFERROR(__xludf.DUMMYFUNCTION("""COMPUTED_VALUE"""),59.47)</f>
        <v>59.47</v>
      </c>
      <c r="L378" s="2">
        <f ca="1">IFERROR(__xludf.DUMMYFUNCTION("""COMPUTED_VALUE"""),64.12)</f>
        <v>64.12</v>
      </c>
      <c r="M378" s="2">
        <f ca="1">IFERROR(__xludf.DUMMYFUNCTION("""COMPUTED_VALUE"""),64.75)</f>
        <v>64.75</v>
      </c>
      <c r="N378" s="2">
        <f ca="1">IFERROR(__xludf.DUMMYFUNCTION("""COMPUTED_VALUE"""),64.43)</f>
        <v>64.430000000000007</v>
      </c>
      <c r="O378" s="2">
        <f ca="1">IFERROR(__xludf.DUMMYFUNCTION("""COMPUTED_VALUE"""),64.79)</f>
        <v>64.790000000000006</v>
      </c>
      <c r="P378" s="2">
        <f ca="1">IFERROR(__xludf.DUMMYFUNCTION("""COMPUTED_VALUE"""),64.45)</f>
        <v>64.45</v>
      </c>
      <c r="Q378" s="2"/>
    </row>
    <row r="379" spans="1:17" ht="15.75" customHeight="1" x14ac:dyDescent="0.25">
      <c r="A379" s="2">
        <v>7108</v>
      </c>
      <c r="B379" s="2" t="str">
        <f ca="1">IFERROR(__xludf.DUMMYFUNCTION("""COMPUTED_VALUE"""),"SULAWESI UTARA")</f>
        <v>SULAWESI UTARA</v>
      </c>
      <c r="C379" s="2" t="s">
        <v>93</v>
      </c>
      <c r="D379" s="2">
        <f ca="1">IFERROR(__xludf.DUMMYFUNCTION("""COMPUTED_VALUE"""),2.7)</f>
        <v>2.7</v>
      </c>
      <c r="E379" s="2">
        <f ca="1">IFERROR(__xludf.DUMMYFUNCTION("""COMPUTED_VALUE"""),2.65)</f>
        <v>2.65</v>
      </c>
      <c r="F379" s="2">
        <f ca="1">IFERROR(__xludf.DUMMYFUNCTION("""COMPUTED_VALUE"""),3.31)</f>
        <v>3.31</v>
      </c>
      <c r="G379" s="2">
        <f ca="1">IFERROR(__xludf.DUMMYFUNCTION("""COMPUTED_VALUE"""),3.39)</f>
        <v>3.39</v>
      </c>
      <c r="H379" s="2">
        <f ca="1">IFERROR(__xludf.DUMMYFUNCTION("""COMPUTED_VALUE"""),2.96)</f>
        <v>2.96</v>
      </c>
      <c r="I379" s="2">
        <f ca="1">IFERROR(__xludf.DUMMYFUNCTION("""COMPUTED_VALUE"""),2.09)</f>
        <v>2.09</v>
      </c>
      <c r="J379" s="2">
        <f ca="1">IFERROR(__xludf.DUMMYFUNCTION("""COMPUTED_VALUE"""),1.94)</f>
        <v>1.94</v>
      </c>
      <c r="K379" s="2">
        <f ca="1">IFERROR(__xludf.DUMMYFUNCTION("""COMPUTED_VALUE"""),65.97)</f>
        <v>65.97</v>
      </c>
      <c r="L379" s="2">
        <f ca="1">IFERROR(__xludf.DUMMYFUNCTION("""COMPUTED_VALUE"""),63.47)</f>
        <v>63.47</v>
      </c>
      <c r="M379" s="2">
        <f ca="1">IFERROR(__xludf.DUMMYFUNCTION("""COMPUTED_VALUE"""),65.14)</f>
        <v>65.14</v>
      </c>
      <c r="N379" s="2">
        <f ca="1">IFERROR(__xludf.DUMMYFUNCTION("""COMPUTED_VALUE"""),63.09)</f>
        <v>63.09</v>
      </c>
      <c r="O379" s="2">
        <f ca="1">IFERROR(__xludf.DUMMYFUNCTION("""COMPUTED_VALUE"""),62.2)</f>
        <v>62.2</v>
      </c>
      <c r="P379" s="2">
        <f ca="1">IFERROR(__xludf.DUMMYFUNCTION("""COMPUTED_VALUE"""),62.76)</f>
        <v>62.76</v>
      </c>
      <c r="Q379" s="2"/>
    </row>
    <row r="380" spans="1:17" ht="15.75" customHeight="1" x14ac:dyDescent="0.25">
      <c r="A380" s="2">
        <v>7109</v>
      </c>
      <c r="B380" s="2" t="str">
        <f ca="1">IFERROR(__xludf.DUMMYFUNCTION("""COMPUTED_VALUE"""),"SULAWESI UTARA")</f>
        <v>SULAWESI UTARA</v>
      </c>
      <c r="C380" s="2" t="str">
        <f ca="1">IFERROR(__xludf.DUMMYFUNCTION("""COMPUTED_VALUE"""),"Minahasa Tenggara")</f>
        <v>Minahasa Tenggara</v>
      </c>
      <c r="D380" s="2">
        <f ca="1">IFERROR(__xludf.DUMMYFUNCTION("""COMPUTED_VALUE"""),4.69)</f>
        <v>4.6900000000000004</v>
      </c>
      <c r="E380" s="2">
        <f ca="1">IFERROR(__xludf.DUMMYFUNCTION("""COMPUTED_VALUE"""),3.03)</f>
        <v>3.03</v>
      </c>
      <c r="F380" s="2">
        <f ca="1">IFERROR(__xludf.DUMMYFUNCTION("""COMPUTED_VALUE"""),3.31)</f>
        <v>3.31</v>
      </c>
      <c r="G380" s="2">
        <f ca="1">IFERROR(__xludf.DUMMYFUNCTION("""COMPUTED_VALUE"""),3.39)</f>
        <v>3.39</v>
      </c>
      <c r="H380" s="2">
        <f ca="1">IFERROR(__xludf.DUMMYFUNCTION("""COMPUTED_VALUE"""),3.43)</f>
        <v>3.43</v>
      </c>
      <c r="I380" s="2">
        <f ca="1">IFERROR(__xludf.DUMMYFUNCTION("""COMPUTED_VALUE"""),2.84)</f>
        <v>2.84</v>
      </c>
      <c r="J380" s="2">
        <f ca="1">IFERROR(__xludf.DUMMYFUNCTION("""COMPUTED_VALUE"""),2.76)</f>
        <v>2.76</v>
      </c>
      <c r="K380" s="2">
        <f ca="1">IFERROR(__xludf.DUMMYFUNCTION("""COMPUTED_VALUE"""),62.25)</f>
        <v>62.25</v>
      </c>
      <c r="L380" s="2">
        <f ca="1">IFERROR(__xludf.DUMMYFUNCTION("""COMPUTED_VALUE"""),67.58)</f>
        <v>67.58</v>
      </c>
      <c r="M380" s="2">
        <f ca="1">IFERROR(__xludf.DUMMYFUNCTION("""COMPUTED_VALUE"""),64.34)</f>
        <v>64.34</v>
      </c>
      <c r="N380" s="2">
        <f ca="1">IFERROR(__xludf.DUMMYFUNCTION("""COMPUTED_VALUE"""),64.87)</f>
        <v>64.87</v>
      </c>
      <c r="O380" s="2">
        <f ca="1">IFERROR(__xludf.DUMMYFUNCTION("""COMPUTED_VALUE"""),67.45)</f>
        <v>67.45</v>
      </c>
      <c r="P380" s="2">
        <f ca="1">IFERROR(__xludf.DUMMYFUNCTION("""COMPUTED_VALUE"""),67.97)</f>
        <v>67.97</v>
      </c>
      <c r="Q380" s="2"/>
    </row>
    <row r="381" spans="1:17" ht="15.75" customHeight="1" x14ac:dyDescent="0.25">
      <c r="A381" s="2">
        <v>7110</v>
      </c>
      <c r="B381" s="2" t="str">
        <f ca="1">IFERROR(__xludf.DUMMYFUNCTION("""COMPUTED_VALUE"""),"SULAWESI UTARA")</f>
        <v>SULAWESI UTARA</v>
      </c>
      <c r="C381" s="2" t="str">
        <f ca="1">IFERROR(__xludf.DUMMYFUNCTION("""COMPUTED_VALUE"""),"Bolaang Mongondow Selatan")</f>
        <v>Bolaang Mongondow Selatan</v>
      </c>
      <c r="D381" s="2">
        <f ca="1">IFERROR(__xludf.DUMMYFUNCTION("""COMPUTED_VALUE"""),4.39)</f>
        <v>4.3899999999999997</v>
      </c>
      <c r="E381" s="2">
        <f ca="1">IFERROR(__xludf.DUMMYFUNCTION("""COMPUTED_VALUE"""),4.59)</f>
        <v>4.59</v>
      </c>
      <c r="F381" s="2">
        <f ca="1">IFERROR(__xludf.DUMMYFUNCTION("""COMPUTED_VALUE"""),4.39)</f>
        <v>4.3899999999999997</v>
      </c>
      <c r="G381" s="2">
        <f ca="1">IFERROR(__xludf.DUMMYFUNCTION("""COMPUTED_VALUE"""),4.6)</f>
        <v>4.5999999999999996</v>
      </c>
      <c r="H381" s="2">
        <f ca="1">IFERROR(__xludf.DUMMYFUNCTION("""COMPUTED_VALUE"""),2.75)</f>
        <v>2.75</v>
      </c>
      <c r="I381" s="2">
        <f ca="1">IFERROR(__xludf.DUMMYFUNCTION("""COMPUTED_VALUE"""),2.55)</f>
        <v>2.5499999999999998</v>
      </c>
      <c r="J381" s="2">
        <f ca="1">IFERROR(__xludf.DUMMYFUNCTION("""COMPUTED_VALUE"""),2.51)</f>
        <v>2.5099999999999998</v>
      </c>
      <c r="K381" s="2">
        <f ca="1">IFERROR(__xludf.DUMMYFUNCTION("""COMPUTED_VALUE"""),61.53)</f>
        <v>61.53</v>
      </c>
      <c r="L381" s="2">
        <f ca="1">IFERROR(__xludf.DUMMYFUNCTION("""COMPUTED_VALUE"""),58.84)</f>
        <v>58.84</v>
      </c>
      <c r="M381" s="2">
        <f ca="1">IFERROR(__xludf.DUMMYFUNCTION("""COMPUTED_VALUE"""),63.51)</f>
        <v>63.51</v>
      </c>
      <c r="N381" s="2">
        <f ca="1">IFERROR(__xludf.DUMMYFUNCTION("""COMPUTED_VALUE"""),59.05)</f>
        <v>59.05</v>
      </c>
      <c r="O381" s="2">
        <f ca="1">IFERROR(__xludf.DUMMYFUNCTION("""COMPUTED_VALUE"""),65.02)</f>
        <v>65.02</v>
      </c>
      <c r="P381" s="2">
        <f ca="1">IFERROR(__xludf.DUMMYFUNCTION("""COMPUTED_VALUE"""),64.46)</f>
        <v>64.459999999999994</v>
      </c>
      <c r="Q381" s="2"/>
    </row>
    <row r="382" spans="1:17" ht="15.75" customHeight="1" x14ac:dyDescent="0.25">
      <c r="A382" s="2">
        <v>7111</v>
      </c>
      <c r="B382" s="2" t="str">
        <f ca="1">IFERROR(__xludf.DUMMYFUNCTION("""COMPUTED_VALUE"""),"SULAWESI UTARA")</f>
        <v>SULAWESI UTARA</v>
      </c>
      <c r="C382" s="2" t="str">
        <f ca="1">IFERROR(__xludf.DUMMYFUNCTION("""COMPUTED_VALUE"""),"Bolaang Mongondow Timur")</f>
        <v>Bolaang Mongondow Timur</v>
      </c>
      <c r="D382" s="2">
        <f ca="1">IFERROR(__xludf.DUMMYFUNCTION("""COMPUTED_VALUE"""),7.9)</f>
        <v>7.9</v>
      </c>
      <c r="E382" s="2">
        <f ca="1">IFERROR(__xludf.DUMMYFUNCTION("""COMPUTED_VALUE"""),6.07)</f>
        <v>6.07</v>
      </c>
      <c r="F382" s="2">
        <f ca="1">IFERROR(__xludf.DUMMYFUNCTION("""COMPUTED_VALUE"""),6.13)</f>
        <v>6.13</v>
      </c>
      <c r="G382" s="2">
        <f ca="1">IFERROR(__xludf.DUMMYFUNCTION("""COMPUTED_VALUE"""),5.99)</f>
        <v>5.99</v>
      </c>
      <c r="H382" s="2">
        <f ca="1">IFERROR(__xludf.DUMMYFUNCTION("""COMPUTED_VALUE"""),6.19)</f>
        <v>6.19</v>
      </c>
      <c r="I382" s="2">
        <f ca="1">IFERROR(__xludf.DUMMYFUNCTION("""COMPUTED_VALUE"""),5.35)</f>
        <v>5.35</v>
      </c>
      <c r="J382" s="2">
        <f ca="1">IFERROR(__xludf.DUMMYFUNCTION("""COMPUTED_VALUE"""),5.35)</f>
        <v>5.35</v>
      </c>
      <c r="K382" s="2">
        <f ca="1">IFERROR(__xludf.DUMMYFUNCTION("""COMPUTED_VALUE"""),64.73)</f>
        <v>64.73</v>
      </c>
      <c r="L382" s="2">
        <f ca="1">IFERROR(__xludf.DUMMYFUNCTION("""COMPUTED_VALUE"""),66.82)</f>
        <v>66.819999999999993</v>
      </c>
      <c r="M382" s="2">
        <f ca="1">IFERROR(__xludf.DUMMYFUNCTION("""COMPUTED_VALUE"""),66.94)</f>
        <v>66.94</v>
      </c>
      <c r="N382" s="2">
        <f ca="1">IFERROR(__xludf.DUMMYFUNCTION("""COMPUTED_VALUE"""),65.07)</f>
        <v>65.069999999999993</v>
      </c>
      <c r="O382" s="2">
        <f ca="1">IFERROR(__xludf.DUMMYFUNCTION("""COMPUTED_VALUE"""),67.64)</f>
        <v>67.64</v>
      </c>
      <c r="P382" s="2">
        <f ca="1">IFERROR(__xludf.DUMMYFUNCTION("""COMPUTED_VALUE"""),69.23)</f>
        <v>69.23</v>
      </c>
      <c r="Q382" s="2"/>
    </row>
    <row r="383" spans="1:17" ht="15.75" customHeight="1" x14ac:dyDescent="0.25">
      <c r="A383" s="2">
        <v>7171</v>
      </c>
      <c r="B383" s="2" t="str">
        <f ca="1">IFERROR(__xludf.DUMMYFUNCTION("""COMPUTED_VALUE"""),"SULAWESI UTARA")</f>
        <v>SULAWESI UTARA</v>
      </c>
      <c r="C383" s="2" t="str">
        <f ca="1">IFERROR(__xludf.DUMMYFUNCTION("""COMPUTED_VALUE"""),"Kota Manado")</f>
        <v>Kota Manado</v>
      </c>
      <c r="D383" s="2">
        <f ca="1">IFERROR(__xludf.DUMMYFUNCTION("""COMPUTED_VALUE"""),9.98)</f>
        <v>9.98</v>
      </c>
      <c r="E383" s="2">
        <f ca="1">IFERROR(__xludf.DUMMYFUNCTION("""COMPUTED_VALUE"""),10.12)</f>
        <v>10.119999999999999</v>
      </c>
      <c r="F383" s="2">
        <f ca="1">IFERROR(__xludf.DUMMYFUNCTION("""COMPUTED_VALUE"""),13.88)</f>
        <v>13.88</v>
      </c>
      <c r="G383" s="2">
        <f ca="1">IFERROR(__xludf.DUMMYFUNCTION("""COMPUTED_VALUE"""),12.17)</f>
        <v>12.17</v>
      </c>
      <c r="H383" s="2">
        <f ca="1">IFERROR(__xludf.DUMMYFUNCTION("""COMPUTED_VALUE"""),10.47)</f>
        <v>10.47</v>
      </c>
      <c r="I383" s="2">
        <f ca="1">IFERROR(__xludf.DUMMYFUNCTION("""COMPUTED_VALUE"""),8.85)</f>
        <v>8.85</v>
      </c>
      <c r="J383" s="2">
        <f ca="1">IFERROR(__xludf.DUMMYFUNCTION("""COMPUTED_VALUE"""),8.73)</f>
        <v>8.73</v>
      </c>
      <c r="K383" s="2">
        <f ca="1">IFERROR(__xludf.DUMMYFUNCTION("""COMPUTED_VALUE"""),59.6)</f>
        <v>59.6</v>
      </c>
      <c r="L383" s="2">
        <f ca="1">IFERROR(__xludf.DUMMYFUNCTION("""COMPUTED_VALUE"""),62.63)</f>
        <v>62.63</v>
      </c>
      <c r="M383" s="2">
        <f ca="1">IFERROR(__xludf.DUMMYFUNCTION("""COMPUTED_VALUE"""),58.63)</f>
        <v>58.63</v>
      </c>
      <c r="N383" s="2">
        <f ca="1">IFERROR(__xludf.DUMMYFUNCTION("""COMPUTED_VALUE"""),59.08)</f>
        <v>59.08</v>
      </c>
      <c r="O383" s="2">
        <f ca="1">IFERROR(__xludf.DUMMYFUNCTION("""COMPUTED_VALUE"""),59.51)</f>
        <v>59.51</v>
      </c>
      <c r="P383" s="2">
        <f ca="1">IFERROR(__xludf.DUMMYFUNCTION("""COMPUTED_VALUE"""),61.27)</f>
        <v>61.27</v>
      </c>
      <c r="Q383" s="2"/>
    </row>
    <row r="384" spans="1:17" ht="15.75" customHeight="1" x14ac:dyDescent="0.25">
      <c r="A384" s="2">
        <v>7172</v>
      </c>
      <c r="B384" s="2" t="str">
        <f ca="1">IFERROR(__xludf.DUMMYFUNCTION("""COMPUTED_VALUE"""),"SULAWESI UTARA")</f>
        <v>SULAWESI UTARA</v>
      </c>
      <c r="C384" s="2" t="str">
        <f ca="1">IFERROR(__xludf.DUMMYFUNCTION("""COMPUTED_VALUE"""),"Kota Bitung")</f>
        <v>Kota Bitung</v>
      </c>
      <c r="D384" s="2">
        <f ca="1">IFERROR(__xludf.DUMMYFUNCTION("""COMPUTED_VALUE"""),10.81)</f>
        <v>10.81</v>
      </c>
      <c r="E384" s="2">
        <f ca="1">IFERROR(__xludf.DUMMYFUNCTION("""COMPUTED_VALUE"""),9.49)</f>
        <v>9.49</v>
      </c>
      <c r="F384" s="2">
        <f ca="1">IFERROR(__xludf.DUMMYFUNCTION("""COMPUTED_VALUE"""),10.23)</f>
        <v>10.23</v>
      </c>
      <c r="G384" s="2">
        <f ca="1">IFERROR(__xludf.DUMMYFUNCTION("""COMPUTED_VALUE"""),9.96)</f>
        <v>9.9600000000000009</v>
      </c>
      <c r="H384" s="2">
        <f ca="1">IFERROR(__xludf.DUMMYFUNCTION("""COMPUTED_VALUE"""),8.56)</f>
        <v>8.56</v>
      </c>
      <c r="I384" s="2">
        <f ca="1">IFERROR(__xludf.DUMMYFUNCTION("""COMPUTED_VALUE"""),7.82)</f>
        <v>7.82</v>
      </c>
      <c r="J384" s="2">
        <f ca="1">IFERROR(__xludf.DUMMYFUNCTION("""COMPUTED_VALUE"""),7.51)</f>
        <v>7.51</v>
      </c>
      <c r="K384" s="2">
        <f ca="1">IFERROR(__xludf.DUMMYFUNCTION("""COMPUTED_VALUE"""),62.86)</f>
        <v>62.86</v>
      </c>
      <c r="L384" s="2">
        <f ca="1">IFERROR(__xludf.DUMMYFUNCTION("""COMPUTED_VALUE"""),61.88)</f>
        <v>61.88</v>
      </c>
      <c r="M384" s="2">
        <f ca="1">IFERROR(__xludf.DUMMYFUNCTION("""COMPUTED_VALUE"""),61.73)</f>
        <v>61.73</v>
      </c>
      <c r="N384" s="2">
        <f ca="1">IFERROR(__xludf.DUMMYFUNCTION("""COMPUTED_VALUE"""),62.22)</f>
        <v>62.22</v>
      </c>
      <c r="O384" s="2">
        <f ca="1">IFERROR(__xludf.DUMMYFUNCTION("""COMPUTED_VALUE"""),61.88)</f>
        <v>61.88</v>
      </c>
      <c r="P384" s="2">
        <f ca="1">IFERROR(__xludf.DUMMYFUNCTION("""COMPUTED_VALUE"""),64.54)</f>
        <v>64.540000000000006</v>
      </c>
      <c r="Q384" s="2"/>
    </row>
    <row r="385" spans="1:17" ht="15.75" customHeight="1" x14ac:dyDescent="0.25">
      <c r="A385" s="2">
        <v>7173</v>
      </c>
      <c r="B385" s="2" t="str">
        <f ca="1">IFERROR(__xludf.DUMMYFUNCTION("""COMPUTED_VALUE"""),"SULAWESI UTARA")</f>
        <v>SULAWESI UTARA</v>
      </c>
      <c r="C385" s="2" t="str">
        <f ca="1">IFERROR(__xludf.DUMMYFUNCTION("""COMPUTED_VALUE"""),"Kota Tomohon")</f>
        <v>Kota Tomohon</v>
      </c>
      <c r="D385" s="2">
        <f ca="1">IFERROR(__xludf.DUMMYFUNCTION("""COMPUTED_VALUE"""),7.97)</f>
        <v>7.97</v>
      </c>
      <c r="E385" s="2">
        <f ca="1">IFERROR(__xludf.DUMMYFUNCTION("""COMPUTED_VALUE"""),7.48)</f>
        <v>7.48</v>
      </c>
      <c r="F385" s="2">
        <f ca="1">IFERROR(__xludf.DUMMYFUNCTION("""COMPUTED_VALUE"""),8.99)</f>
        <v>8.99</v>
      </c>
      <c r="G385" s="2">
        <f ca="1">IFERROR(__xludf.DUMMYFUNCTION("""COMPUTED_VALUE"""),8.84)</f>
        <v>8.84</v>
      </c>
      <c r="H385" s="2">
        <f ca="1">IFERROR(__xludf.DUMMYFUNCTION("""COMPUTED_VALUE"""),8.11)</f>
        <v>8.11</v>
      </c>
      <c r="I385" s="2">
        <f ca="1">IFERROR(__xludf.DUMMYFUNCTION("""COMPUTED_VALUE"""),8.52)</f>
        <v>8.52</v>
      </c>
      <c r="J385" s="2">
        <f ca="1">IFERROR(__xludf.DUMMYFUNCTION("""COMPUTED_VALUE"""),7.79)</f>
        <v>7.79</v>
      </c>
      <c r="K385" s="2">
        <f ca="1">IFERROR(__xludf.DUMMYFUNCTION("""COMPUTED_VALUE"""),60.85)</f>
        <v>60.85</v>
      </c>
      <c r="L385" s="2">
        <f ca="1">IFERROR(__xludf.DUMMYFUNCTION("""COMPUTED_VALUE"""),62.68)</f>
        <v>62.68</v>
      </c>
      <c r="M385" s="2">
        <f ca="1">IFERROR(__xludf.DUMMYFUNCTION("""COMPUTED_VALUE"""),59.59)</f>
        <v>59.59</v>
      </c>
      <c r="N385" s="2">
        <f ca="1">IFERROR(__xludf.DUMMYFUNCTION("""COMPUTED_VALUE"""),57.9)</f>
        <v>57.9</v>
      </c>
      <c r="O385" s="2">
        <f ca="1">IFERROR(__xludf.DUMMYFUNCTION("""COMPUTED_VALUE"""),63.41)</f>
        <v>63.41</v>
      </c>
      <c r="P385" s="2">
        <f ca="1">IFERROR(__xludf.DUMMYFUNCTION("""COMPUTED_VALUE"""),63.64)</f>
        <v>63.64</v>
      </c>
      <c r="Q385" s="2"/>
    </row>
    <row r="386" spans="1:17" ht="15.75" customHeight="1" x14ac:dyDescent="0.25">
      <c r="A386" s="2">
        <v>7174</v>
      </c>
      <c r="B386" s="2" t="str">
        <f ca="1">IFERROR(__xludf.DUMMYFUNCTION("""COMPUTED_VALUE"""),"SULAWESI UTARA")</f>
        <v>SULAWESI UTARA</v>
      </c>
      <c r="C386" s="2" t="str">
        <f ca="1">IFERROR(__xludf.DUMMYFUNCTION("""COMPUTED_VALUE"""),"Kota Kotamobagu")</f>
        <v>Kota Kotamobagu</v>
      </c>
      <c r="D386" s="2">
        <f ca="1">IFERROR(__xludf.DUMMYFUNCTION("""COMPUTED_VALUE"""),5.51)</f>
        <v>5.51</v>
      </c>
      <c r="E386" s="2">
        <f ca="1">IFERROR(__xludf.DUMMYFUNCTION("""COMPUTED_VALUE"""),5.62)</f>
        <v>5.62</v>
      </c>
      <c r="F386" s="2">
        <f ca="1">IFERROR(__xludf.DUMMYFUNCTION("""COMPUTED_VALUE"""),7.44)</f>
        <v>7.44</v>
      </c>
      <c r="G386" s="2">
        <f ca="1">IFERROR(__xludf.DUMMYFUNCTION("""COMPUTED_VALUE"""),7.32)</f>
        <v>7.32</v>
      </c>
      <c r="H386" s="2">
        <f ca="1">IFERROR(__xludf.DUMMYFUNCTION("""COMPUTED_VALUE"""),6.59)</f>
        <v>6.59</v>
      </c>
      <c r="I386" s="2">
        <f ca="1">IFERROR(__xludf.DUMMYFUNCTION("""COMPUTED_VALUE"""),6.34)</f>
        <v>6.34</v>
      </c>
      <c r="J386" s="2">
        <f ca="1">IFERROR(__xludf.DUMMYFUNCTION("""COMPUTED_VALUE"""),5.72)</f>
        <v>5.72</v>
      </c>
      <c r="K386" s="2">
        <f ca="1">IFERROR(__xludf.DUMMYFUNCTION("""COMPUTED_VALUE"""),65.02)</f>
        <v>65.02</v>
      </c>
      <c r="L386" s="2">
        <f ca="1">IFERROR(__xludf.DUMMYFUNCTION("""COMPUTED_VALUE"""),63.5)</f>
        <v>63.5</v>
      </c>
      <c r="M386" s="2">
        <f ca="1">IFERROR(__xludf.DUMMYFUNCTION("""COMPUTED_VALUE"""),66.48)</f>
        <v>66.48</v>
      </c>
      <c r="N386" s="2">
        <f ca="1">IFERROR(__xludf.DUMMYFUNCTION("""COMPUTED_VALUE"""),64.77)</f>
        <v>64.77</v>
      </c>
      <c r="O386" s="2">
        <f ca="1">IFERROR(__xludf.DUMMYFUNCTION("""COMPUTED_VALUE"""),65.87)</f>
        <v>65.87</v>
      </c>
      <c r="P386" s="2">
        <f ca="1">IFERROR(__xludf.DUMMYFUNCTION("""COMPUTED_VALUE"""),69.41)</f>
        <v>69.41</v>
      </c>
      <c r="Q386" s="2"/>
    </row>
    <row r="387" spans="1:17" ht="15.75" customHeight="1" x14ac:dyDescent="0.25">
      <c r="A387" s="2">
        <v>7201</v>
      </c>
      <c r="B387" s="2" t="str">
        <f ca="1">IFERROR(__xludf.DUMMYFUNCTION("""COMPUTED_VALUE"""),"SULAWESI TENGAH")</f>
        <v>SULAWESI TENGAH</v>
      </c>
      <c r="C387" s="2" t="str">
        <f ca="1">IFERROR(__xludf.DUMMYFUNCTION("""COMPUTED_VALUE"""),"Banggai Kepulauan")</f>
        <v>Banggai Kepulauan</v>
      </c>
      <c r="D387" s="2">
        <f ca="1">IFERROR(__xludf.DUMMYFUNCTION("""COMPUTED_VALUE"""),3.6)</f>
        <v>3.6</v>
      </c>
      <c r="E387" s="2">
        <f ca="1">IFERROR(__xludf.DUMMYFUNCTION("""COMPUTED_VALUE"""),2)</f>
        <v>2</v>
      </c>
      <c r="F387" s="2">
        <f ca="1">IFERROR(__xludf.DUMMYFUNCTION("""COMPUTED_VALUE"""),2.47)</f>
        <v>2.4700000000000002</v>
      </c>
      <c r="G387" s="2">
        <f ca="1">IFERROR(__xludf.DUMMYFUNCTION("""COMPUTED_VALUE"""),2.95)</f>
        <v>2.95</v>
      </c>
      <c r="H387" s="2">
        <f ca="1">IFERROR(__xludf.DUMMYFUNCTION("""COMPUTED_VALUE"""),1.48)</f>
        <v>1.48</v>
      </c>
      <c r="I387" s="2">
        <f ca="1">IFERROR(__xludf.DUMMYFUNCTION("""COMPUTED_VALUE"""),1.56)</f>
        <v>1.56</v>
      </c>
      <c r="J387" s="2">
        <f ca="1">IFERROR(__xludf.DUMMYFUNCTION("""COMPUTED_VALUE"""),1.55)</f>
        <v>1.55</v>
      </c>
      <c r="K387" s="2">
        <f ca="1">IFERROR(__xludf.DUMMYFUNCTION("""COMPUTED_VALUE"""),70.18)</f>
        <v>70.180000000000007</v>
      </c>
      <c r="L387" s="2">
        <f ca="1">IFERROR(__xludf.DUMMYFUNCTION("""COMPUTED_VALUE"""),73.66)</f>
        <v>73.66</v>
      </c>
      <c r="M387" s="2">
        <f ca="1">IFERROR(__xludf.DUMMYFUNCTION("""COMPUTED_VALUE"""),72.97)</f>
        <v>72.97</v>
      </c>
      <c r="N387" s="2">
        <f ca="1">IFERROR(__xludf.DUMMYFUNCTION("""COMPUTED_VALUE"""),71.98)</f>
        <v>71.98</v>
      </c>
      <c r="O387" s="2">
        <f ca="1">IFERROR(__xludf.DUMMYFUNCTION("""COMPUTED_VALUE"""),74.63)</f>
        <v>74.63</v>
      </c>
      <c r="P387" s="2">
        <f ca="1">IFERROR(__xludf.DUMMYFUNCTION("""COMPUTED_VALUE"""),72.76)</f>
        <v>72.760000000000005</v>
      </c>
      <c r="Q387" s="2">
        <f ca="1">IFERROR(__xludf.DUMMYFUNCTION("""COMPUTED_VALUE"""),73.48)</f>
        <v>73.48</v>
      </c>
    </row>
    <row r="388" spans="1:17" ht="15.75" customHeight="1" x14ac:dyDescent="0.25">
      <c r="A388" s="2">
        <v>7202</v>
      </c>
      <c r="B388" s="2" t="str">
        <f ca="1">IFERROR(__xludf.DUMMYFUNCTION("""COMPUTED_VALUE"""),"SULAWESI TENGAH")</f>
        <v>SULAWESI TENGAH</v>
      </c>
      <c r="C388" s="2" t="str">
        <f ca="1">IFERROR(__xludf.DUMMYFUNCTION("""COMPUTED_VALUE"""),"Banggai")</f>
        <v>Banggai</v>
      </c>
      <c r="D388" s="2">
        <f ca="1">IFERROR(__xludf.DUMMYFUNCTION("""COMPUTED_VALUE"""),3)</f>
        <v>3</v>
      </c>
      <c r="E388" s="2">
        <f ca="1">IFERROR(__xludf.DUMMYFUNCTION("""COMPUTED_VALUE"""),2.18)</f>
        <v>2.1800000000000002</v>
      </c>
      <c r="F388" s="2">
        <f ca="1">IFERROR(__xludf.DUMMYFUNCTION("""COMPUTED_VALUE"""),2.42)</f>
        <v>2.42</v>
      </c>
      <c r="G388" s="2">
        <f ca="1">IFERROR(__xludf.DUMMYFUNCTION("""COMPUTED_VALUE"""),3.57)</f>
        <v>3.57</v>
      </c>
      <c r="H388" s="2">
        <f ca="1">IFERROR(__xludf.DUMMYFUNCTION("""COMPUTED_VALUE"""),3.09)</f>
        <v>3.09</v>
      </c>
      <c r="I388" s="2">
        <f ca="1">IFERROR(__xludf.DUMMYFUNCTION("""COMPUTED_VALUE"""),3.12)</f>
        <v>3.12</v>
      </c>
      <c r="J388" s="2">
        <f ca="1">IFERROR(__xludf.DUMMYFUNCTION("""COMPUTED_VALUE"""),3.11)</f>
        <v>3.11</v>
      </c>
      <c r="K388" s="2">
        <f ca="1">IFERROR(__xludf.DUMMYFUNCTION("""COMPUTED_VALUE"""),71.49)</f>
        <v>71.489999999999995</v>
      </c>
      <c r="L388" s="2">
        <f ca="1">IFERROR(__xludf.DUMMYFUNCTION("""COMPUTED_VALUE"""),67.11)</f>
        <v>67.11</v>
      </c>
      <c r="M388" s="2">
        <f ca="1">IFERROR(__xludf.DUMMYFUNCTION("""COMPUTED_VALUE"""),69.79)</f>
        <v>69.790000000000006</v>
      </c>
      <c r="N388" s="2">
        <f ca="1">IFERROR(__xludf.DUMMYFUNCTION("""COMPUTED_VALUE"""),71.8)</f>
        <v>71.8</v>
      </c>
      <c r="O388" s="2">
        <f ca="1">IFERROR(__xludf.DUMMYFUNCTION("""COMPUTED_VALUE"""),73.48)</f>
        <v>73.48</v>
      </c>
      <c r="P388" s="2">
        <f ca="1">IFERROR(__xludf.DUMMYFUNCTION("""COMPUTED_VALUE"""),71.7)</f>
        <v>71.7</v>
      </c>
      <c r="Q388" s="2">
        <f ca="1">IFERROR(__xludf.DUMMYFUNCTION("""COMPUTED_VALUE"""),71.7)</f>
        <v>71.7</v>
      </c>
    </row>
    <row r="389" spans="1:17" ht="15.75" customHeight="1" x14ac:dyDescent="0.25">
      <c r="A389" s="2">
        <v>7203</v>
      </c>
      <c r="B389" s="2" t="str">
        <f ca="1">IFERROR(__xludf.DUMMYFUNCTION("""COMPUTED_VALUE"""),"SULAWESI TENGAH")</f>
        <v>SULAWESI TENGAH</v>
      </c>
      <c r="C389" s="2" t="str">
        <f ca="1">IFERROR(__xludf.DUMMYFUNCTION("""COMPUTED_VALUE"""),"Morowali")</f>
        <v>Morowali</v>
      </c>
      <c r="D389" s="2">
        <f ca="1">IFERROR(__xludf.DUMMYFUNCTION("""COMPUTED_VALUE"""),2.89)</f>
        <v>2.89</v>
      </c>
      <c r="E389" s="2">
        <f ca="1">IFERROR(__xludf.DUMMYFUNCTION("""COMPUTED_VALUE"""),2.97)</f>
        <v>2.97</v>
      </c>
      <c r="F389" s="2">
        <f ca="1">IFERROR(__xludf.DUMMYFUNCTION("""COMPUTED_VALUE"""),5.21)</f>
        <v>5.21</v>
      </c>
      <c r="G389" s="2">
        <f ca="1">IFERROR(__xludf.DUMMYFUNCTION("""COMPUTED_VALUE"""),5.08)</f>
        <v>5.08</v>
      </c>
      <c r="H389" s="2">
        <f ca="1">IFERROR(__xludf.DUMMYFUNCTION("""COMPUTED_VALUE"""),3.2)</f>
        <v>3.2</v>
      </c>
      <c r="I389" s="2">
        <f ca="1">IFERROR(__xludf.DUMMYFUNCTION("""COMPUTED_VALUE"""),2.84)</f>
        <v>2.84</v>
      </c>
      <c r="J389" s="2">
        <f ca="1">IFERROR(__xludf.DUMMYFUNCTION("""COMPUTED_VALUE"""),2.84)</f>
        <v>2.84</v>
      </c>
      <c r="K389" s="2">
        <f ca="1">IFERROR(__xludf.DUMMYFUNCTION("""COMPUTED_VALUE"""),60.8)</f>
        <v>60.8</v>
      </c>
      <c r="L389" s="2">
        <f ca="1">IFERROR(__xludf.DUMMYFUNCTION("""COMPUTED_VALUE"""),62.96)</f>
        <v>62.96</v>
      </c>
      <c r="M389" s="2">
        <f ca="1">IFERROR(__xludf.DUMMYFUNCTION("""COMPUTED_VALUE"""),64.7)</f>
        <v>64.7</v>
      </c>
      <c r="N389" s="2">
        <f ca="1">IFERROR(__xludf.DUMMYFUNCTION("""COMPUTED_VALUE"""),63.75)</f>
        <v>63.75</v>
      </c>
      <c r="O389" s="2">
        <f ca="1">IFERROR(__xludf.DUMMYFUNCTION("""COMPUTED_VALUE"""),60.74)</f>
        <v>60.74</v>
      </c>
      <c r="P389" s="2">
        <f ca="1">IFERROR(__xludf.DUMMYFUNCTION("""COMPUTED_VALUE"""),58.52)</f>
        <v>58.52</v>
      </c>
      <c r="Q389" s="2">
        <f ca="1">IFERROR(__xludf.DUMMYFUNCTION("""COMPUTED_VALUE"""),61.49)</f>
        <v>61.49</v>
      </c>
    </row>
    <row r="390" spans="1:17" ht="15.75" customHeight="1" x14ac:dyDescent="0.25">
      <c r="A390" s="2">
        <v>7204</v>
      </c>
      <c r="B390" s="2" t="str">
        <f ca="1">IFERROR(__xludf.DUMMYFUNCTION("""COMPUTED_VALUE"""),"SULAWESI TENGAH")</f>
        <v>SULAWESI TENGAH</v>
      </c>
      <c r="C390" s="2" t="str">
        <f ca="1">IFERROR(__xludf.DUMMYFUNCTION("""COMPUTED_VALUE"""),"Poso")</f>
        <v>Poso</v>
      </c>
      <c r="D390" s="2">
        <f ca="1">IFERROR(__xludf.DUMMYFUNCTION("""COMPUTED_VALUE"""),2.47)</f>
        <v>2.4700000000000002</v>
      </c>
      <c r="E390" s="2">
        <f ca="1">IFERROR(__xludf.DUMMYFUNCTION("""COMPUTED_VALUE"""),2.18)</f>
        <v>2.1800000000000002</v>
      </c>
      <c r="F390" s="2">
        <f ca="1">IFERROR(__xludf.DUMMYFUNCTION("""COMPUTED_VALUE"""),2.39)</f>
        <v>2.39</v>
      </c>
      <c r="G390" s="2">
        <f ca="1">IFERROR(__xludf.DUMMYFUNCTION("""COMPUTED_VALUE"""),2.47)</f>
        <v>2.4700000000000002</v>
      </c>
      <c r="H390" s="2">
        <f ca="1">IFERROR(__xludf.DUMMYFUNCTION("""COMPUTED_VALUE"""),1.68)</f>
        <v>1.68</v>
      </c>
      <c r="I390" s="2">
        <f ca="1">IFERROR(__xludf.DUMMYFUNCTION("""COMPUTED_VALUE"""),1.67)</f>
        <v>1.67</v>
      </c>
      <c r="J390" s="2">
        <f ca="1">IFERROR(__xludf.DUMMYFUNCTION("""COMPUTED_VALUE"""),1.77)</f>
        <v>1.77</v>
      </c>
      <c r="K390" s="2">
        <f ca="1">IFERROR(__xludf.DUMMYFUNCTION("""COMPUTED_VALUE"""),75.48)</f>
        <v>75.48</v>
      </c>
      <c r="L390" s="2">
        <f ca="1">IFERROR(__xludf.DUMMYFUNCTION("""COMPUTED_VALUE"""),72.6)</f>
        <v>72.599999999999994</v>
      </c>
      <c r="M390" s="2">
        <f ca="1">IFERROR(__xludf.DUMMYFUNCTION("""COMPUTED_VALUE"""),74.78)</f>
        <v>74.78</v>
      </c>
      <c r="N390" s="2">
        <f ca="1">IFERROR(__xludf.DUMMYFUNCTION("""COMPUTED_VALUE"""),73.54)</f>
        <v>73.540000000000006</v>
      </c>
      <c r="O390" s="2">
        <f ca="1">IFERROR(__xludf.DUMMYFUNCTION("""COMPUTED_VALUE"""),72.41)</f>
        <v>72.41</v>
      </c>
      <c r="P390" s="2">
        <f ca="1">IFERROR(__xludf.DUMMYFUNCTION("""COMPUTED_VALUE"""),71.07)</f>
        <v>71.069999999999993</v>
      </c>
      <c r="Q390" s="2">
        <f ca="1">IFERROR(__xludf.DUMMYFUNCTION("""COMPUTED_VALUE"""),68.65)</f>
        <v>68.650000000000006</v>
      </c>
    </row>
    <row r="391" spans="1:17" ht="15.75" customHeight="1" x14ac:dyDescent="0.25">
      <c r="A391" s="2">
        <v>7205</v>
      </c>
      <c r="B391" s="2" t="str">
        <f ca="1">IFERROR(__xludf.DUMMYFUNCTION("""COMPUTED_VALUE"""),"SULAWESI TENGAH")</f>
        <v>SULAWESI TENGAH</v>
      </c>
      <c r="C391" s="2" t="str">
        <f ca="1">IFERROR(__xludf.DUMMYFUNCTION("""COMPUTED_VALUE"""),"Donggala")</f>
        <v>Donggala</v>
      </c>
      <c r="D391" s="2">
        <f ca="1">IFERROR(__xludf.DUMMYFUNCTION("""COMPUTED_VALUE"""),2.85)</f>
        <v>2.85</v>
      </c>
      <c r="E391" s="2">
        <f ca="1">IFERROR(__xludf.DUMMYFUNCTION("""COMPUTED_VALUE"""),2.76)</f>
        <v>2.76</v>
      </c>
      <c r="F391" s="2">
        <f ca="1">IFERROR(__xludf.DUMMYFUNCTION("""COMPUTED_VALUE"""),2.58)</f>
        <v>2.58</v>
      </c>
      <c r="G391" s="2">
        <f ca="1">IFERROR(__xludf.DUMMYFUNCTION("""COMPUTED_VALUE"""),3.5)</f>
        <v>3.5</v>
      </c>
      <c r="H391" s="2">
        <f ca="1">IFERROR(__xludf.DUMMYFUNCTION("""COMPUTED_VALUE"""),2.84)</f>
        <v>2.84</v>
      </c>
      <c r="I391" s="2">
        <f ca="1">IFERROR(__xludf.DUMMYFUNCTION("""COMPUTED_VALUE"""),2.79)</f>
        <v>2.79</v>
      </c>
      <c r="J391" s="2">
        <f ca="1">IFERROR(__xludf.DUMMYFUNCTION("""COMPUTED_VALUE"""),2.79)</f>
        <v>2.79</v>
      </c>
      <c r="K391" s="2">
        <f ca="1">IFERROR(__xludf.DUMMYFUNCTION("""COMPUTED_VALUE"""),63.82)</f>
        <v>63.82</v>
      </c>
      <c r="L391" s="2">
        <f ca="1">IFERROR(__xludf.DUMMYFUNCTION("""COMPUTED_VALUE"""),65.69)</f>
        <v>65.69</v>
      </c>
      <c r="M391" s="2">
        <f ca="1">IFERROR(__xludf.DUMMYFUNCTION("""COMPUTED_VALUE"""),63.93)</f>
        <v>63.93</v>
      </c>
      <c r="N391" s="2">
        <f ca="1">IFERROR(__xludf.DUMMYFUNCTION("""COMPUTED_VALUE"""),67.47)</f>
        <v>67.47</v>
      </c>
      <c r="O391" s="2">
        <f ca="1">IFERROR(__xludf.DUMMYFUNCTION("""COMPUTED_VALUE"""),72.03)</f>
        <v>72.03</v>
      </c>
      <c r="P391" s="2">
        <f ca="1">IFERROR(__xludf.DUMMYFUNCTION("""COMPUTED_VALUE"""),66.57)</f>
        <v>66.569999999999993</v>
      </c>
      <c r="Q391" s="2">
        <f ca="1">IFERROR(__xludf.DUMMYFUNCTION("""COMPUTED_VALUE"""),68.42)</f>
        <v>68.42</v>
      </c>
    </row>
    <row r="392" spans="1:17" ht="15.75" customHeight="1" x14ac:dyDescent="0.25">
      <c r="A392" s="2">
        <v>7206</v>
      </c>
      <c r="B392" s="2" t="str">
        <f ca="1">IFERROR(__xludf.DUMMYFUNCTION("""COMPUTED_VALUE"""),"SULAWESI TENGAH")</f>
        <v>SULAWESI TENGAH</v>
      </c>
      <c r="C392" s="2" t="s">
        <v>36</v>
      </c>
      <c r="D392" s="2">
        <f ca="1">IFERROR(__xludf.DUMMYFUNCTION("""COMPUTED_VALUE"""),3.18)</f>
        <v>3.18</v>
      </c>
      <c r="E392" s="2">
        <f ca="1">IFERROR(__xludf.DUMMYFUNCTION("""COMPUTED_VALUE"""),3.1)</f>
        <v>3.1</v>
      </c>
      <c r="F392" s="2">
        <f ca="1">IFERROR(__xludf.DUMMYFUNCTION("""COMPUTED_VALUE"""),3.74)</f>
        <v>3.74</v>
      </c>
      <c r="G392" s="2">
        <f ca="1">IFERROR(__xludf.DUMMYFUNCTION("""COMPUTED_VALUE"""),3.13)</f>
        <v>3.13</v>
      </c>
      <c r="H392" s="2">
        <f ca="1">IFERROR(__xludf.DUMMYFUNCTION("""COMPUTED_VALUE"""),3.31)</f>
        <v>3.31</v>
      </c>
      <c r="I392" s="2">
        <f ca="1">IFERROR(__xludf.DUMMYFUNCTION("""COMPUTED_VALUE"""),3.12)</f>
        <v>3.12</v>
      </c>
      <c r="J392" s="2">
        <f ca="1">IFERROR(__xludf.DUMMYFUNCTION("""COMPUTED_VALUE"""),3.11)</f>
        <v>3.11</v>
      </c>
      <c r="K392" s="2">
        <f ca="1">IFERROR(__xludf.DUMMYFUNCTION("""COMPUTED_VALUE"""),66.57)</f>
        <v>66.569999999999993</v>
      </c>
      <c r="L392" s="2">
        <f ca="1">IFERROR(__xludf.DUMMYFUNCTION("""COMPUTED_VALUE"""),62.38)</f>
        <v>62.38</v>
      </c>
      <c r="M392" s="2">
        <f ca="1">IFERROR(__xludf.DUMMYFUNCTION("""COMPUTED_VALUE"""),65.95)</f>
        <v>65.95</v>
      </c>
      <c r="N392" s="2">
        <f ca="1">IFERROR(__xludf.DUMMYFUNCTION("""COMPUTED_VALUE"""),64.04)</f>
        <v>64.040000000000006</v>
      </c>
      <c r="O392" s="2">
        <f ca="1">IFERROR(__xludf.DUMMYFUNCTION("""COMPUTED_VALUE"""),64.7)</f>
        <v>64.7</v>
      </c>
      <c r="P392" s="2">
        <f ca="1">IFERROR(__xludf.DUMMYFUNCTION("""COMPUTED_VALUE"""),68.8)</f>
        <v>68.8</v>
      </c>
      <c r="Q392" s="2">
        <f ca="1">IFERROR(__xludf.DUMMYFUNCTION("""COMPUTED_VALUE"""),68.91)</f>
        <v>68.91</v>
      </c>
    </row>
    <row r="393" spans="1:17" ht="15.75" customHeight="1" x14ac:dyDescent="0.25">
      <c r="A393" s="2">
        <v>7207</v>
      </c>
      <c r="B393" s="2" t="str">
        <f ca="1">IFERROR(__xludf.DUMMYFUNCTION("""COMPUTED_VALUE"""),"SULAWESI TENGAH")</f>
        <v>SULAWESI TENGAH</v>
      </c>
      <c r="C393" s="2" t="str">
        <f ca="1">IFERROR(__xludf.DUMMYFUNCTION("""COMPUTED_VALUE"""),"Buol")</f>
        <v>Buol</v>
      </c>
      <c r="D393" s="2">
        <f ca="1">IFERROR(__xludf.DUMMYFUNCTION("""COMPUTED_VALUE"""),4.57)</f>
        <v>4.57</v>
      </c>
      <c r="E393" s="2">
        <f ca="1">IFERROR(__xludf.DUMMYFUNCTION("""COMPUTED_VALUE"""),3.01)</f>
        <v>3.01</v>
      </c>
      <c r="F393" s="2">
        <f ca="1">IFERROR(__xludf.DUMMYFUNCTION("""COMPUTED_VALUE"""),4.36)</f>
        <v>4.3600000000000003</v>
      </c>
      <c r="G393" s="2">
        <f ca="1">IFERROR(__xludf.DUMMYFUNCTION("""COMPUTED_VALUE"""),3.64)</f>
        <v>3.64</v>
      </c>
      <c r="H393" s="2">
        <f ca="1">IFERROR(__xludf.DUMMYFUNCTION("""COMPUTED_VALUE"""),3.07)</f>
        <v>3.07</v>
      </c>
      <c r="I393" s="2">
        <f ca="1">IFERROR(__xludf.DUMMYFUNCTION("""COMPUTED_VALUE"""),3.14)</f>
        <v>3.14</v>
      </c>
      <c r="J393" s="2">
        <f ca="1">IFERROR(__xludf.DUMMYFUNCTION("""COMPUTED_VALUE"""),3.13)</f>
        <v>3.13</v>
      </c>
      <c r="K393" s="2">
        <f ca="1">IFERROR(__xludf.DUMMYFUNCTION("""COMPUTED_VALUE"""),67.02)</f>
        <v>67.02</v>
      </c>
      <c r="L393" s="2">
        <f ca="1">IFERROR(__xludf.DUMMYFUNCTION("""COMPUTED_VALUE"""),67.14)</f>
        <v>67.14</v>
      </c>
      <c r="M393" s="2">
        <f ca="1">IFERROR(__xludf.DUMMYFUNCTION("""COMPUTED_VALUE"""),69.75)</f>
        <v>69.75</v>
      </c>
      <c r="N393" s="2">
        <f ca="1">IFERROR(__xludf.DUMMYFUNCTION("""COMPUTED_VALUE"""),67.52)</f>
        <v>67.52</v>
      </c>
      <c r="O393" s="2">
        <f ca="1">IFERROR(__xludf.DUMMYFUNCTION("""COMPUTED_VALUE"""),69.18)</f>
        <v>69.180000000000007</v>
      </c>
      <c r="P393" s="2">
        <f ca="1">IFERROR(__xludf.DUMMYFUNCTION("""COMPUTED_VALUE"""),69.43)</f>
        <v>69.430000000000007</v>
      </c>
      <c r="Q393" s="2">
        <f ca="1">IFERROR(__xludf.DUMMYFUNCTION("""COMPUTED_VALUE"""),70.5)</f>
        <v>70.5</v>
      </c>
    </row>
    <row r="394" spans="1:17" ht="15.75" customHeight="1" x14ac:dyDescent="0.25">
      <c r="A394" s="2">
        <v>7208</v>
      </c>
      <c r="B394" s="2" t="str">
        <f ca="1">IFERROR(__xludf.DUMMYFUNCTION("""COMPUTED_VALUE"""),"SULAWESI TENGAH")</f>
        <v>SULAWESI TENGAH</v>
      </c>
      <c r="C394" s="2" t="str">
        <f ca="1">IFERROR(__xludf.DUMMYFUNCTION("""COMPUTED_VALUE"""),"Parigi Moutong")</f>
        <v>Parigi Moutong</v>
      </c>
      <c r="D394" s="2">
        <f ca="1">IFERROR(__xludf.DUMMYFUNCTION("""COMPUTED_VALUE"""),2.7)</f>
        <v>2.7</v>
      </c>
      <c r="E394" s="2">
        <f ca="1">IFERROR(__xludf.DUMMYFUNCTION("""COMPUTED_VALUE"""),2.36)</f>
        <v>2.36</v>
      </c>
      <c r="F394" s="2">
        <f ca="1">IFERROR(__xludf.DUMMYFUNCTION("""COMPUTED_VALUE"""),2.7)</f>
        <v>2.7</v>
      </c>
      <c r="G394" s="2">
        <f ca="1">IFERROR(__xludf.DUMMYFUNCTION("""COMPUTED_VALUE"""),2.97)</f>
        <v>2.97</v>
      </c>
      <c r="H394" s="2">
        <f ca="1">IFERROR(__xludf.DUMMYFUNCTION("""COMPUTED_VALUE"""),1.71)</f>
        <v>1.71</v>
      </c>
      <c r="I394" s="2">
        <f ca="1">IFERROR(__xludf.DUMMYFUNCTION("""COMPUTED_VALUE"""),2.11)</f>
        <v>2.11</v>
      </c>
      <c r="J394" s="2">
        <f ca="1">IFERROR(__xludf.DUMMYFUNCTION("""COMPUTED_VALUE"""),2.1)</f>
        <v>2.1</v>
      </c>
      <c r="K394" s="2">
        <f ca="1">IFERROR(__xludf.DUMMYFUNCTION("""COMPUTED_VALUE"""),72.05)</f>
        <v>72.05</v>
      </c>
      <c r="L394" s="2">
        <f ca="1">IFERROR(__xludf.DUMMYFUNCTION("""COMPUTED_VALUE"""),68.3)</f>
        <v>68.3</v>
      </c>
      <c r="M394" s="2">
        <f ca="1">IFERROR(__xludf.DUMMYFUNCTION("""COMPUTED_VALUE"""),72.5)</f>
        <v>72.5</v>
      </c>
      <c r="N394" s="2">
        <f ca="1">IFERROR(__xludf.DUMMYFUNCTION("""COMPUTED_VALUE"""),68.82)</f>
        <v>68.819999999999993</v>
      </c>
      <c r="O394" s="2">
        <f ca="1">IFERROR(__xludf.DUMMYFUNCTION("""COMPUTED_VALUE"""),74.05)</f>
        <v>74.05</v>
      </c>
      <c r="P394" s="2">
        <f ca="1">IFERROR(__xludf.DUMMYFUNCTION("""COMPUTED_VALUE"""),73.3)</f>
        <v>73.3</v>
      </c>
      <c r="Q394" s="2">
        <f ca="1">IFERROR(__xludf.DUMMYFUNCTION("""COMPUTED_VALUE"""),74.68)</f>
        <v>74.680000000000007</v>
      </c>
    </row>
    <row r="395" spans="1:17" ht="15.75" customHeight="1" x14ac:dyDescent="0.25">
      <c r="A395" s="2">
        <v>7209</v>
      </c>
      <c r="B395" s="2" t="str">
        <f ca="1">IFERROR(__xludf.DUMMYFUNCTION("""COMPUTED_VALUE"""),"SULAWESI TENGAH")</f>
        <v>SULAWESI TENGAH</v>
      </c>
      <c r="C395" s="2" t="s">
        <v>35</v>
      </c>
      <c r="D395" s="2">
        <f ca="1">IFERROR(__xludf.DUMMYFUNCTION("""COMPUTED_VALUE"""),3.74)</f>
        <v>3.74</v>
      </c>
      <c r="E395" s="2">
        <f ca="1">IFERROR(__xludf.DUMMYFUNCTION("""COMPUTED_VALUE"""),2.92)</f>
        <v>2.92</v>
      </c>
      <c r="F395" s="2">
        <f ca="1">IFERROR(__xludf.DUMMYFUNCTION("""COMPUTED_VALUE"""),2.84)</f>
        <v>2.84</v>
      </c>
      <c r="G395" s="2">
        <f ca="1">IFERROR(__xludf.DUMMYFUNCTION("""COMPUTED_VALUE"""),3.44)</f>
        <v>3.44</v>
      </c>
      <c r="H395" s="2">
        <f ca="1">IFERROR(__xludf.DUMMYFUNCTION("""COMPUTED_VALUE"""),3.05)</f>
        <v>3.05</v>
      </c>
      <c r="I395" s="2">
        <f ca="1">IFERROR(__xludf.DUMMYFUNCTION("""COMPUTED_VALUE"""),2.83)</f>
        <v>2.83</v>
      </c>
      <c r="J395" s="2">
        <f ca="1">IFERROR(__xludf.DUMMYFUNCTION("""COMPUTED_VALUE"""),2.47)</f>
        <v>2.4700000000000002</v>
      </c>
      <c r="K395" s="2">
        <f ca="1">IFERROR(__xludf.DUMMYFUNCTION("""COMPUTED_VALUE"""),76.58)</f>
        <v>76.58</v>
      </c>
      <c r="L395" s="2">
        <f ca="1">IFERROR(__xludf.DUMMYFUNCTION("""COMPUTED_VALUE"""),78.69)</f>
        <v>78.69</v>
      </c>
      <c r="M395" s="2">
        <f ca="1">IFERROR(__xludf.DUMMYFUNCTION("""COMPUTED_VALUE"""),75.33)</f>
        <v>75.33</v>
      </c>
      <c r="N395" s="2">
        <f ca="1">IFERROR(__xludf.DUMMYFUNCTION("""COMPUTED_VALUE"""),74.86)</f>
        <v>74.86</v>
      </c>
      <c r="O395" s="2">
        <f ca="1">IFERROR(__xludf.DUMMYFUNCTION("""COMPUTED_VALUE"""),68.47)</f>
        <v>68.47</v>
      </c>
      <c r="P395" s="2">
        <f ca="1">IFERROR(__xludf.DUMMYFUNCTION("""COMPUTED_VALUE"""),75.06)</f>
        <v>75.06</v>
      </c>
      <c r="Q395" s="2">
        <f ca="1">IFERROR(__xludf.DUMMYFUNCTION("""COMPUTED_VALUE"""),75.08)</f>
        <v>75.08</v>
      </c>
    </row>
    <row r="396" spans="1:17" ht="15.75" customHeight="1" x14ac:dyDescent="0.25">
      <c r="A396" s="2">
        <v>7210</v>
      </c>
      <c r="B396" s="2" t="str">
        <f ca="1">IFERROR(__xludf.DUMMYFUNCTION("""COMPUTED_VALUE"""),"SULAWESI TENGAH")</f>
        <v>SULAWESI TENGAH</v>
      </c>
      <c r="C396" s="2" t="str">
        <f ca="1">IFERROR(__xludf.DUMMYFUNCTION("""COMPUTED_VALUE"""),"Sigi")</f>
        <v>Sigi</v>
      </c>
      <c r="D396" s="2">
        <f ca="1">IFERROR(__xludf.DUMMYFUNCTION("""COMPUTED_VALUE"""),3.78)</f>
        <v>3.78</v>
      </c>
      <c r="E396" s="2">
        <f ca="1">IFERROR(__xludf.DUMMYFUNCTION("""COMPUTED_VALUE"""),2.54)</f>
        <v>2.54</v>
      </c>
      <c r="F396" s="2">
        <f ca="1">IFERROR(__xludf.DUMMYFUNCTION("""COMPUTED_VALUE"""),3.36)</f>
        <v>3.36</v>
      </c>
      <c r="G396" s="2">
        <f ca="1">IFERROR(__xludf.DUMMYFUNCTION("""COMPUTED_VALUE"""),2.38)</f>
        <v>2.38</v>
      </c>
      <c r="H396" s="2">
        <f ca="1">IFERROR(__xludf.DUMMYFUNCTION("""COMPUTED_VALUE"""),3.02)</f>
        <v>3.02</v>
      </c>
      <c r="I396" s="2">
        <f ca="1">IFERROR(__xludf.DUMMYFUNCTION("""COMPUTED_VALUE"""),2.6)</f>
        <v>2.6</v>
      </c>
      <c r="J396" s="2">
        <f ca="1">IFERROR(__xludf.DUMMYFUNCTION("""COMPUTED_VALUE"""),2.55)</f>
        <v>2.5499999999999998</v>
      </c>
      <c r="K396" s="2">
        <f ca="1">IFERROR(__xludf.DUMMYFUNCTION("""COMPUTED_VALUE"""),69.1)</f>
        <v>69.099999999999994</v>
      </c>
      <c r="L396" s="2">
        <f ca="1">IFERROR(__xludf.DUMMYFUNCTION("""COMPUTED_VALUE"""),69.16)</f>
        <v>69.16</v>
      </c>
      <c r="M396" s="2">
        <f ca="1">IFERROR(__xludf.DUMMYFUNCTION("""COMPUTED_VALUE"""),69.24)</f>
        <v>69.239999999999995</v>
      </c>
      <c r="N396" s="2">
        <f ca="1">IFERROR(__xludf.DUMMYFUNCTION("""COMPUTED_VALUE"""),70.76)</f>
        <v>70.760000000000005</v>
      </c>
      <c r="O396" s="2">
        <f ca="1">IFERROR(__xludf.DUMMYFUNCTION("""COMPUTED_VALUE"""),72.69)</f>
        <v>72.69</v>
      </c>
      <c r="P396" s="2">
        <f ca="1">IFERROR(__xludf.DUMMYFUNCTION("""COMPUTED_VALUE"""),70.94)</f>
        <v>70.94</v>
      </c>
      <c r="Q396" s="2">
        <f ca="1">IFERROR(__xludf.DUMMYFUNCTION("""COMPUTED_VALUE"""),75.92)</f>
        <v>75.92</v>
      </c>
    </row>
    <row r="397" spans="1:17" ht="15.75" customHeight="1" x14ac:dyDescent="0.25">
      <c r="A397" s="2">
        <v>7211</v>
      </c>
      <c r="B397" s="2" t="str">
        <f ca="1">IFERROR(__xludf.DUMMYFUNCTION("""COMPUTED_VALUE"""),"SULAWESI TENGAH")</f>
        <v>SULAWESI TENGAH</v>
      </c>
      <c r="C397" s="2" t="str">
        <f ca="1">IFERROR(__xludf.DUMMYFUNCTION("""COMPUTED_VALUE"""),"Banggai Laut")</f>
        <v>Banggai Laut</v>
      </c>
      <c r="D397" s="2">
        <f ca="1">IFERROR(__xludf.DUMMYFUNCTION("""COMPUTED_VALUE"""),3.35)</f>
        <v>3.35</v>
      </c>
      <c r="E397" s="2">
        <f ca="1">IFERROR(__xludf.DUMMYFUNCTION("""COMPUTED_VALUE"""),3.04)</f>
        <v>3.04</v>
      </c>
      <c r="F397" s="2">
        <f ca="1">IFERROR(__xludf.DUMMYFUNCTION("""COMPUTED_VALUE"""),3.09)</f>
        <v>3.09</v>
      </c>
      <c r="G397" s="2">
        <f ca="1">IFERROR(__xludf.DUMMYFUNCTION("""COMPUTED_VALUE"""),3.35)</f>
        <v>3.35</v>
      </c>
      <c r="H397" s="2">
        <f ca="1">IFERROR(__xludf.DUMMYFUNCTION("""COMPUTED_VALUE"""),3.6)</f>
        <v>3.6</v>
      </c>
      <c r="I397" s="2">
        <f ca="1">IFERROR(__xludf.DUMMYFUNCTION("""COMPUTED_VALUE"""),3.64)</f>
        <v>3.64</v>
      </c>
      <c r="J397" s="2">
        <f ca="1">IFERROR(__xludf.DUMMYFUNCTION("""COMPUTED_VALUE"""),3.6)</f>
        <v>3.6</v>
      </c>
      <c r="K397" s="2">
        <f ca="1">IFERROR(__xludf.DUMMYFUNCTION("""COMPUTED_VALUE"""),69.3)</f>
        <v>69.3</v>
      </c>
      <c r="L397" s="2">
        <f ca="1">IFERROR(__xludf.DUMMYFUNCTION("""COMPUTED_VALUE"""),65.41)</f>
        <v>65.41</v>
      </c>
      <c r="M397" s="2">
        <f ca="1">IFERROR(__xludf.DUMMYFUNCTION("""COMPUTED_VALUE"""),67.2)</f>
        <v>67.2</v>
      </c>
      <c r="N397" s="2">
        <f ca="1">IFERROR(__xludf.DUMMYFUNCTION("""COMPUTED_VALUE"""),61.42)</f>
        <v>61.42</v>
      </c>
      <c r="O397" s="2">
        <f ca="1">IFERROR(__xludf.DUMMYFUNCTION("""COMPUTED_VALUE"""),58.37)</f>
        <v>58.37</v>
      </c>
      <c r="P397" s="2">
        <f ca="1">IFERROR(__xludf.DUMMYFUNCTION("""COMPUTED_VALUE"""),59.17)</f>
        <v>59.17</v>
      </c>
      <c r="Q397" s="2">
        <f ca="1">IFERROR(__xludf.DUMMYFUNCTION("""COMPUTED_VALUE"""),68.98)</f>
        <v>68.98</v>
      </c>
    </row>
    <row r="398" spans="1:17" ht="15.75" customHeight="1" x14ac:dyDescent="0.25">
      <c r="A398" s="2">
        <v>7212</v>
      </c>
      <c r="B398" s="2" t="str">
        <f ca="1">IFERROR(__xludf.DUMMYFUNCTION("""COMPUTED_VALUE"""),"SULAWESI TENGAH")</f>
        <v>SULAWESI TENGAH</v>
      </c>
      <c r="C398" s="2" t="str">
        <f ca="1">IFERROR(__xludf.DUMMYFUNCTION("""COMPUTED_VALUE"""),"Morowali Utara")</f>
        <v>Morowali Utara</v>
      </c>
      <c r="D398" s="2">
        <f ca="1">IFERROR(__xludf.DUMMYFUNCTION("""COMPUTED_VALUE"""),2.12)</f>
        <v>2.12</v>
      </c>
      <c r="E398" s="2">
        <f ca="1">IFERROR(__xludf.DUMMYFUNCTION("""COMPUTED_VALUE"""),3.05)</f>
        <v>3.05</v>
      </c>
      <c r="F398" s="2">
        <f ca="1">IFERROR(__xludf.DUMMYFUNCTION("""COMPUTED_VALUE"""),5.16)</f>
        <v>5.16</v>
      </c>
      <c r="G398" s="2">
        <f ca="1">IFERROR(__xludf.DUMMYFUNCTION("""COMPUTED_VALUE"""),2.98)</f>
        <v>2.98</v>
      </c>
      <c r="H398" s="2">
        <f ca="1">IFERROR(__xludf.DUMMYFUNCTION("""COMPUTED_VALUE"""),2.25)</f>
        <v>2.25</v>
      </c>
      <c r="I398" s="2">
        <f ca="1">IFERROR(__xludf.DUMMYFUNCTION("""COMPUTED_VALUE"""),2.23)</f>
        <v>2.23</v>
      </c>
      <c r="J398" s="2">
        <f ca="1">IFERROR(__xludf.DUMMYFUNCTION("""COMPUTED_VALUE"""),2.38)</f>
        <v>2.38</v>
      </c>
      <c r="K398" s="2">
        <f ca="1">IFERROR(__xludf.DUMMYFUNCTION("""COMPUTED_VALUE"""),75.45)</f>
        <v>75.45</v>
      </c>
      <c r="L398" s="2">
        <f ca="1">IFERROR(__xludf.DUMMYFUNCTION("""COMPUTED_VALUE"""),65.76)</f>
        <v>65.760000000000005</v>
      </c>
      <c r="M398" s="2">
        <f ca="1">IFERROR(__xludf.DUMMYFUNCTION("""COMPUTED_VALUE"""),69.85)</f>
        <v>69.849999999999994</v>
      </c>
      <c r="N398" s="2">
        <f ca="1">IFERROR(__xludf.DUMMYFUNCTION("""COMPUTED_VALUE"""),68.47)</f>
        <v>68.47</v>
      </c>
      <c r="O398" s="2">
        <f ca="1">IFERROR(__xludf.DUMMYFUNCTION("""COMPUTED_VALUE"""),69.93)</f>
        <v>69.930000000000007</v>
      </c>
      <c r="P398" s="2">
        <f ca="1">IFERROR(__xludf.DUMMYFUNCTION("""COMPUTED_VALUE"""),70.33)</f>
        <v>70.33</v>
      </c>
      <c r="Q398" s="2">
        <f ca="1">IFERROR(__xludf.DUMMYFUNCTION("""COMPUTED_VALUE"""),70.35)</f>
        <v>70.349999999999994</v>
      </c>
    </row>
    <row r="399" spans="1:17" ht="15.75" customHeight="1" x14ac:dyDescent="0.25">
      <c r="A399" s="2">
        <v>7271</v>
      </c>
      <c r="B399" s="2" t="str">
        <f ca="1">IFERROR(__xludf.DUMMYFUNCTION("""COMPUTED_VALUE"""),"SULAWESI TENGAH")</f>
        <v>SULAWESI TENGAH</v>
      </c>
      <c r="C399" s="2" t="str">
        <f ca="1">IFERROR(__xludf.DUMMYFUNCTION("""COMPUTED_VALUE"""),"Kota Palu")</f>
        <v>Kota Palu</v>
      </c>
      <c r="D399" s="2">
        <f ca="1">IFERROR(__xludf.DUMMYFUNCTION("""COMPUTED_VALUE"""),5.81)</f>
        <v>5.81</v>
      </c>
      <c r="E399" s="2">
        <f ca="1">IFERROR(__xludf.DUMMYFUNCTION("""COMPUTED_VALUE"""),6.32)</f>
        <v>6.32</v>
      </c>
      <c r="F399" s="2">
        <f ca="1">IFERROR(__xludf.DUMMYFUNCTION("""COMPUTED_VALUE"""),8.38)</f>
        <v>8.3800000000000008</v>
      </c>
      <c r="G399" s="2">
        <f ca="1">IFERROR(__xludf.DUMMYFUNCTION("""COMPUTED_VALUE"""),7.61)</f>
        <v>7.61</v>
      </c>
      <c r="H399" s="2">
        <f ca="1">IFERROR(__xludf.DUMMYFUNCTION("""COMPUTED_VALUE"""),6.15)</f>
        <v>6.15</v>
      </c>
      <c r="I399" s="2">
        <f ca="1">IFERROR(__xludf.DUMMYFUNCTION("""COMPUTED_VALUE"""),5.65)</f>
        <v>5.65</v>
      </c>
      <c r="J399" s="2">
        <f ca="1">IFERROR(__xludf.DUMMYFUNCTION("""COMPUTED_VALUE"""),5.63)</f>
        <v>5.63</v>
      </c>
      <c r="K399" s="2">
        <f ca="1">IFERROR(__xludf.DUMMYFUNCTION("""COMPUTED_VALUE"""),65.82)</f>
        <v>65.819999999999993</v>
      </c>
      <c r="L399" s="2">
        <f ca="1">IFERROR(__xludf.DUMMYFUNCTION("""COMPUTED_VALUE"""),65.63)</f>
        <v>65.63</v>
      </c>
      <c r="M399" s="2">
        <f ca="1">IFERROR(__xludf.DUMMYFUNCTION("""COMPUTED_VALUE"""),66.46)</f>
        <v>66.459999999999994</v>
      </c>
      <c r="N399" s="2">
        <f ca="1">IFERROR(__xludf.DUMMYFUNCTION("""COMPUTED_VALUE"""),65.07)</f>
        <v>65.069999999999993</v>
      </c>
      <c r="O399" s="2">
        <f ca="1">IFERROR(__xludf.DUMMYFUNCTION("""COMPUTED_VALUE"""),64.68)</f>
        <v>64.680000000000007</v>
      </c>
      <c r="P399" s="2">
        <f ca="1">IFERROR(__xludf.DUMMYFUNCTION("""COMPUTED_VALUE"""),69.28)</f>
        <v>69.28</v>
      </c>
      <c r="Q399" s="2">
        <f ca="1">IFERROR(__xludf.DUMMYFUNCTION("""COMPUTED_VALUE"""),70.5)</f>
        <v>70.5</v>
      </c>
    </row>
    <row r="400" spans="1:17" ht="15.75" customHeight="1" x14ac:dyDescent="0.25">
      <c r="A400" s="2">
        <v>7301</v>
      </c>
      <c r="B400" s="2" t="str">
        <f ca="1">IFERROR(__xludf.DUMMYFUNCTION("""COMPUTED_VALUE"""),"SULAWESI SELATAN")</f>
        <v>SULAWESI SELATAN</v>
      </c>
      <c r="C400" s="2" t="str">
        <f ca="1">IFERROR(__xludf.DUMMYFUNCTION("""COMPUTED_VALUE"""),"Kepulauan Selayar")</f>
        <v>Kepulauan Selayar</v>
      </c>
      <c r="D400" s="2">
        <f ca="1">IFERROR(__xludf.DUMMYFUNCTION("""COMPUTED_VALUE"""),1.88)</f>
        <v>1.88</v>
      </c>
      <c r="E400" s="2">
        <f ca="1">IFERROR(__xludf.DUMMYFUNCTION("""COMPUTED_VALUE"""),1.1)</f>
        <v>1.1000000000000001</v>
      </c>
      <c r="F400" s="2">
        <f ca="1">IFERROR(__xludf.DUMMYFUNCTION("""COMPUTED_VALUE"""),2.44)</f>
        <v>2.44</v>
      </c>
      <c r="G400" s="2">
        <f ca="1">IFERROR(__xludf.DUMMYFUNCTION("""COMPUTED_VALUE"""),2.81)</f>
        <v>2.81</v>
      </c>
      <c r="H400" s="2">
        <f ca="1">IFERROR(__xludf.DUMMYFUNCTION("""COMPUTED_VALUE"""),1.49)</f>
        <v>1.49</v>
      </c>
      <c r="I400" s="2">
        <f ca="1">IFERROR(__xludf.DUMMYFUNCTION("""COMPUTED_VALUE"""),1.98)</f>
        <v>1.98</v>
      </c>
      <c r="J400" s="2">
        <f ca="1">IFERROR(__xludf.DUMMYFUNCTION("""COMPUTED_VALUE"""),2.05)</f>
        <v>2.0499999999999998</v>
      </c>
      <c r="K400" s="2">
        <f ca="1">IFERROR(__xludf.DUMMYFUNCTION("""COMPUTED_VALUE"""),66.16)</f>
        <v>66.16</v>
      </c>
      <c r="L400" s="2">
        <f ca="1">IFERROR(__xludf.DUMMYFUNCTION("""COMPUTED_VALUE"""),65.6)</f>
        <v>65.599999999999994</v>
      </c>
      <c r="M400" s="2">
        <f ca="1">IFERROR(__xludf.DUMMYFUNCTION("""COMPUTED_VALUE"""),68.18)</f>
        <v>68.180000000000007</v>
      </c>
      <c r="N400" s="2">
        <f ca="1">IFERROR(__xludf.DUMMYFUNCTION("""COMPUTED_VALUE"""),69.07)</f>
        <v>69.069999999999993</v>
      </c>
      <c r="O400" s="2">
        <f ca="1">IFERROR(__xludf.DUMMYFUNCTION("""COMPUTED_VALUE"""),69.93)</f>
        <v>69.930000000000007</v>
      </c>
      <c r="P400" s="2">
        <f ca="1">IFERROR(__xludf.DUMMYFUNCTION("""COMPUTED_VALUE"""),71.88)</f>
        <v>71.88</v>
      </c>
      <c r="Q400" s="2">
        <f ca="1">IFERROR(__xludf.DUMMYFUNCTION("""COMPUTED_VALUE"""),67.19)</f>
        <v>67.19</v>
      </c>
    </row>
    <row r="401" spans="1:17" ht="15.75" customHeight="1" x14ac:dyDescent="0.25">
      <c r="A401" s="2">
        <v>7302</v>
      </c>
      <c r="B401" s="2" t="str">
        <f ca="1">IFERROR(__xludf.DUMMYFUNCTION("""COMPUTED_VALUE"""),"SULAWESI SELATAN")</f>
        <v>SULAWESI SELATAN</v>
      </c>
      <c r="C401" s="2" t="str">
        <f ca="1">IFERROR(__xludf.DUMMYFUNCTION("""COMPUTED_VALUE"""),"Bulukumba")</f>
        <v>Bulukumba</v>
      </c>
      <c r="D401" s="2">
        <f ca="1">IFERROR(__xludf.DUMMYFUNCTION("""COMPUTED_VALUE"""),3.62)</f>
        <v>3.62</v>
      </c>
      <c r="E401" s="2">
        <f ca="1">IFERROR(__xludf.DUMMYFUNCTION("""COMPUTED_VALUE"""),3.06)</f>
        <v>3.06</v>
      </c>
      <c r="F401" s="2">
        <f ca="1">IFERROR(__xludf.DUMMYFUNCTION("""COMPUTED_VALUE"""),3.42)</f>
        <v>3.42</v>
      </c>
      <c r="G401" s="2">
        <f ca="1">IFERROR(__xludf.DUMMYFUNCTION("""COMPUTED_VALUE"""),3.14)</f>
        <v>3.14</v>
      </c>
      <c r="H401" s="2">
        <f ca="1">IFERROR(__xludf.DUMMYFUNCTION("""COMPUTED_VALUE"""),1.26)</f>
        <v>1.26</v>
      </c>
      <c r="I401" s="2">
        <f ca="1">IFERROR(__xludf.DUMMYFUNCTION("""COMPUTED_VALUE"""),1.31)</f>
        <v>1.31</v>
      </c>
      <c r="J401" s="2">
        <f ca="1">IFERROR(__xludf.DUMMYFUNCTION("""COMPUTED_VALUE"""),2.23)</f>
        <v>2.23</v>
      </c>
      <c r="K401" s="2">
        <f ca="1">IFERROR(__xludf.DUMMYFUNCTION("""COMPUTED_VALUE"""),63.29)</f>
        <v>63.29</v>
      </c>
      <c r="L401" s="2">
        <f ca="1">IFERROR(__xludf.DUMMYFUNCTION("""COMPUTED_VALUE"""),67.71)</f>
        <v>67.709999999999994</v>
      </c>
      <c r="M401" s="2">
        <f ca="1">IFERROR(__xludf.DUMMYFUNCTION("""COMPUTED_VALUE"""),68.26)</f>
        <v>68.260000000000005</v>
      </c>
      <c r="N401" s="2">
        <f ca="1">IFERROR(__xludf.DUMMYFUNCTION("""COMPUTED_VALUE"""),65.46)</f>
        <v>65.459999999999994</v>
      </c>
      <c r="O401" s="2">
        <f ca="1">IFERROR(__xludf.DUMMYFUNCTION("""COMPUTED_VALUE"""),65.27)</f>
        <v>65.27</v>
      </c>
      <c r="P401" s="2">
        <f ca="1">IFERROR(__xludf.DUMMYFUNCTION("""COMPUTED_VALUE"""),70.78)</f>
        <v>70.78</v>
      </c>
      <c r="Q401" s="2">
        <f ca="1">IFERROR(__xludf.DUMMYFUNCTION("""COMPUTED_VALUE"""),72.39)</f>
        <v>72.39</v>
      </c>
    </row>
    <row r="402" spans="1:17" ht="15.75" customHeight="1" x14ac:dyDescent="0.25">
      <c r="A402" s="2">
        <v>7303</v>
      </c>
      <c r="B402" s="2" t="str">
        <f ca="1">IFERROR(__xludf.DUMMYFUNCTION("""COMPUTED_VALUE"""),"SULAWESI SELATAN")</f>
        <v>SULAWESI SELATAN</v>
      </c>
      <c r="C402" s="2" t="str">
        <f ca="1">IFERROR(__xludf.DUMMYFUNCTION("""COMPUTED_VALUE"""),"Bantaeng")</f>
        <v>Bantaeng</v>
      </c>
      <c r="D402" s="2">
        <f ca="1">IFERROR(__xludf.DUMMYFUNCTION("""COMPUTED_VALUE"""),3.69)</f>
        <v>3.69</v>
      </c>
      <c r="E402" s="2">
        <f ca="1">IFERROR(__xludf.DUMMYFUNCTION("""COMPUTED_VALUE"""),3.65)</f>
        <v>3.65</v>
      </c>
      <c r="F402" s="2">
        <f ca="1">IFERROR(__xludf.DUMMYFUNCTION("""COMPUTED_VALUE"""),4.27)</f>
        <v>4.2699999999999996</v>
      </c>
      <c r="G402" s="2">
        <f ca="1">IFERROR(__xludf.DUMMYFUNCTION("""COMPUTED_VALUE"""),4.07)</f>
        <v>4.07</v>
      </c>
      <c r="H402" s="2">
        <f ca="1">IFERROR(__xludf.DUMMYFUNCTION("""COMPUTED_VALUE"""),2.72)</f>
        <v>2.72</v>
      </c>
      <c r="I402" s="2">
        <f ca="1">IFERROR(__xludf.DUMMYFUNCTION("""COMPUTED_VALUE"""),3.71)</f>
        <v>3.71</v>
      </c>
      <c r="J402" s="2">
        <f ca="1">IFERROR(__xludf.DUMMYFUNCTION("""COMPUTED_VALUE"""),2.57)</f>
        <v>2.57</v>
      </c>
      <c r="K402" s="2">
        <f ca="1">IFERROR(__xludf.DUMMYFUNCTION("""COMPUTED_VALUE"""),71.44)</f>
        <v>71.44</v>
      </c>
      <c r="L402" s="2">
        <f ca="1">IFERROR(__xludf.DUMMYFUNCTION("""COMPUTED_VALUE"""),72.57)</f>
        <v>72.569999999999993</v>
      </c>
      <c r="M402" s="2">
        <f ca="1">IFERROR(__xludf.DUMMYFUNCTION("""COMPUTED_VALUE"""),73.14)</f>
        <v>73.14</v>
      </c>
      <c r="N402" s="2">
        <f ca="1">IFERROR(__xludf.DUMMYFUNCTION("""COMPUTED_VALUE"""),74.32)</f>
        <v>74.319999999999993</v>
      </c>
      <c r="O402" s="2">
        <f ca="1">IFERROR(__xludf.DUMMYFUNCTION("""COMPUTED_VALUE"""),75.36)</f>
        <v>75.36</v>
      </c>
      <c r="P402" s="2">
        <f ca="1">IFERROR(__xludf.DUMMYFUNCTION("""COMPUTED_VALUE"""),75.58)</f>
        <v>75.58</v>
      </c>
      <c r="Q402" s="2">
        <f ca="1">IFERROR(__xludf.DUMMYFUNCTION("""COMPUTED_VALUE"""),78.39)</f>
        <v>78.39</v>
      </c>
    </row>
    <row r="403" spans="1:17" ht="15.75" customHeight="1" x14ac:dyDescent="0.25">
      <c r="A403" s="2">
        <v>7304</v>
      </c>
      <c r="B403" s="2" t="str">
        <f ca="1">IFERROR(__xludf.DUMMYFUNCTION("""COMPUTED_VALUE"""),"SULAWESI SELATAN")</f>
        <v>SULAWESI SELATAN</v>
      </c>
      <c r="C403" s="2" t="str">
        <f ca="1">IFERROR(__xludf.DUMMYFUNCTION("""COMPUTED_VALUE"""),"Jeneponto")</f>
        <v>Jeneponto</v>
      </c>
      <c r="D403" s="2">
        <f ca="1">IFERROR(__xludf.DUMMYFUNCTION("""COMPUTED_VALUE"""),2.81)</f>
        <v>2.81</v>
      </c>
      <c r="E403" s="2">
        <f ca="1">IFERROR(__xludf.DUMMYFUNCTION("""COMPUTED_VALUE"""),1.99)</f>
        <v>1.99</v>
      </c>
      <c r="F403" s="2">
        <f ca="1">IFERROR(__xludf.DUMMYFUNCTION("""COMPUTED_VALUE"""),2.31)</f>
        <v>2.31</v>
      </c>
      <c r="G403" s="2">
        <f ca="1">IFERROR(__xludf.DUMMYFUNCTION("""COMPUTED_VALUE"""),2.38)</f>
        <v>2.38</v>
      </c>
      <c r="H403" s="2">
        <f ca="1">IFERROR(__xludf.DUMMYFUNCTION("""COMPUTED_VALUE"""),2.21)</f>
        <v>2.21</v>
      </c>
      <c r="I403" s="2">
        <f ca="1">IFERROR(__xludf.DUMMYFUNCTION("""COMPUTED_VALUE"""),2.13)</f>
        <v>2.13</v>
      </c>
      <c r="J403" s="2">
        <f ca="1">IFERROR(__xludf.DUMMYFUNCTION("""COMPUTED_VALUE"""),2.47)</f>
        <v>2.4700000000000002</v>
      </c>
      <c r="K403" s="2">
        <f ca="1">IFERROR(__xludf.DUMMYFUNCTION("""COMPUTED_VALUE"""),67.71)</f>
        <v>67.709999999999994</v>
      </c>
      <c r="L403" s="2">
        <f ca="1">IFERROR(__xludf.DUMMYFUNCTION("""COMPUTED_VALUE"""),67.21)</f>
        <v>67.209999999999994</v>
      </c>
      <c r="M403" s="2">
        <f ca="1">IFERROR(__xludf.DUMMYFUNCTION("""COMPUTED_VALUE"""),68.87)</f>
        <v>68.87</v>
      </c>
      <c r="N403" s="2">
        <f ca="1">IFERROR(__xludf.DUMMYFUNCTION("""COMPUTED_VALUE"""),67.39)</f>
        <v>67.39</v>
      </c>
      <c r="O403" s="2">
        <f ca="1">IFERROR(__xludf.DUMMYFUNCTION("""COMPUTED_VALUE"""),75.26)</f>
        <v>75.260000000000005</v>
      </c>
      <c r="P403" s="2">
        <f ca="1">IFERROR(__xludf.DUMMYFUNCTION("""COMPUTED_VALUE"""),66.44)</f>
        <v>66.44</v>
      </c>
      <c r="Q403" s="2">
        <f ca="1">IFERROR(__xludf.DUMMYFUNCTION("""COMPUTED_VALUE"""),67.48)</f>
        <v>67.48</v>
      </c>
    </row>
    <row r="404" spans="1:17" ht="15.75" customHeight="1" x14ac:dyDescent="0.25">
      <c r="A404" s="2">
        <v>7305</v>
      </c>
      <c r="B404" s="2" t="str">
        <f ca="1">IFERROR(__xludf.DUMMYFUNCTION("""COMPUTED_VALUE"""),"SULAWESI SELATAN")</f>
        <v>SULAWESI SELATAN</v>
      </c>
      <c r="C404" s="2" t="str">
        <f ca="1">IFERROR(__xludf.DUMMYFUNCTION("""COMPUTED_VALUE"""),"Takalar")</f>
        <v>Takalar</v>
      </c>
      <c r="D404" s="2">
        <f ca="1">IFERROR(__xludf.DUMMYFUNCTION("""COMPUTED_VALUE"""),3.88)</f>
        <v>3.88</v>
      </c>
      <c r="E404" s="2">
        <f ca="1">IFERROR(__xludf.DUMMYFUNCTION("""COMPUTED_VALUE"""),3.78)</f>
        <v>3.78</v>
      </c>
      <c r="F404" s="2">
        <f ca="1">IFERROR(__xludf.DUMMYFUNCTION("""COMPUTED_VALUE"""),4.16)</f>
        <v>4.16</v>
      </c>
      <c r="G404" s="2">
        <f ca="1">IFERROR(__xludf.DUMMYFUNCTION("""COMPUTED_VALUE"""),3.93)</f>
        <v>3.93</v>
      </c>
      <c r="H404" s="2">
        <f ca="1">IFERROR(__xludf.DUMMYFUNCTION("""COMPUTED_VALUE"""),2.63)</f>
        <v>2.63</v>
      </c>
      <c r="I404" s="2">
        <f ca="1">IFERROR(__xludf.DUMMYFUNCTION("""COMPUTED_VALUE"""),3.58)</f>
        <v>3.58</v>
      </c>
      <c r="J404" s="2">
        <f ca="1">IFERROR(__xludf.DUMMYFUNCTION("""COMPUTED_VALUE"""),3.84)</f>
        <v>3.84</v>
      </c>
      <c r="K404" s="2">
        <f ca="1">IFERROR(__xludf.DUMMYFUNCTION("""COMPUTED_VALUE"""),65.39)</f>
        <v>65.39</v>
      </c>
      <c r="L404" s="2">
        <f ca="1">IFERROR(__xludf.DUMMYFUNCTION("""COMPUTED_VALUE"""),63.93)</f>
        <v>63.93</v>
      </c>
      <c r="M404" s="2">
        <f ca="1">IFERROR(__xludf.DUMMYFUNCTION("""COMPUTED_VALUE"""),62.8)</f>
        <v>62.8</v>
      </c>
      <c r="N404" s="2">
        <f ca="1">IFERROR(__xludf.DUMMYFUNCTION("""COMPUTED_VALUE"""),65.84)</f>
        <v>65.84</v>
      </c>
      <c r="O404" s="2">
        <f ca="1">IFERROR(__xludf.DUMMYFUNCTION("""COMPUTED_VALUE"""),64.46)</f>
        <v>64.459999999999994</v>
      </c>
      <c r="P404" s="2">
        <f ca="1">IFERROR(__xludf.DUMMYFUNCTION("""COMPUTED_VALUE"""),65.86)</f>
        <v>65.86</v>
      </c>
      <c r="Q404" s="2">
        <f ca="1">IFERROR(__xludf.DUMMYFUNCTION("""COMPUTED_VALUE"""),64.43)</f>
        <v>64.430000000000007</v>
      </c>
    </row>
    <row r="405" spans="1:17" ht="15.75" customHeight="1" x14ac:dyDescent="0.25">
      <c r="A405" s="2">
        <v>7306</v>
      </c>
      <c r="B405" s="2" t="str">
        <f ca="1">IFERROR(__xludf.DUMMYFUNCTION("""COMPUTED_VALUE"""),"SULAWESI SELATAN")</f>
        <v>SULAWESI SELATAN</v>
      </c>
      <c r="C405" s="2" t="str">
        <f ca="1">IFERROR(__xludf.DUMMYFUNCTION("""COMPUTED_VALUE"""),"Gowa")</f>
        <v>Gowa</v>
      </c>
      <c r="D405" s="2">
        <f ca="1">IFERROR(__xludf.DUMMYFUNCTION("""COMPUTED_VALUE"""),4.8)</f>
        <v>4.8</v>
      </c>
      <c r="E405" s="2">
        <f ca="1">IFERROR(__xludf.DUMMYFUNCTION("""COMPUTED_VALUE"""),4.35)</f>
        <v>4.3499999999999996</v>
      </c>
      <c r="F405" s="2">
        <f ca="1">IFERROR(__xludf.DUMMYFUNCTION("""COMPUTED_VALUE"""),6.44)</f>
        <v>6.44</v>
      </c>
      <c r="G405" s="2">
        <f ca="1">IFERROR(__xludf.DUMMYFUNCTION("""COMPUTED_VALUE"""),4.3)</f>
        <v>4.3</v>
      </c>
      <c r="H405" s="2">
        <f ca="1">IFERROR(__xludf.DUMMYFUNCTION("""COMPUTED_VALUE"""),3.26)</f>
        <v>3.26</v>
      </c>
      <c r="I405" s="2">
        <f ca="1">IFERROR(__xludf.DUMMYFUNCTION("""COMPUTED_VALUE"""),3.43)</f>
        <v>3.43</v>
      </c>
      <c r="J405" s="2">
        <f ca="1">IFERROR(__xludf.DUMMYFUNCTION("""COMPUTED_VALUE"""),3.91)</f>
        <v>3.91</v>
      </c>
      <c r="K405" s="2">
        <f ca="1">IFERROR(__xludf.DUMMYFUNCTION("""COMPUTED_VALUE"""),67.42)</f>
        <v>67.42</v>
      </c>
      <c r="L405" s="2">
        <f ca="1">IFERROR(__xludf.DUMMYFUNCTION("""COMPUTED_VALUE"""),66.52)</f>
        <v>66.52</v>
      </c>
      <c r="M405" s="2">
        <f ca="1">IFERROR(__xludf.DUMMYFUNCTION("""COMPUTED_VALUE"""),67.62)</f>
        <v>67.62</v>
      </c>
      <c r="N405" s="2">
        <f ca="1">IFERROR(__xludf.DUMMYFUNCTION("""COMPUTED_VALUE"""),68.89)</f>
        <v>68.89</v>
      </c>
      <c r="O405" s="2">
        <f ca="1">IFERROR(__xludf.DUMMYFUNCTION("""COMPUTED_VALUE"""),73.16)</f>
        <v>73.16</v>
      </c>
      <c r="P405" s="2">
        <f ca="1">IFERROR(__xludf.DUMMYFUNCTION("""COMPUTED_VALUE"""),69.63)</f>
        <v>69.63</v>
      </c>
      <c r="Q405" s="2">
        <f ca="1">IFERROR(__xludf.DUMMYFUNCTION("""COMPUTED_VALUE"""),72.8)</f>
        <v>72.8</v>
      </c>
    </row>
    <row r="406" spans="1:17" ht="15.75" customHeight="1" x14ac:dyDescent="0.25">
      <c r="A406" s="2">
        <v>7307</v>
      </c>
      <c r="B406" s="2" t="str">
        <f ca="1">IFERROR(__xludf.DUMMYFUNCTION("""COMPUTED_VALUE"""),"SULAWESI SELATAN")</f>
        <v>SULAWESI SELATAN</v>
      </c>
      <c r="C406" s="2" t="str">
        <f ca="1">IFERROR(__xludf.DUMMYFUNCTION("""COMPUTED_VALUE"""),"Sinjai")</f>
        <v>Sinjai</v>
      </c>
      <c r="D406" s="2">
        <f ca="1">IFERROR(__xludf.DUMMYFUNCTION("""COMPUTED_VALUE"""),2.14)</f>
        <v>2.14</v>
      </c>
      <c r="E406" s="2">
        <f ca="1">IFERROR(__xludf.DUMMYFUNCTION("""COMPUTED_VALUE"""),2.17)</f>
        <v>2.17</v>
      </c>
      <c r="F406" s="2">
        <f ca="1">IFERROR(__xludf.DUMMYFUNCTION("""COMPUTED_VALUE"""),2.65)</f>
        <v>2.65</v>
      </c>
      <c r="G406" s="2">
        <f ca="1">IFERROR(__xludf.DUMMYFUNCTION("""COMPUTED_VALUE"""),2.61)</f>
        <v>2.61</v>
      </c>
      <c r="H406" s="2">
        <f ca="1">IFERROR(__xludf.DUMMYFUNCTION("""COMPUTED_VALUE"""),1.8)</f>
        <v>1.8</v>
      </c>
      <c r="I406" s="2">
        <f ca="1">IFERROR(__xludf.DUMMYFUNCTION("""COMPUTED_VALUE"""),1.69)</f>
        <v>1.69</v>
      </c>
      <c r="J406" s="2">
        <f ca="1">IFERROR(__xludf.DUMMYFUNCTION("""COMPUTED_VALUE"""),1.52)</f>
        <v>1.52</v>
      </c>
      <c r="K406" s="2">
        <f ca="1">IFERROR(__xludf.DUMMYFUNCTION("""COMPUTED_VALUE"""),68.8)</f>
        <v>68.8</v>
      </c>
      <c r="L406" s="2">
        <f ca="1">IFERROR(__xludf.DUMMYFUNCTION("""COMPUTED_VALUE"""),65.91)</f>
        <v>65.91</v>
      </c>
      <c r="M406" s="2">
        <f ca="1">IFERROR(__xludf.DUMMYFUNCTION("""COMPUTED_VALUE"""),69.9)</f>
        <v>69.900000000000006</v>
      </c>
      <c r="N406" s="2">
        <f ca="1">IFERROR(__xludf.DUMMYFUNCTION("""COMPUTED_VALUE"""),71.91)</f>
        <v>71.91</v>
      </c>
      <c r="O406" s="2">
        <f ca="1">IFERROR(__xludf.DUMMYFUNCTION("""COMPUTED_VALUE"""),63.34)</f>
        <v>63.34</v>
      </c>
      <c r="P406" s="2">
        <f ca="1">IFERROR(__xludf.DUMMYFUNCTION("""COMPUTED_VALUE"""),67.16)</f>
        <v>67.16</v>
      </c>
      <c r="Q406" s="2">
        <f ca="1">IFERROR(__xludf.DUMMYFUNCTION("""COMPUTED_VALUE"""),72.87)</f>
        <v>72.87</v>
      </c>
    </row>
    <row r="407" spans="1:17" ht="15.75" customHeight="1" x14ac:dyDescent="0.25">
      <c r="A407" s="2">
        <v>7308</v>
      </c>
      <c r="B407" s="2" t="str">
        <f ca="1">IFERROR(__xludf.DUMMYFUNCTION("""COMPUTED_VALUE"""),"SULAWESI SELATAN")</f>
        <v>SULAWESI SELATAN</v>
      </c>
      <c r="C407" s="2" t="str">
        <f ca="1">IFERROR(__xludf.DUMMYFUNCTION("""COMPUTED_VALUE"""),"Maros")</f>
        <v>Maros</v>
      </c>
      <c r="D407" s="2">
        <f ca="1">IFERROR(__xludf.DUMMYFUNCTION("""COMPUTED_VALUE"""),6.19)</f>
        <v>6.19</v>
      </c>
      <c r="E407" s="2">
        <f ca="1">IFERROR(__xludf.DUMMYFUNCTION("""COMPUTED_VALUE"""),4.42)</f>
        <v>4.42</v>
      </c>
      <c r="F407" s="2">
        <f ca="1">IFERROR(__xludf.DUMMYFUNCTION("""COMPUTED_VALUE"""),6.28)</f>
        <v>6.28</v>
      </c>
      <c r="G407" s="2">
        <f ca="1">IFERROR(__xludf.DUMMYFUNCTION("""COMPUTED_VALUE"""),6.3)</f>
        <v>6.3</v>
      </c>
      <c r="H407" s="2">
        <f ca="1">IFERROR(__xludf.DUMMYFUNCTION("""COMPUTED_VALUE"""),5.04)</f>
        <v>5.04</v>
      </c>
      <c r="I407" s="2">
        <f ca="1">IFERROR(__xludf.DUMMYFUNCTION("""COMPUTED_VALUE"""),3.64)</f>
        <v>3.64</v>
      </c>
      <c r="J407" s="2">
        <f ca="1">IFERROR(__xludf.DUMMYFUNCTION("""COMPUTED_VALUE"""),4.34)</f>
        <v>4.34</v>
      </c>
      <c r="K407" s="2">
        <f ca="1">IFERROR(__xludf.DUMMYFUNCTION("""COMPUTED_VALUE"""),59.63)</f>
        <v>59.63</v>
      </c>
      <c r="L407" s="2">
        <f ca="1">IFERROR(__xludf.DUMMYFUNCTION("""COMPUTED_VALUE"""),63.62)</f>
        <v>63.62</v>
      </c>
      <c r="M407" s="2">
        <f ca="1">IFERROR(__xludf.DUMMYFUNCTION("""COMPUTED_VALUE"""),62.43)</f>
        <v>62.43</v>
      </c>
      <c r="N407" s="2">
        <f ca="1">IFERROR(__xludf.DUMMYFUNCTION("""COMPUTED_VALUE"""),59.61)</f>
        <v>59.61</v>
      </c>
      <c r="O407" s="2">
        <f ca="1">IFERROR(__xludf.DUMMYFUNCTION("""COMPUTED_VALUE"""),61.37)</f>
        <v>61.37</v>
      </c>
      <c r="P407" s="2">
        <f ca="1">IFERROR(__xludf.DUMMYFUNCTION("""COMPUTED_VALUE"""),61.45)</f>
        <v>61.45</v>
      </c>
      <c r="Q407" s="2">
        <f ca="1">IFERROR(__xludf.DUMMYFUNCTION("""COMPUTED_VALUE"""),61.55)</f>
        <v>61.55</v>
      </c>
    </row>
    <row r="408" spans="1:17" ht="15.75" customHeight="1" x14ac:dyDescent="0.25">
      <c r="A408" s="2">
        <v>7309</v>
      </c>
      <c r="B408" s="2" t="str">
        <f ca="1">IFERROR(__xludf.DUMMYFUNCTION("""COMPUTED_VALUE"""),"SULAWESI SELATAN")</f>
        <v>SULAWESI SELATAN</v>
      </c>
      <c r="C408" s="10" t="s">
        <v>92</v>
      </c>
      <c r="D408" s="2">
        <f ca="1">IFERROR(__xludf.DUMMYFUNCTION("""COMPUTED_VALUE"""),6.91)</f>
        <v>6.91</v>
      </c>
      <c r="E408" s="2">
        <f ca="1">IFERROR(__xludf.DUMMYFUNCTION("""COMPUTED_VALUE"""),4.99)</f>
        <v>4.99</v>
      </c>
      <c r="F408" s="2">
        <f ca="1">IFERROR(__xludf.DUMMYFUNCTION("""COMPUTED_VALUE"""),5.18)</f>
        <v>5.18</v>
      </c>
      <c r="G408" s="2">
        <f ca="1">IFERROR(__xludf.DUMMYFUNCTION("""COMPUTED_VALUE"""),5.86)</f>
        <v>5.86</v>
      </c>
      <c r="H408" s="2">
        <f ca="1">IFERROR(__xludf.DUMMYFUNCTION("""COMPUTED_VALUE"""),5.23)</f>
        <v>5.23</v>
      </c>
      <c r="I408" s="2">
        <f ca="1">IFERROR(__xludf.DUMMYFUNCTION("""COMPUTED_VALUE"""),5.05)</f>
        <v>5.05</v>
      </c>
      <c r="J408" s="2">
        <f ca="1">IFERROR(__xludf.DUMMYFUNCTION("""COMPUTED_VALUE"""),3.99)</f>
        <v>3.99</v>
      </c>
      <c r="K408" s="2">
        <f ca="1">IFERROR(__xludf.DUMMYFUNCTION("""COMPUTED_VALUE"""),63.5)</f>
        <v>63.5</v>
      </c>
      <c r="L408" s="2">
        <f ca="1">IFERROR(__xludf.DUMMYFUNCTION("""COMPUTED_VALUE"""),62.04)</f>
        <v>62.04</v>
      </c>
      <c r="M408" s="2">
        <f ca="1">IFERROR(__xludf.DUMMYFUNCTION("""COMPUTED_VALUE"""),63.85)</f>
        <v>63.85</v>
      </c>
      <c r="N408" s="2">
        <f ca="1">IFERROR(__xludf.DUMMYFUNCTION("""COMPUTED_VALUE"""),64.43)</f>
        <v>64.430000000000007</v>
      </c>
      <c r="O408" s="2">
        <f ca="1">IFERROR(__xludf.DUMMYFUNCTION("""COMPUTED_VALUE"""),74.66)</f>
        <v>74.66</v>
      </c>
      <c r="P408" s="2">
        <f ca="1">IFERROR(__xludf.DUMMYFUNCTION("""COMPUTED_VALUE"""),69.98)</f>
        <v>69.98</v>
      </c>
      <c r="Q408" s="2">
        <f ca="1">IFERROR(__xludf.DUMMYFUNCTION("""COMPUTED_VALUE"""),71.17)</f>
        <v>71.17</v>
      </c>
    </row>
    <row r="409" spans="1:17" ht="15.75" customHeight="1" x14ac:dyDescent="0.25">
      <c r="A409" s="2">
        <v>7310</v>
      </c>
      <c r="B409" s="2" t="str">
        <f ca="1">IFERROR(__xludf.DUMMYFUNCTION("""COMPUTED_VALUE"""),"SULAWESI SELATAN")</f>
        <v>SULAWESI SELATAN</v>
      </c>
      <c r="C409" s="2" t="str">
        <f ca="1">IFERROR(__xludf.DUMMYFUNCTION("""COMPUTED_VALUE"""),"Barru")</f>
        <v>Barru</v>
      </c>
      <c r="D409" s="2">
        <f ca="1">IFERROR(__xludf.DUMMYFUNCTION("""COMPUTED_VALUE"""),5.38)</f>
        <v>5.38</v>
      </c>
      <c r="E409" s="2">
        <f ca="1">IFERROR(__xludf.DUMMYFUNCTION("""COMPUTED_VALUE"""),5.39)</f>
        <v>5.39</v>
      </c>
      <c r="F409" s="2">
        <f ca="1">IFERROR(__xludf.DUMMYFUNCTION("""COMPUTED_VALUE"""),6.39)</f>
        <v>6.39</v>
      </c>
      <c r="G409" s="2">
        <f ca="1">IFERROR(__xludf.DUMMYFUNCTION("""COMPUTED_VALUE"""),6.74)</f>
        <v>6.74</v>
      </c>
      <c r="H409" s="2">
        <f ca="1">IFERROR(__xludf.DUMMYFUNCTION("""COMPUTED_VALUE"""),5.32)</f>
        <v>5.32</v>
      </c>
      <c r="I409" s="2">
        <f ca="1">IFERROR(__xludf.DUMMYFUNCTION("""COMPUTED_VALUE"""),5.89)</f>
        <v>5.89</v>
      </c>
      <c r="J409" s="2">
        <f ca="1">IFERROR(__xludf.DUMMYFUNCTION("""COMPUTED_VALUE"""),6.42)</f>
        <v>6.42</v>
      </c>
      <c r="K409" s="2">
        <f ca="1">IFERROR(__xludf.DUMMYFUNCTION("""COMPUTED_VALUE"""),56.73)</f>
        <v>56.73</v>
      </c>
      <c r="L409" s="2">
        <f ca="1">IFERROR(__xludf.DUMMYFUNCTION("""COMPUTED_VALUE"""),59.4)</f>
        <v>59.4</v>
      </c>
      <c r="M409" s="2">
        <f ca="1">IFERROR(__xludf.DUMMYFUNCTION("""COMPUTED_VALUE"""),57.18)</f>
        <v>57.18</v>
      </c>
      <c r="N409" s="2">
        <f ca="1">IFERROR(__xludf.DUMMYFUNCTION("""COMPUTED_VALUE"""),58.14)</f>
        <v>58.14</v>
      </c>
      <c r="O409" s="2">
        <f ca="1">IFERROR(__xludf.DUMMYFUNCTION("""COMPUTED_VALUE"""),62.36)</f>
        <v>62.36</v>
      </c>
      <c r="P409" s="2">
        <f ca="1">IFERROR(__xludf.DUMMYFUNCTION("""COMPUTED_VALUE"""),62.26)</f>
        <v>62.26</v>
      </c>
      <c r="Q409" s="2">
        <f ca="1">IFERROR(__xludf.DUMMYFUNCTION("""COMPUTED_VALUE"""),59.32)</f>
        <v>59.32</v>
      </c>
    </row>
    <row r="410" spans="1:17" ht="15.75" customHeight="1" x14ac:dyDescent="0.25">
      <c r="A410" s="2">
        <v>7311</v>
      </c>
      <c r="B410" s="2" t="str">
        <f ca="1">IFERROR(__xludf.DUMMYFUNCTION("""COMPUTED_VALUE"""),"SULAWESI SELATAN")</f>
        <v>SULAWESI SELATAN</v>
      </c>
      <c r="C410" s="2" t="str">
        <f ca="1">IFERROR(__xludf.DUMMYFUNCTION("""COMPUTED_VALUE"""),"Bone")</f>
        <v>Bone</v>
      </c>
      <c r="D410" s="2">
        <f ca="1">IFERROR(__xludf.DUMMYFUNCTION("""COMPUTED_VALUE"""),2.82)</f>
        <v>2.82</v>
      </c>
      <c r="E410" s="2">
        <f ca="1">IFERROR(__xludf.DUMMYFUNCTION("""COMPUTED_VALUE"""),3.01)</f>
        <v>3.01</v>
      </c>
      <c r="F410" s="2">
        <f ca="1">IFERROR(__xludf.DUMMYFUNCTION("""COMPUTED_VALUE"""),3.2)</f>
        <v>3.2</v>
      </c>
      <c r="G410" s="2">
        <f ca="1">IFERROR(__xludf.DUMMYFUNCTION("""COMPUTED_VALUE"""),4.15)</f>
        <v>4.1500000000000004</v>
      </c>
      <c r="H410" s="2">
        <f ca="1">IFERROR(__xludf.DUMMYFUNCTION("""COMPUTED_VALUE"""),2.27)</f>
        <v>2.27</v>
      </c>
      <c r="I410" s="2">
        <f ca="1">IFERROR(__xludf.DUMMYFUNCTION("""COMPUTED_VALUE"""),2.88)</f>
        <v>2.88</v>
      </c>
      <c r="J410" s="2">
        <f ca="1">IFERROR(__xludf.DUMMYFUNCTION("""COMPUTED_VALUE"""),2.28)</f>
        <v>2.2799999999999998</v>
      </c>
      <c r="K410" s="2">
        <f ca="1">IFERROR(__xludf.DUMMYFUNCTION("""COMPUTED_VALUE"""),57.3)</f>
        <v>57.3</v>
      </c>
      <c r="L410" s="2">
        <f ca="1">IFERROR(__xludf.DUMMYFUNCTION("""COMPUTED_VALUE"""),60.54)</f>
        <v>60.54</v>
      </c>
      <c r="M410" s="2">
        <f ca="1">IFERROR(__xludf.DUMMYFUNCTION("""COMPUTED_VALUE"""),60.57)</f>
        <v>60.57</v>
      </c>
      <c r="N410" s="2">
        <f ca="1">IFERROR(__xludf.DUMMYFUNCTION("""COMPUTED_VALUE"""),65.67)</f>
        <v>65.67</v>
      </c>
      <c r="O410" s="2">
        <f ca="1">IFERROR(__xludf.DUMMYFUNCTION("""COMPUTED_VALUE"""),67.48)</f>
        <v>67.48</v>
      </c>
      <c r="P410" s="2">
        <f ca="1">IFERROR(__xludf.DUMMYFUNCTION("""COMPUTED_VALUE"""),62.69)</f>
        <v>62.69</v>
      </c>
      <c r="Q410" s="2">
        <f ca="1">IFERROR(__xludf.DUMMYFUNCTION("""COMPUTED_VALUE"""),64.23)</f>
        <v>64.23</v>
      </c>
    </row>
    <row r="411" spans="1:17" ht="15.75" customHeight="1" x14ac:dyDescent="0.25">
      <c r="A411" s="2">
        <v>7312</v>
      </c>
      <c r="B411" s="2" t="str">
        <f ca="1">IFERROR(__xludf.DUMMYFUNCTION("""COMPUTED_VALUE"""),"SULAWESI SELATAN")</f>
        <v>SULAWESI SELATAN</v>
      </c>
      <c r="C411" s="2" t="str">
        <f ca="1">IFERROR(__xludf.DUMMYFUNCTION("""COMPUTED_VALUE"""),"Soppeng")</f>
        <v>Soppeng</v>
      </c>
      <c r="D411" s="2">
        <f ca="1">IFERROR(__xludf.DUMMYFUNCTION("""COMPUTED_VALUE"""),2.66)</f>
        <v>2.66</v>
      </c>
      <c r="E411" s="2">
        <f ca="1">IFERROR(__xludf.DUMMYFUNCTION("""COMPUTED_VALUE"""),3.24)</f>
        <v>3.24</v>
      </c>
      <c r="F411" s="2">
        <f ca="1">IFERROR(__xludf.DUMMYFUNCTION("""COMPUTED_VALUE"""),4.42)</f>
        <v>4.42</v>
      </c>
      <c r="G411" s="2">
        <f ca="1">IFERROR(__xludf.DUMMYFUNCTION("""COMPUTED_VALUE"""),3.92)</f>
        <v>3.92</v>
      </c>
      <c r="H411" s="2">
        <f ca="1">IFERROR(__xludf.DUMMYFUNCTION("""COMPUTED_VALUE"""),3.4)</f>
        <v>3.4</v>
      </c>
      <c r="I411" s="2">
        <f ca="1">IFERROR(__xludf.DUMMYFUNCTION("""COMPUTED_VALUE"""),4.34)</f>
        <v>4.34</v>
      </c>
      <c r="J411" s="2">
        <f ca="1">IFERROR(__xludf.DUMMYFUNCTION("""COMPUTED_VALUE"""),3.33)</f>
        <v>3.33</v>
      </c>
      <c r="K411" s="2">
        <f ca="1">IFERROR(__xludf.DUMMYFUNCTION("""COMPUTED_VALUE"""),63.64)</f>
        <v>63.64</v>
      </c>
      <c r="L411" s="2">
        <f ca="1">IFERROR(__xludf.DUMMYFUNCTION("""COMPUTED_VALUE"""),58.24)</f>
        <v>58.24</v>
      </c>
      <c r="M411" s="2">
        <f ca="1">IFERROR(__xludf.DUMMYFUNCTION("""COMPUTED_VALUE"""),57.05)</f>
        <v>57.05</v>
      </c>
      <c r="N411" s="2">
        <f ca="1">IFERROR(__xludf.DUMMYFUNCTION("""COMPUTED_VALUE"""),58.94)</f>
        <v>58.94</v>
      </c>
      <c r="O411" s="2">
        <f ca="1">IFERROR(__xludf.DUMMYFUNCTION("""COMPUTED_VALUE"""),61.9)</f>
        <v>61.9</v>
      </c>
      <c r="P411" s="2">
        <f ca="1">IFERROR(__xludf.DUMMYFUNCTION("""COMPUTED_VALUE"""),59.44)</f>
        <v>59.44</v>
      </c>
      <c r="Q411" s="2">
        <f ca="1">IFERROR(__xludf.DUMMYFUNCTION("""COMPUTED_VALUE"""),62.49)</f>
        <v>62.49</v>
      </c>
    </row>
    <row r="412" spans="1:17" ht="15.75" customHeight="1" x14ac:dyDescent="0.25">
      <c r="A412" s="2">
        <v>7313</v>
      </c>
      <c r="B412" s="2" t="str">
        <f ca="1">IFERROR(__xludf.DUMMYFUNCTION("""COMPUTED_VALUE"""),"SULAWESI SELATAN")</f>
        <v>SULAWESI SELATAN</v>
      </c>
      <c r="C412" s="2" t="str">
        <f ca="1">IFERROR(__xludf.DUMMYFUNCTION("""COMPUTED_VALUE"""),"Wajo")</f>
        <v>Wajo</v>
      </c>
      <c r="D412" s="2">
        <f ca="1">IFERROR(__xludf.DUMMYFUNCTION("""COMPUTED_VALUE"""),3.79)</f>
        <v>3.79</v>
      </c>
      <c r="E412" s="2">
        <f ca="1">IFERROR(__xludf.DUMMYFUNCTION("""COMPUTED_VALUE"""),3)</f>
        <v>3</v>
      </c>
      <c r="F412" s="2">
        <f ca="1">IFERROR(__xludf.DUMMYFUNCTION("""COMPUTED_VALUE"""),4.33)</f>
        <v>4.33</v>
      </c>
      <c r="G412" s="2">
        <f ca="1">IFERROR(__xludf.DUMMYFUNCTION("""COMPUTED_VALUE"""),4.32)</f>
        <v>4.32</v>
      </c>
      <c r="H412" s="2">
        <f ca="1">IFERROR(__xludf.DUMMYFUNCTION("""COMPUTED_VALUE"""),2.54)</f>
        <v>2.54</v>
      </c>
      <c r="I412" s="2">
        <f ca="1">IFERROR(__xludf.DUMMYFUNCTION("""COMPUTED_VALUE"""),2.1)</f>
        <v>2.1</v>
      </c>
      <c r="J412" s="2">
        <f ca="1">IFERROR(__xludf.DUMMYFUNCTION("""COMPUTED_VALUE"""),2.31)</f>
        <v>2.31</v>
      </c>
      <c r="K412" s="2">
        <f ca="1">IFERROR(__xludf.DUMMYFUNCTION("""COMPUTED_VALUE"""),59.12)</f>
        <v>59.12</v>
      </c>
      <c r="L412" s="2">
        <f ca="1">IFERROR(__xludf.DUMMYFUNCTION("""COMPUTED_VALUE"""),62.82)</f>
        <v>62.82</v>
      </c>
      <c r="M412" s="2">
        <f ca="1">IFERROR(__xludf.DUMMYFUNCTION("""COMPUTED_VALUE"""),65.99)</f>
        <v>65.989999999999995</v>
      </c>
      <c r="N412" s="2">
        <f ca="1">IFERROR(__xludf.DUMMYFUNCTION("""COMPUTED_VALUE"""),64.58)</f>
        <v>64.58</v>
      </c>
      <c r="O412" s="2">
        <f ca="1">IFERROR(__xludf.DUMMYFUNCTION("""COMPUTED_VALUE"""),61.13)</f>
        <v>61.13</v>
      </c>
      <c r="P412" s="2">
        <f ca="1">IFERROR(__xludf.DUMMYFUNCTION("""COMPUTED_VALUE"""),65.78)</f>
        <v>65.78</v>
      </c>
      <c r="Q412" s="2">
        <f ca="1">IFERROR(__xludf.DUMMYFUNCTION("""COMPUTED_VALUE"""),67.75)</f>
        <v>67.75</v>
      </c>
    </row>
    <row r="413" spans="1:17" ht="15.75" customHeight="1" x14ac:dyDescent="0.25">
      <c r="A413" s="2">
        <v>7314</v>
      </c>
      <c r="B413" s="2" t="str">
        <f ca="1">IFERROR(__xludf.DUMMYFUNCTION("""COMPUTED_VALUE"""),"SULAWESI SELATAN")</f>
        <v>SULAWESI SELATAN</v>
      </c>
      <c r="C413" s="2" t="s">
        <v>78</v>
      </c>
      <c r="D413" s="2">
        <f ca="1">IFERROR(__xludf.DUMMYFUNCTION("""COMPUTED_VALUE"""),4.7)</f>
        <v>4.7</v>
      </c>
      <c r="E413" s="2">
        <f ca="1">IFERROR(__xludf.DUMMYFUNCTION("""COMPUTED_VALUE"""),4.35)</f>
        <v>4.3499999999999996</v>
      </c>
      <c r="F413" s="2">
        <f ca="1">IFERROR(__xludf.DUMMYFUNCTION("""COMPUTED_VALUE"""),5.91)</f>
        <v>5.91</v>
      </c>
      <c r="G413" s="2">
        <f ca="1">IFERROR(__xludf.DUMMYFUNCTION("""COMPUTED_VALUE"""),4.93)</f>
        <v>4.93</v>
      </c>
      <c r="H413" s="2">
        <f ca="1">IFERROR(__xludf.DUMMYFUNCTION("""COMPUTED_VALUE"""),3.56)</f>
        <v>3.56</v>
      </c>
      <c r="I413" s="2">
        <f ca="1">IFERROR(__xludf.DUMMYFUNCTION("""COMPUTED_VALUE"""),3.29)</f>
        <v>3.29</v>
      </c>
      <c r="J413" s="2">
        <f ca="1">IFERROR(__xludf.DUMMYFUNCTION("""COMPUTED_VALUE"""),3.02)</f>
        <v>3.02</v>
      </c>
      <c r="K413" s="2">
        <f ca="1">IFERROR(__xludf.DUMMYFUNCTION("""COMPUTED_VALUE"""),56.22)</f>
        <v>56.22</v>
      </c>
      <c r="L413" s="2">
        <f ca="1">IFERROR(__xludf.DUMMYFUNCTION("""COMPUTED_VALUE"""),56.2)</f>
        <v>56.2</v>
      </c>
      <c r="M413" s="2">
        <f ca="1">IFERROR(__xludf.DUMMYFUNCTION("""COMPUTED_VALUE"""),56.92)</f>
        <v>56.92</v>
      </c>
      <c r="N413" s="2">
        <f ca="1">IFERROR(__xludf.DUMMYFUNCTION("""COMPUTED_VALUE"""),58.7)</f>
        <v>58.7</v>
      </c>
      <c r="O413" s="2">
        <f ca="1">IFERROR(__xludf.DUMMYFUNCTION("""COMPUTED_VALUE"""),57.63)</f>
        <v>57.63</v>
      </c>
      <c r="P413" s="2">
        <f ca="1">IFERROR(__xludf.DUMMYFUNCTION("""COMPUTED_VALUE"""),55.49)</f>
        <v>55.49</v>
      </c>
      <c r="Q413" s="2">
        <f ca="1">IFERROR(__xludf.DUMMYFUNCTION("""COMPUTED_VALUE"""),61.19)</f>
        <v>61.19</v>
      </c>
    </row>
    <row r="414" spans="1:17" ht="15.75" customHeight="1" x14ac:dyDescent="0.25">
      <c r="A414" s="2">
        <v>7315</v>
      </c>
      <c r="B414" s="2" t="str">
        <f ca="1">IFERROR(__xludf.DUMMYFUNCTION("""COMPUTED_VALUE"""),"SULAWESI SELATAN")</f>
        <v>SULAWESI SELATAN</v>
      </c>
      <c r="C414" s="2" t="str">
        <f ca="1">IFERROR(__xludf.DUMMYFUNCTION("""COMPUTED_VALUE"""),"Pinrang")</f>
        <v>Pinrang</v>
      </c>
      <c r="D414" s="2">
        <f ca="1">IFERROR(__xludf.DUMMYFUNCTION("""COMPUTED_VALUE"""),3.04)</f>
        <v>3.04</v>
      </c>
      <c r="E414" s="2">
        <f ca="1">IFERROR(__xludf.DUMMYFUNCTION("""COMPUTED_VALUE"""),2.91)</f>
        <v>2.91</v>
      </c>
      <c r="F414" s="2">
        <f ca="1">IFERROR(__xludf.DUMMYFUNCTION("""COMPUTED_VALUE"""),4.19)</f>
        <v>4.1900000000000004</v>
      </c>
      <c r="G414" s="2">
        <f ca="1">IFERROR(__xludf.DUMMYFUNCTION("""COMPUTED_VALUE"""),4.06)</f>
        <v>4.0599999999999996</v>
      </c>
      <c r="H414" s="2">
        <f ca="1">IFERROR(__xludf.DUMMYFUNCTION("""COMPUTED_VALUE"""),2.79)</f>
        <v>2.79</v>
      </c>
      <c r="I414" s="2">
        <f ca="1">IFERROR(__xludf.DUMMYFUNCTION("""COMPUTED_VALUE"""),3.64)</f>
        <v>3.64</v>
      </c>
      <c r="J414" s="2">
        <f ca="1">IFERROR(__xludf.DUMMYFUNCTION("""COMPUTED_VALUE"""),3.12)</f>
        <v>3.12</v>
      </c>
      <c r="K414" s="2">
        <f ca="1">IFERROR(__xludf.DUMMYFUNCTION("""COMPUTED_VALUE"""),59.14)</f>
        <v>59.14</v>
      </c>
      <c r="L414" s="2">
        <f ca="1">IFERROR(__xludf.DUMMYFUNCTION("""COMPUTED_VALUE"""),59.07)</f>
        <v>59.07</v>
      </c>
      <c r="M414" s="2">
        <f ca="1">IFERROR(__xludf.DUMMYFUNCTION("""COMPUTED_VALUE"""),59.11)</f>
        <v>59.11</v>
      </c>
      <c r="N414" s="2">
        <f ca="1">IFERROR(__xludf.DUMMYFUNCTION("""COMPUTED_VALUE"""),57.78)</f>
        <v>57.78</v>
      </c>
      <c r="O414" s="2">
        <f ca="1">IFERROR(__xludf.DUMMYFUNCTION("""COMPUTED_VALUE"""),57.72)</f>
        <v>57.72</v>
      </c>
      <c r="P414" s="2">
        <f ca="1">IFERROR(__xludf.DUMMYFUNCTION("""COMPUTED_VALUE"""),60.51)</f>
        <v>60.51</v>
      </c>
      <c r="Q414" s="2">
        <f ca="1">IFERROR(__xludf.DUMMYFUNCTION("""COMPUTED_VALUE"""),64.17)</f>
        <v>64.17</v>
      </c>
    </row>
    <row r="415" spans="1:17" ht="15.75" customHeight="1" x14ac:dyDescent="0.25">
      <c r="A415" s="2">
        <v>7316</v>
      </c>
      <c r="B415" s="2" t="str">
        <f ca="1">IFERROR(__xludf.DUMMYFUNCTION("""COMPUTED_VALUE"""),"SULAWESI SELATAN")</f>
        <v>SULAWESI SELATAN</v>
      </c>
      <c r="C415" s="2" t="str">
        <f ca="1">IFERROR(__xludf.DUMMYFUNCTION("""COMPUTED_VALUE"""),"Enrekang")</f>
        <v>Enrekang</v>
      </c>
      <c r="D415" s="2">
        <f ca="1">IFERROR(__xludf.DUMMYFUNCTION("""COMPUTED_VALUE"""),1.66)</f>
        <v>1.66</v>
      </c>
      <c r="E415" s="2">
        <f ca="1">IFERROR(__xludf.DUMMYFUNCTION("""COMPUTED_VALUE"""),2.15)</f>
        <v>2.15</v>
      </c>
      <c r="F415" s="2">
        <f ca="1">IFERROR(__xludf.DUMMYFUNCTION("""COMPUTED_VALUE"""),2.44)</f>
        <v>2.44</v>
      </c>
      <c r="G415" s="2">
        <f ca="1">IFERROR(__xludf.DUMMYFUNCTION("""COMPUTED_VALUE"""),2.34)</f>
        <v>2.34</v>
      </c>
      <c r="H415" s="2">
        <f ca="1">IFERROR(__xludf.DUMMYFUNCTION("""COMPUTED_VALUE"""),0.58)</f>
        <v>0.57999999999999996</v>
      </c>
      <c r="I415" s="2">
        <f ca="1">IFERROR(__xludf.DUMMYFUNCTION("""COMPUTED_VALUE"""),1.53)</f>
        <v>1.53</v>
      </c>
      <c r="J415" s="2">
        <f ca="1">IFERROR(__xludf.DUMMYFUNCTION("""COMPUTED_VALUE"""),1.51)</f>
        <v>1.51</v>
      </c>
      <c r="K415" s="2">
        <f ca="1">IFERROR(__xludf.DUMMYFUNCTION("""COMPUTED_VALUE"""),67.25)</f>
        <v>67.25</v>
      </c>
      <c r="L415" s="2">
        <f ca="1">IFERROR(__xludf.DUMMYFUNCTION("""COMPUTED_VALUE"""),69.91)</f>
        <v>69.91</v>
      </c>
      <c r="M415" s="2">
        <f ca="1">IFERROR(__xludf.DUMMYFUNCTION("""COMPUTED_VALUE"""),70.8)</f>
        <v>70.8</v>
      </c>
      <c r="N415" s="2">
        <f ca="1">IFERROR(__xludf.DUMMYFUNCTION("""COMPUTED_VALUE"""),72.64)</f>
        <v>72.64</v>
      </c>
      <c r="O415" s="2">
        <f ca="1">IFERROR(__xludf.DUMMYFUNCTION("""COMPUTED_VALUE"""),72.05)</f>
        <v>72.05</v>
      </c>
      <c r="P415" s="2">
        <f ca="1">IFERROR(__xludf.DUMMYFUNCTION("""COMPUTED_VALUE"""),68.09)</f>
        <v>68.09</v>
      </c>
      <c r="Q415" s="2">
        <f ca="1">IFERROR(__xludf.DUMMYFUNCTION("""COMPUTED_VALUE"""),75.35)</f>
        <v>75.349999999999994</v>
      </c>
    </row>
    <row r="416" spans="1:17" ht="15.75" customHeight="1" x14ac:dyDescent="0.25">
      <c r="A416" s="2">
        <v>7317</v>
      </c>
      <c r="B416" s="2" t="str">
        <f ca="1">IFERROR(__xludf.DUMMYFUNCTION("""COMPUTED_VALUE"""),"SULAWESI SELATAN")</f>
        <v>SULAWESI SELATAN</v>
      </c>
      <c r="C416" s="2" t="str">
        <f ca="1">IFERROR(__xludf.DUMMYFUNCTION("""COMPUTED_VALUE"""),"Luwu")</f>
        <v>Luwu</v>
      </c>
      <c r="D416" s="2">
        <f ca="1">IFERROR(__xludf.DUMMYFUNCTION("""COMPUTED_VALUE"""),3.89)</f>
        <v>3.89</v>
      </c>
      <c r="E416" s="2">
        <f ca="1">IFERROR(__xludf.DUMMYFUNCTION("""COMPUTED_VALUE"""),4.38)</f>
        <v>4.38</v>
      </c>
      <c r="F416" s="2">
        <f ca="1">IFERROR(__xludf.DUMMYFUNCTION("""COMPUTED_VALUE"""),4.94)</f>
        <v>4.9400000000000004</v>
      </c>
      <c r="G416" s="2">
        <f ca="1">IFERROR(__xludf.DUMMYFUNCTION("""COMPUTED_VALUE"""),4.8)</f>
        <v>4.8</v>
      </c>
      <c r="H416" s="2">
        <f ca="1">IFERROR(__xludf.DUMMYFUNCTION("""COMPUTED_VALUE"""),3.85)</f>
        <v>3.85</v>
      </c>
      <c r="I416" s="2">
        <f ca="1">IFERROR(__xludf.DUMMYFUNCTION("""COMPUTED_VALUE"""),3.7)</f>
        <v>3.7</v>
      </c>
      <c r="J416" s="2">
        <f ca="1">IFERROR(__xludf.DUMMYFUNCTION("""COMPUTED_VALUE"""),4.14)</f>
        <v>4.1399999999999997</v>
      </c>
      <c r="K416" s="2">
        <f ca="1">IFERROR(__xludf.DUMMYFUNCTION("""COMPUTED_VALUE"""),61.79)</f>
        <v>61.79</v>
      </c>
      <c r="L416" s="2">
        <f ca="1">IFERROR(__xludf.DUMMYFUNCTION("""COMPUTED_VALUE"""),65.64)</f>
        <v>65.64</v>
      </c>
      <c r="M416" s="2">
        <f ca="1">IFERROR(__xludf.DUMMYFUNCTION("""COMPUTED_VALUE"""),61.02)</f>
        <v>61.02</v>
      </c>
      <c r="N416" s="2">
        <f ca="1">IFERROR(__xludf.DUMMYFUNCTION("""COMPUTED_VALUE"""),64.22)</f>
        <v>64.22</v>
      </c>
      <c r="O416" s="2">
        <f ca="1">IFERROR(__xludf.DUMMYFUNCTION("""COMPUTED_VALUE"""),67.74)</f>
        <v>67.739999999999995</v>
      </c>
      <c r="P416" s="2">
        <f ca="1">IFERROR(__xludf.DUMMYFUNCTION("""COMPUTED_VALUE"""),68.61)</f>
        <v>68.61</v>
      </c>
      <c r="Q416" s="2">
        <f ca="1">IFERROR(__xludf.DUMMYFUNCTION("""COMPUTED_VALUE"""),68.31)</f>
        <v>68.31</v>
      </c>
    </row>
    <row r="417" spans="1:17" ht="15.75" customHeight="1" x14ac:dyDescent="0.25">
      <c r="A417" s="2">
        <v>7318</v>
      </c>
      <c r="B417" s="2" t="str">
        <f ca="1">IFERROR(__xludf.DUMMYFUNCTION("""COMPUTED_VALUE"""),"SULAWESI SELATAN")</f>
        <v>SULAWESI SELATAN</v>
      </c>
      <c r="C417" s="2" t="str">
        <f ca="1">IFERROR(__xludf.DUMMYFUNCTION("""COMPUTED_VALUE"""),"Tana Toraja")</f>
        <v>Tana Toraja</v>
      </c>
      <c r="D417" s="2">
        <f ca="1">IFERROR(__xludf.DUMMYFUNCTION("""COMPUTED_VALUE"""),3.07)</f>
        <v>3.07</v>
      </c>
      <c r="E417" s="2">
        <f ca="1">IFERROR(__xludf.DUMMYFUNCTION("""COMPUTED_VALUE"""),2.55)</f>
        <v>2.5499999999999998</v>
      </c>
      <c r="F417" s="2">
        <f ca="1">IFERROR(__xludf.DUMMYFUNCTION("""COMPUTED_VALUE"""),2.6)</f>
        <v>2.6</v>
      </c>
      <c r="G417" s="2">
        <f ca="1">IFERROR(__xludf.DUMMYFUNCTION("""COMPUTED_VALUE"""),3.09)</f>
        <v>3.09</v>
      </c>
      <c r="H417" s="2">
        <f ca="1">IFERROR(__xludf.DUMMYFUNCTION("""COMPUTED_VALUE"""),2.32)</f>
        <v>2.3199999999999998</v>
      </c>
      <c r="I417" s="2">
        <f ca="1">IFERROR(__xludf.DUMMYFUNCTION("""COMPUTED_VALUE"""),3.37)</f>
        <v>3.37</v>
      </c>
      <c r="J417" s="2">
        <f ca="1">IFERROR(__xludf.DUMMYFUNCTION("""COMPUTED_VALUE"""),3.98)</f>
        <v>3.98</v>
      </c>
      <c r="K417" s="2">
        <f ca="1">IFERROR(__xludf.DUMMYFUNCTION("""COMPUTED_VALUE"""),79.71)</f>
        <v>79.709999999999994</v>
      </c>
      <c r="L417" s="2">
        <f ca="1">IFERROR(__xludf.DUMMYFUNCTION("""COMPUTED_VALUE"""),79.69)</f>
        <v>79.69</v>
      </c>
      <c r="M417" s="2">
        <f ca="1">IFERROR(__xludf.DUMMYFUNCTION("""COMPUTED_VALUE"""),73.25)</f>
        <v>73.25</v>
      </c>
      <c r="N417" s="2">
        <f ca="1">IFERROR(__xludf.DUMMYFUNCTION("""COMPUTED_VALUE"""),77.99)</f>
        <v>77.989999999999995</v>
      </c>
      <c r="O417" s="2">
        <f ca="1">IFERROR(__xludf.DUMMYFUNCTION("""COMPUTED_VALUE"""),85.11)</f>
        <v>85.11</v>
      </c>
      <c r="P417" s="2">
        <f ca="1">IFERROR(__xludf.DUMMYFUNCTION("""COMPUTED_VALUE"""),82.35)</f>
        <v>82.35</v>
      </c>
      <c r="Q417" s="2">
        <f ca="1">IFERROR(__xludf.DUMMYFUNCTION("""COMPUTED_VALUE"""),76.41)</f>
        <v>76.41</v>
      </c>
    </row>
    <row r="418" spans="1:17" ht="15.75" customHeight="1" x14ac:dyDescent="0.25">
      <c r="A418" s="2">
        <v>7322</v>
      </c>
      <c r="B418" s="2" t="str">
        <f ca="1">IFERROR(__xludf.DUMMYFUNCTION("""COMPUTED_VALUE"""),"SULAWESI SELATAN")</f>
        <v>SULAWESI SELATAN</v>
      </c>
      <c r="C418" s="2" t="str">
        <f ca="1">IFERROR(__xludf.DUMMYFUNCTION("""COMPUTED_VALUE"""),"Luwu Utara")</f>
        <v>Luwu Utara</v>
      </c>
      <c r="D418" s="2">
        <f ca="1">IFERROR(__xludf.DUMMYFUNCTION("""COMPUTED_VALUE"""),3.87)</f>
        <v>3.87</v>
      </c>
      <c r="E418" s="2">
        <f ca="1">IFERROR(__xludf.DUMMYFUNCTION("""COMPUTED_VALUE"""),2.76)</f>
        <v>2.76</v>
      </c>
      <c r="F418" s="2">
        <f ca="1">IFERROR(__xludf.DUMMYFUNCTION("""COMPUTED_VALUE"""),3.01)</f>
        <v>3.01</v>
      </c>
      <c r="G418" s="2">
        <f ca="1">IFERROR(__xludf.DUMMYFUNCTION("""COMPUTED_VALUE"""),3.91)</f>
        <v>3.91</v>
      </c>
      <c r="H418" s="2">
        <f ca="1">IFERROR(__xludf.DUMMYFUNCTION("""COMPUTED_VALUE"""),2.81)</f>
        <v>2.81</v>
      </c>
      <c r="I418" s="2">
        <f ca="1">IFERROR(__xludf.DUMMYFUNCTION("""COMPUTED_VALUE"""),2.63)</f>
        <v>2.63</v>
      </c>
      <c r="J418" s="2">
        <f ca="1">IFERROR(__xludf.DUMMYFUNCTION("""COMPUTED_VALUE"""),2.39)</f>
        <v>2.39</v>
      </c>
      <c r="K418" s="2">
        <f ca="1">IFERROR(__xludf.DUMMYFUNCTION("""COMPUTED_VALUE"""),63.9)</f>
        <v>63.9</v>
      </c>
      <c r="L418" s="2">
        <f ca="1">IFERROR(__xludf.DUMMYFUNCTION("""COMPUTED_VALUE"""),71.29)</f>
        <v>71.290000000000006</v>
      </c>
      <c r="M418" s="2">
        <f ca="1">IFERROR(__xludf.DUMMYFUNCTION("""COMPUTED_VALUE"""),58.61)</f>
        <v>58.61</v>
      </c>
      <c r="N418" s="2">
        <f ca="1">IFERROR(__xludf.DUMMYFUNCTION("""COMPUTED_VALUE"""),63.07)</f>
        <v>63.07</v>
      </c>
      <c r="O418" s="2">
        <f ca="1">IFERROR(__xludf.DUMMYFUNCTION("""COMPUTED_VALUE"""),72.23)</f>
        <v>72.23</v>
      </c>
      <c r="P418" s="2">
        <f ca="1">IFERROR(__xludf.DUMMYFUNCTION("""COMPUTED_VALUE"""),66.98)</f>
        <v>66.98</v>
      </c>
      <c r="Q418" s="2">
        <f ca="1">IFERROR(__xludf.DUMMYFUNCTION("""COMPUTED_VALUE"""),69.23)</f>
        <v>69.23</v>
      </c>
    </row>
    <row r="419" spans="1:17" ht="15.75" customHeight="1" x14ac:dyDescent="0.25">
      <c r="A419" s="2">
        <v>7325</v>
      </c>
      <c r="B419" s="2" t="str">
        <f ca="1">IFERROR(__xludf.DUMMYFUNCTION("""COMPUTED_VALUE"""),"SULAWESI SELATAN")</f>
        <v>SULAWESI SELATAN</v>
      </c>
      <c r="C419" s="2" t="str">
        <f ca="1">IFERROR(__xludf.DUMMYFUNCTION("""COMPUTED_VALUE"""),"Luwu Timur")</f>
        <v>Luwu Timur</v>
      </c>
      <c r="D419" s="2">
        <f ca="1">IFERROR(__xludf.DUMMYFUNCTION("""COMPUTED_VALUE"""),2.18)</f>
        <v>2.1800000000000002</v>
      </c>
      <c r="E419" s="2">
        <f ca="1">IFERROR(__xludf.DUMMYFUNCTION("""COMPUTED_VALUE"""),3.81)</f>
        <v>3.81</v>
      </c>
      <c r="F419" s="2">
        <f ca="1">IFERROR(__xludf.DUMMYFUNCTION("""COMPUTED_VALUE"""),4.46)</f>
        <v>4.46</v>
      </c>
      <c r="G419" s="2">
        <f ca="1">IFERROR(__xludf.DUMMYFUNCTION("""COMPUTED_VALUE"""),4.96)</f>
        <v>4.96</v>
      </c>
      <c r="H419" s="2">
        <f ca="1">IFERROR(__xludf.DUMMYFUNCTION("""COMPUTED_VALUE"""),4.48)</f>
        <v>4.4800000000000004</v>
      </c>
      <c r="I419" s="2">
        <f ca="1">IFERROR(__xludf.DUMMYFUNCTION("""COMPUTED_VALUE"""),5.42)</f>
        <v>5.42</v>
      </c>
      <c r="J419" s="2">
        <f ca="1">IFERROR(__xludf.DUMMYFUNCTION("""COMPUTED_VALUE"""),4.58)</f>
        <v>4.58</v>
      </c>
      <c r="K419" s="2">
        <f ca="1">IFERROR(__xludf.DUMMYFUNCTION("""COMPUTED_VALUE"""),71.21)</f>
        <v>71.209999999999994</v>
      </c>
      <c r="L419" s="2">
        <f ca="1">IFERROR(__xludf.DUMMYFUNCTION("""COMPUTED_VALUE"""),67.48)</f>
        <v>67.48</v>
      </c>
      <c r="M419" s="2">
        <f ca="1">IFERROR(__xludf.DUMMYFUNCTION("""COMPUTED_VALUE"""),72.36)</f>
        <v>72.36</v>
      </c>
      <c r="N419" s="2">
        <f ca="1">IFERROR(__xludf.DUMMYFUNCTION("""COMPUTED_VALUE"""),73.14)</f>
        <v>73.14</v>
      </c>
      <c r="O419" s="2">
        <f ca="1">IFERROR(__xludf.DUMMYFUNCTION("""COMPUTED_VALUE"""),71.51)</f>
        <v>71.510000000000005</v>
      </c>
      <c r="P419" s="2">
        <f ca="1">IFERROR(__xludf.DUMMYFUNCTION("""COMPUTED_VALUE"""),69.25)</f>
        <v>69.25</v>
      </c>
      <c r="Q419" s="2">
        <f ca="1">IFERROR(__xludf.DUMMYFUNCTION("""COMPUTED_VALUE"""),70.18)</f>
        <v>70.180000000000007</v>
      </c>
    </row>
    <row r="420" spans="1:17" ht="15.75" customHeight="1" x14ac:dyDescent="0.25">
      <c r="A420" s="2">
        <v>7326</v>
      </c>
      <c r="B420" s="2" t="str">
        <f ca="1">IFERROR(__xludf.DUMMYFUNCTION("""COMPUTED_VALUE"""),"SULAWESI SELATAN")</f>
        <v>SULAWESI SELATAN</v>
      </c>
      <c r="C420" s="2" t="str">
        <f ca="1">IFERROR(__xludf.DUMMYFUNCTION("""COMPUTED_VALUE"""),"Toraja Utara")</f>
        <v>Toraja Utara</v>
      </c>
      <c r="D420" s="2">
        <f ca="1">IFERROR(__xludf.DUMMYFUNCTION("""COMPUTED_VALUE"""),2.88)</f>
        <v>2.88</v>
      </c>
      <c r="E420" s="2">
        <f ca="1">IFERROR(__xludf.DUMMYFUNCTION("""COMPUTED_VALUE"""),2.86)</f>
        <v>2.86</v>
      </c>
      <c r="F420" s="2">
        <f ca="1">IFERROR(__xludf.DUMMYFUNCTION("""COMPUTED_VALUE"""),3.17)</f>
        <v>3.17</v>
      </c>
      <c r="G420" s="2">
        <f ca="1">IFERROR(__xludf.DUMMYFUNCTION("""COMPUTED_VALUE"""),2.61)</f>
        <v>2.61</v>
      </c>
      <c r="H420" s="2">
        <f ca="1">IFERROR(__xludf.DUMMYFUNCTION("""COMPUTED_VALUE"""),1.99)</f>
        <v>1.99</v>
      </c>
      <c r="I420" s="2">
        <f ca="1">IFERROR(__xludf.DUMMYFUNCTION("""COMPUTED_VALUE"""),2.6)</f>
        <v>2.6</v>
      </c>
      <c r="J420" s="2">
        <f ca="1">IFERROR(__xludf.DUMMYFUNCTION("""COMPUTED_VALUE"""),2.44)</f>
        <v>2.44</v>
      </c>
      <c r="K420" s="2">
        <f ca="1">IFERROR(__xludf.DUMMYFUNCTION("""COMPUTED_VALUE"""),71.86)</f>
        <v>71.86</v>
      </c>
      <c r="L420" s="2">
        <f ca="1">IFERROR(__xludf.DUMMYFUNCTION("""COMPUTED_VALUE"""),71.59)</f>
        <v>71.59</v>
      </c>
      <c r="M420" s="2">
        <f ca="1">IFERROR(__xludf.DUMMYFUNCTION("""COMPUTED_VALUE"""),67.5)</f>
        <v>67.5</v>
      </c>
      <c r="N420" s="2">
        <f ca="1">IFERROR(__xludf.DUMMYFUNCTION("""COMPUTED_VALUE"""),71.56)</f>
        <v>71.56</v>
      </c>
      <c r="O420" s="2">
        <f ca="1">IFERROR(__xludf.DUMMYFUNCTION("""COMPUTED_VALUE"""),68.84)</f>
        <v>68.84</v>
      </c>
      <c r="P420" s="2">
        <f ca="1">IFERROR(__xludf.DUMMYFUNCTION("""COMPUTED_VALUE"""),77.5)</f>
        <v>77.5</v>
      </c>
      <c r="Q420" s="2">
        <f ca="1">IFERROR(__xludf.DUMMYFUNCTION("""COMPUTED_VALUE"""),72.53)</f>
        <v>72.53</v>
      </c>
    </row>
    <row r="421" spans="1:17" ht="15.75" customHeight="1" x14ac:dyDescent="0.25">
      <c r="A421" s="2">
        <v>7371</v>
      </c>
      <c r="B421" s="2" t="str">
        <f ca="1">IFERROR(__xludf.DUMMYFUNCTION("""COMPUTED_VALUE"""),"SULAWESI SELATAN")</f>
        <v>SULAWESI SELATAN</v>
      </c>
      <c r="C421" s="2" t="s">
        <v>39</v>
      </c>
      <c r="D421" s="2">
        <f ca="1">IFERROR(__xludf.DUMMYFUNCTION("""COMPUTED_VALUE"""),12.19)</f>
        <v>12.19</v>
      </c>
      <c r="E421" s="2">
        <f ca="1">IFERROR(__xludf.DUMMYFUNCTION("""COMPUTED_VALUE"""),9.83)</f>
        <v>9.83</v>
      </c>
      <c r="F421" s="2">
        <f ca="1">IFERROR(__xludf.DUMMYFUNCTION("""COMPUTED_VALUE"""),15.92)</f>
        <v>15.92</v>
      </c>
      <c r="G421" s="2">
        <f ca="1">IFERROR(__xludf.DUMMYFUNCTION("""COMPUTED_VALUE"""),13.18)</f>
        <v>13.18</v>
      </c>
      <c r="H421" s="2">
        <f ca="1">IFERROR(__xludf.DUMMYFUNCTION("""COMPUTED_VALUE"""),11.82)</f>
        <v>11.82</v>
      </c>
      <c r="I421" s="2">
        <f ca="1">IFERROR(__xludf.DUMMYFUNCTION("""COMPUTED_VALUE"""),10.6)</f>
        <v>10.6</v>
      </c>
      <c r="J421" s="2">
        <f ca="1">IFERROR(__xludf.DUMMYFUNCTION("""COMPUTED_VALUE"""),9.71)</f>
        <v>9.7100000000000009</v>
      </c>
      <c r="K421" s="2">
        <f ca="1">IFERROR(__xludf.DUMMYFUNCTION("""COMPUTED_VALUE"""),59.49)</f>
        <v>59.49</v>
      </c>
      <c r="L421" s="2">
        <f ca="1">IFERROR(__xludf.DUMMYFUNCTION("""COMPUTED_VALUE"""),58.86)</f>
        <v>58.86</v>
      </c>
      <c r="M421" s="2">
        <f ca="1">IFERROR(__xludf.DUMMYFUNCTION("""COMPUTED_VALUE"""),58.05)</f>
        <v>58.05</v>
      </c>
      <c r="N421" s="2">
        <f ca="1">IFERROR(__xludf.DUMMYFUNCTION("""COMPUTED_VALUE"""),59.7)</f>
        <v>59.7</v>
      </c>
      <c r="O421" s="2">
        <f ca="1">IFERROR(__xludf.DUMMYFUNCTION("""COMPUTED_VALUE"""),59.27)</f>
        <v>59.27</v>
      </c>
      <c r="P421" s="2">
        <f ca="1">IFERROR(__xludf.DUMMYFUNCTION("""COMPUTED_VALUE"""),58.72)</f>
        <v>58.72</v>
      </c>
      <c r="Q421" s="2">
        <f ca="1">IFERROR(__xludf.DUMMYFUNCTION("""COMPUTED_VALUE"""),62.04)</f>
        <v>62.04</v>
      </c>
    </row>
    <row r="422" spans="1:17" ht="15.75" customHeight="1" x14ac:dyDescent="0.25">
      <c r="A422" s="2">
        <v>7372</v>
      </c>
      <c r="B422" s="2" t="str">
        <f ca="1">IFERROR(__xludf.DUMMYFUNCTION("""COMPUTED_VALUE"""),"SULAWESI SELATAN")</f>
        <v>SULAWESI SELATAN</v>
      </c>
      <c r="C422" s="2" t="s">
        <v>77</v>
      </c>
      <c r="D422" s="2">
        <f ca="1">IFERROR(__xludf.DUMMYFUNCTION("""COMPUTED_VALUE"""),6.81)</f>
        <v>6.81</v>
      </c>
      <c r="E422" s="2">
        <f ca="1">IFERROR(__xludf.DUMMYFUNCTION("""COMPUTED_VALUE"""),6.17)</f>
        <v>6.17</v>
      </c>
      <c r="F422" s="2">
        <f ca="1">IFERROR(__xludf.DUMMYFUNCTION("""COMPUTED_VALUE"""),7.14)</f>
        <v>7.14</v>
      </c>
      <c r="G422" s="2">
        <f ca="1">IFERROR(__xludf.DUMMYFUNCTION("""COMPUTED_VALUE"""),6.72)</f>
        <v>6.72</v>
      </c>
      <c r="H422" s="2">
        <f ca="1">IFERROR(__xludf.DUMMYFUNCTION("""COMPUTED_VALUE"""),5.6)</f>
        <v>5.6</v>
      </c>
      <c r="I422" s="2">
        <f ca="1">IFERROR(__xludf.DUMMYFUNCTION("""COMPUTED_VALUE"""),5.86)</f>
        <v>5.86</v>
      </c>
      <c r="J422" s="2">
        <f ca="1">IFERROR(__xludf.DUMMYFUNCTION("""COMPUTED_VALUE"""),5.23)</f>
        <v>5.23</v>
      </c>
      <c r="K422" s="2">
        <f ca="1">IFERROR(__xludf.DUMMYFUNCTION("""COMPUTED_VALUE"""),64.09)</f>
        <v>64.09</v>
      </c>
      <c r="L422" s="2">
        <f ca="1">IFERROR(__xludf.DUMMYFUNCTION("""COMPUTED_VALUE"""),64.11)</f>
        <v>64.11</v>
      </c>
      <c r="M422" s="2">
        <f ca="1">IFERROR(__xludf.DUMMYFUNCTION("""COMPUTED_VALUE"""),65.53)</f>
        <v>65.53</v>
      </c>
      <c r="N422" s="2">
        <f ca="1">IFERROR(__xludf.DUMMYFUNCTION("""COMPUTED_VALUE"""),66.94)</f>
        <v>66.94</v>
      </c>
      <c r="O422" s="2">
        <f ca="1">IFERROR(__xludf.DUMMYFUNCTION("""COMPUTED_VALUE"""),63.62)</f>
        <v>63.62</v>
      </c>
      <c r="P422" s="2">
        <f ca="1">IFERROR(__xludf.DUMMYFUNCTION("""COMPUTED_VALUE"""),65.52)</f>
        <v>65.52</v>
      </c>
      <c r="Q422" s="2">
        <f ca="1">IFERROR(__xludf.DUMMYFUNCTION("""COMPUTED_VALUE"""),69.67)</f>
        <v>69.67</v>
      </c>
    </row>
    <row r="423" spans="1:17" ht="15.75" customHeight="1" x14ac:dyDescent="0.25">
      <c r="A423" s="2">
        <v>7373</v>
      </c>
      <c r="B423" s="2" t="str">
        <f ca="1">IFERROR(__xludf.DUMMYFUNCTION("""COMPUTED_VALUE"""),"SULAWESI SELATAN")</f>
        <v>SULAWESI SELATAN</v>
      </c>
      <c r="C423" s="2" t="s">
        <v>76</v>
      </c>
      <c r="D423" s="2">
        <f ca="1">IFERROR(__xludf.DUMMYFUNCTION("""COMPUTED_VALUE"""),11.6)</f>
        <v>11.6</v>
      </c>
      <c r="E423" s="2">
        <f ca="1">IFERROR(__xludf.DUMMYFUNCTION("""COMPUTED_VALUE"""),9.67)</f>
        <v>9.67</v>
      </c>
      <c r="F423" s="2">
        <f ca="1">IFERROR(__xludf.DUMMYFUNCTION("""COMPUTED_VALUE"""),10.37)</f>
        <v>10.37</v>
      </c>
      <c r="G423" s="2">
        <f ca="1">IFERROR(__xludf.DUMMYFUNCTION("""COMPUTED_VALUE"""),8.83)</f>
        <v>8.83</v>
      </c>
      <c r="H423" s="2">
        <f ca="1">IFERROR(__xludf.DUMMYFUNCTION("""COMPUTED_VALUE"""),8.2)</f>
        <v>8.1999999999999993</v>
      </c>
      <c r="I423" s="2">
        <f ca="1">IFERROR(__xludf.DUMMYFUNCTION("""COMPUTED_VALUE"""),7.81)</f>
        <v>7.81</v>
      </c>
      <c r="J423" s="2">
        <f ca="1">IFERROR(__xludf.DUMMYFUNCTION("""COMPUTED_VALUE"""),7.64)</f>
        <v>7.64</v>
      </c>
      <c r="K423" s="2">
        <f ca="1">IFERROR(__xludf.DUMMYFUNCTION("""COMPUTED_VALUE"""),58.31)</f>
        <v>58.31</v>
      </c>
      <c r="L423" s="2">
        <f ca="1">IFERROR(__xludf.DUMMYFUNCTION("""COMPUTED_VALUE"""),61.94)</f>
        <v>61.94</v>
      </c>
      <c r="M423" s="2">
        <f ca="1">IFERROR(__xludf.DUMMYFUNCTION("""COMPUTED_VALUE"""),61.23)</f>
        <v>61.23</v>
      </c>
      <c r="N423" s="2">
        <f ca="1">IFERROR(__xludf.DUMMYFUNCTION("""COMPUTED_VALUE"""),59.95)</f>
        <v>59.95</v>
      </c>
      <c r="O423" s="2">
        <f ca="1">IFERROR(__xludf.DUMMYFUNCTION("""COMPUTED_VALUE"""),63.65)</f>
        <v>63.65</v>
      </c>
      <c r="P423" s="2">
        <f ca="1">IFERROR(__xludf.DUMMYFUNCTION("""COMPUTED_VALUE"""),65.75)</f>
        <v>65.75</v>
      </c>
      <c r="Q423" s="2">
        <f ca="1">IFERROR(__xludf.DUMMYFUNCTION("""COMPUTED_VALUE"""),66.19)</f>
        <v>66.19</v>
      </c>
    </row>
    <row r="424" spans="1:17" ht="15.75" customHeight="1" x14ac:dyDescent="0.25">
      <c r="A424" s="2">
        <v>7401</v>
      </c>
      <c r="B424" s="2" t="str">
        <f ca="1">IFERROR(__xludf.DUMMYFUNCTION("""COMPUTED_VALUE"""),"SULAWESI TENGGARA")</f>
        <v>SULAWESI TENGGARA</v>
      </c>
      <c r="C424" s="2" t="str">
        <f ca="1">IFERROR(__xludf.DUMMYFUNCTION("""COMPUTED_VALUE"""),"Buton")</f>
        <v>Buton</v>
      </c>
      <c r="D424" s="2">
        <f ca="1">IFERROR(__xludf.DUMMYFUNCTION("""COMPUTED_VALUE"""),1.6)</f>
        <v>1.6</v>
      </c>
      <c r="E424" s="2">
        <f ca="1">IFERROR(__xludf.DUMMYFUNCTION("""COMPUTED_VALUE"""),1.29)</f>
        <v>1.29</v>
      </c>
      <c r="F424" s="2">
        <f ca="1">IFERROR(__xludf.DUMMYFUNCTION("""COMPUTED_VALUE"""),4.78)</f>
        <v>4.78</v>
      </c>
      <c r="G424" s="2">
        <f ca="1">IFERROR(__xludf.DUMMYFUNCTION("""COMPUTED_VALUE"""),4.74)</f>
        <v>4.74</v>
      </c>
      <c r="H424" s="2">
        <f ca="1">IFERROR(__xludf.DUMMYFUNCTION("""COMPUTED_VALUE"""),2.99)</f>
        <v>2.99</v>
      </c>
      <c r="I424" s="2">
        <f ca="1">IFERROR(__xludf.DUMMYFUNCTION("""COMPUTED_VALUE"""),2.48)</f>
        <v>2.48</v>
      </c>
      <c r="J424" s="2">
        <f ca="1">IFERROR(__xludf.DUMMYFUNCTION("""COMPUTED_VALUE"""),2.95)</f>
        <v>2.95</v>
      </c>
      <c r="K424" s="2">
        <f ca="1">IFERROR(__xludf.DUMMYFUNCTION("""COMPUTED_VALUE"""),68.02)</f>
        <v>68.02</v>
      </c>
      <c r="L424" s="2">
        <f ca="1">IFERROR(__xludf.DUMMYFUNCTION("""COMPUTED_VALUE"""),65.44)</f>
        <v>65.44</v>
      </c>
      <c r="M424" s="2">
        <f ca="1">IFERROR(__xludf.DUMMYFUNCTION("""COMPUTED_VALUE"""),65.34)</f>
        <v>65.34</v>
      </c>
      <c r="N424" s="2">
        <f ca="1">IFERROR(__xludf.DUMMYFUNCTION("""COMPUTED_VALUE"""),64.42)</f>
        <v>64.42</v>
      </c>
      <c r="O424" s="2">
        <f ca="1">IFERROR(__xludf.DUMMYFUNCTION("""COMPUTED_VALUE"""),77.34)</f>
        <v>77.34</v>
      </c>
      <c r="P424" s="2">
        <f ca="1">IFERROR(__xludf.DUMMYFUNCTION("""COMPUTED_VALUE"""),68.49)</f>
        <v>68.489999999999995</v>
      </c>
      <c r="Q424" s="2">
        <f ca="1">IFERROR(__xludf.DUMMYFUNCTION("""COMPUTED_VALUE"""),69.26)</f>
        <v>69.260000000000005</v>
      </c>
    </row>
    <row r="425" spans="1:17" ht="15.75" customHeight="1" x14ac:dyDescent="0.25">
      <c r="A425" s="2">
        <v>7402</v>
      </c>
      <c r="B425" s="2" t="str">
        <f ca="1">IFERROR(__xludf.DUMMYFUNCTION("""COMPUTED_VALUE"""),"SULAWESI TENGGARA")</f>
        <v>SULAWESI TENGGARA</v>
      </c>
      <c r="C425" s="2" t="str">
        <f ca="1">IFERROR(__xludf.DUMMYFUNCTION("""COMPUTED_VALUE"""),"Muna")</f>
        <v>Muna</v>
      </c>
      <c r="D425" s="2">
        <f ca="1">IFERROR(__xludf.DUMMYFUNCTION("""COMPUTED_VALUE"""),5.61)</f>
        <v>5.61</v>
      </c>
      <c r="E425" s="2">
        <f ca="1">IFERROR(__xludf.DUMMYFUNCTION("""COMPUTED_VALUE"""),4.7)</f>
        <v>4.7</v>
      </c>
      <c r="F425" s="2">
        <f ca="1">IFERROR(__xludf.DUMMYFUNCTION("""COMPUTED_VALUE"""),6.45)</f>
        <v>6.45</v>
      </c>
      <c r="G425" s="2">
        <f ca="1">IFERROR(__xludf.DUMMYFUNCTION("""COMPUTED_VALUE"""),4.97)</f>
        <v>4.97</v>
      </c>
      <c r="H425" s="2">
        <f ca="1">IFERROR(__xludf.DUMMYFUNCTION("""COMPUTED_VALUE"""),3.11)</f>
        <v>3.11</v>
      </c>
      <c r="I425" s="2">
        <f ca="1">IFERROR(__xludf.DUMMYFUNCTION("""COMPUTED_VALUE"""),3.27)</f>
        <v>3.27</v>
      </c>
      <c r="J425" s="2">
        <f ca="1">IFERROR(__xludf.DUMMYFUNCTION("""COMPUTED_VALUE"""),3.78)</f>
        <v>3.78</v>
      </c>
      <c r="K425" s="2">
        <f ca="1">IFERROR(__xludf.DUMMYFUNCTION("""COMPUTED_VALUE"""),64.52)</f>
        <v>64.52</v>
      </c>
      <c r="L425" s="2">
        <f ca="1">IFERROR(__xludf.DUMMYFUNCTION("""COMPUTED_VALUE"""),64.79)</f>
        <v>64.790000000000006</v>
      </c>
      <c r="M425" s="2">
        <f ca="1">IFERROR(__xludf.DUMMYFUNCTION("""COMPUTED_VALUE"""),63.21)</f>
        <v>63.21</v>
      </c>
      <c r="N425" s="2">
        <f ca="1">IFERROR(__xludf.DUMMYFUNCTION("""COMPUTED_VALUE"""),66.5)</f>
        <v>66.5</v>
      </c>
      <c r="O425" s="2">
        <f ca="1">IFERROR(__xludf.DUMMYFUNCTION("""COMPUTED_VALUE"""),66.41)</f>
        <v>66.41</v>
      </c>
      <c r="P425" s="2">
        <f ca="1">IFERROR(__xludf.DUMMYFUNCTION("""COMPUTED_VALUE"""),70.77)</f>
        <v>70.77</v>
      </c>
      <c r="Q425" s="2">
        <f ca="1">IFERROR(__xludf.DUMMYFUNCTION("""COMPUTED_VALUE"""),70.26)</f>
        <v>70.260000000000005</v>
      </c>
    </row>
    <row r="426" spans="1:17" ht="15.75" customHeight="1" x14ac:dyDescent="0.25">
      <c r="A426" s="2">
        <v>7403</v>
      </c>
      <c r="B426" s="2" t="str">
        <f ca="1">IFERROR(__xludf.DUMMYFUNCTION("""COMPUTED_VALUE"""),"SULAWESI TENGGARA")</f>
        <v>SULAWESI TENGGARA</v>
      </c>
      <c r="C426" s="2" t="str">
        <f ca="1">IFERROR(__xludf.DUMMYFUNCTION("""COMPUTED_VALUE"""),"Konawe")</f>
        <v>Konawe</v>
      </c>
      <c r="D426" s="2">
        <f ca="1">IFERROR(__xludf.DUMMYFUNCTION("""COMPUTED_VALUE"""),2.3)</f>
        <v>2.2999999999999998</v>
      </c>
      <c r="E426" s="2">
        <f ca="1">IFERROR(__xludf.DUMMYFUNCTION("""COMPUTED_VALUE"""),3.06)</f>
        <v>3.06</v>
      </c>
      <c r="F426" s="2">
        <f ca="1">IFERROR(__xludf.DUMMYFUNCTION("""COMPUTED_VALUE"""),5.42)</f>
        <v>5.42</v>
      </c>
      <c r="G426" s="2">
        <f ca="1">IFERROR(__xludf.DUMMYFUNCTION("""COMPUTED_VALUE"""),4.56)</f>
        <v>4.5599999999999996</v>
      </c>
      <c r="H426" s="2">
        <f ca="1">IFERROR(__xludf.DUMMYFUNCTION("""COMPUTED_VALUE"""),2.73)</f>
        <v>2.73</v>
      </c>
      <c r="I426" s="2">
        <f ca="1">IFERROR(__xludf.DUMMYFUNCTION("""COMPUTED_VALUE"""),3.09)</f>
        <v>3.09</v>
      </c>
      <c r="J426" s="2">
        <f ca="1">IFERROR(__xludf.DUMMYFUNCTION("""COMPUTED_VALUE"""),2.95)</f>
        <v>2.95</v>
      </c>
      <c r="K426" s="2">
        <f ca="1">IFERROR(__xludf.DUMMYFUNCTION("""COMPUTED_VALUE"""),70.68)</f>
        <v>70.680000000000007</v>
      </c>
      <c r="L426" s="2">
        <f ca="1">IFERROR(__xludf.DUMMYFUNCTION("""COMPUTED_VALUE"""),68.35)</f>
        <v>68.349999999999994</v>
      </c>
      <c r="M426" s="2">
        <f ca="1">IFERROR(__xludf.DUMMYFUNCTION("""COMPUTED_VALUE"""),68.24)</f>
        <v>68.239999999999995</v>
      </c>
      <c r="N426" s="2">
        <f ca="1">IFERROR(__xludf.DUMMYFUNCTION("""COMPUTED_VALUE"""),70)</f>
        <v>70</v>
      </c>
      <c r="O426" s="2">
        <f ca="1">IFERROR(__xludf.DUMMYFUNCTION("""COMPUTED_VALUE"""),66.81)</f>
        <v>66.81</v>
      </c>
      <c r="P426" s="2">
        <f ca="1">IFERROR(__xludf.DUMMYFUNCTION("""COMPUTED_VALUE"""),67.93)</f>
        <v>67.930000000000007</v>
      </c>
      <c r="Q426" s="2">
        <f ca="1">IFERROR(__xludf.DUMMYFUNCTION("""COMPUTED_VALUE"""),68.03)</f>
        <v>68.03</v>
      </c>
    </row>
    <row r="427" spans="1:17" ht="15.75" customHeight="1" x14ac:dyDescent="0.25">
      <c r="A427" s="2">
        <v>7404</v>
      </c>
      <c r="B427" s="2" t="str">
        <f ca="1">IFERROR(__xludf.DUMMYFUNCTION("""COMPUTED_VALUE"""),"SULAWESI TENGGARA")</f>
        <v>SULAWESI TENGGARA</v>
      </c>
      <c r="C427" s="2" t="str">
        <f ca="1">IFERROR(__xludf.DUMMYFUNCTION("""COMPUTED_VALUE"""),"Kolaka")</f>
        <v>Kolaka</v>
      </c>
      <c r="D427" s="2">
        <f ca="1">IFERROR(__xludf.DUMMYFUNCTION("""COMPUTED_VALUE"""),2.18)</f>
        <v>2.1800000000000002</v>
      </c>
      <c r="E427" s="2">
        <f ca="1">IFERROR(__xludf.DUMMYFUNCTION("""COMPUTED_VALUE"""),3.69)</f>
        <v>3.69</v>
      </c>
      <c r="F427" s="2">
        <f ca="1">IFERROR(__xludf.DUMMYFUNCTION("""COMPUTED_VALUE"""),5.29)</f>
        <v>5.29</v>
      </c>
      <c r="G427" s="2">
        <f ca="1">IFERROR(__xludf.DUMMYFUNCTION("""COMPUTED_VALUE"""),3.62)</f>
        <v>3.62</v>
      </c>
      <c r="H427" s="2">
        <f ca="1">IFERROR(__xludf.DUMMYFUNCTION("""COMPUTED_VALUE"""),4.17)</f>
        <v>4.17</v>
      </c>
      <c r="I427" s="2">
        <f ca="1">IFERROR(__xludf.DUMMYFUNCTION("""COMPUTED_VALUE"""),3.36)</f>
        <v>3.36</v>
      </c>
      <c r="J427" s="2">
        <f ca="1">IFERROR(__xludf.DUMMYFUNCTION("""COMPUTED_VALUE"""),2.59)</f>
        <v>2.59</v>
      </c>
      <c r="K427" s="2">
        <f ca="1">IFERROR(__xludf.DUMMYFUNCTION("""COMPUTED_VALUE"""),69.62)</f>
        <v>69.62</v>
      </c>
      <c r="L427" s="2">
        <f ca="1">IFERROR(__xludf.DUMMYFUNCTION("""COMPUTED_VALUE"""),70.45)</f>
        <v>70.45</v>
      </c>
      <c r="M427" s="2">
        <f ca="1">IFERROR(__xludf.DUMMYFUNCTION("""COMPUTED_VALUE"""),72.72)</f>
        <v>72.72</v>
      </c>
      <c r="N427" s="2">
        <f ca="1">IFERROR(__xludf.DUMMYFUNCTION("""COMPUTED_VALUE"""),69.83)</f>
        <v>69.83</v>
      </c>
      <c r="O427" s="2">
        <f ca="1">IFERROR(__xludf.DUMMYFUNCTION("""COMPUTED_VALUE"""),64.49)</f>
        <v>64.489999999999995</v>
      </c>
      <c r="P427" s="2">
        <f ca="1">IFERROR(__xludf.DUMMYFUNCTION("""COMPUTED_VALUE"""),65.22)</f>
        <v>65.22</v>
      </c>
      <c r="Q427" s="2">
        <f ca="1">IFERROR(__xludf.DUMMYFUNCTION("""COMPUTED_VALUE"""),83.02)</f>
        <v>83.02</v>
      </c>
    </row>
    <row r="428" spans="1:17" ht="15.75" customHeight="1" x14ac:dyDescent="0.25">
      <c r="A428" s="2">
        <v>7405</v>
      </c>
      <c r="B428" s="2" t="str">
        <f ca="1">IFERROR(__xludf.DUMMYFUNCTION("""COMPUTED_VALUE"""),"SULAWESI TENGGARA")</f>
        <v>SULAWESI TENGGARA</v>
      </c>
      <c r="C428" s="2" t="str">
        <f ca="1">IFERROR(__xludf.DUMMYFUNCTION("""COMPUTED_VALUE"""),"Konawe Selatan")</f>
        <v>Konawe Selatan</v>
      </c>
      <c r="D428" s="2">
        <f ca="1">IFERROR(__xludf.DUMMYFUNCTION("""COMPUTED_VALUE"""),2.62)</f>
        <v>2.62</v>
      </c>
      <c r="E428" s="2">
        <f ca="1">IFERROR(__xludf.DUMMYFUNCTION("""COMPUTED_VALUE"""),2.29)</f>
        <v>2.29</v>
      </c>
      <c r="F428" s="2">
        <f ca="1">IFERROR(__xludf.DUMMYFUNCTION("""COMPUTED_VALUE"""),2.58)</f>
        <v>2.58</v>
      </c>
      <c r="G428" s="2">
        <f ca="1">IFERROR(__xludf.DUMMYFUNCTION("""COMPUTED_VALUE"""),2.14)</f>
        <v>2.14</v>
      </c>
      <c r="H428" s="2">
        <f ca="1">IFERROR(__xludf.DUMMYFUNCTION("""COMPUTED_VALUE"""),2.95)</f>
        <v>2.95</v>
      </c>
      <c r="I428" s="2">
        <f ca="1">IFERROR(__xludf.DUMMYFUNCTION("""COMPUTED_VALUE"""),3.12)</f>
        <v>3.12</v>
      </c>
      <c r="J428" s="2">
        <f ca="1">IFERROR(__xludf.DUMMYFUNCTION("""COMPUTED_VALUE"""),2.76)</f>
        <v>2.76</v>
      </c>
      <c r="K428" s="2">
        <f ca="1">IFERROR(__xludf.DUMMYFUNCTION("""COMPUTED_VALUE"""),74.53)</f>
        <v>74.53</v>
      </c>
      <c r="L428" s="2">
        <f ca="1">IFERROR(__xludf.DUMMYFUNCTION("""COMPUTED_VALUE"""),71.59)</f>
        <v>71.59</v>
      </c>
      <c r="M428" s="2">
        <f ca="1">IFERROR(__xludf.DUMMYFUNCTION("""COMPUTED_VALUE"""),71.15)</f>
        <v>71.150000000000006</v>
      </c>
      <c r="N428" s="2">
        <f ca="1">IFERROR(__xludf.DUMMYFUNCTION("""COMPUTED_VALUE"""),71.98)</f>
        <v>71.98</v>
      </c>
      <c r="O428" s="2">
        <f ca="1">IFERROR(__xludf.DUMMYFUNCTION("""COMPUTED_VALUE"""),69.46)</f>
        <v>69.459999999999994</v>
      </c>
      <c r="P428" s="2">
        <f ca="1">IFERROR(__xludf.DUMMYFUNCTION("""COMPUTED_VALUE"""),69.93)</f>
        <v>69.930000000000007</v>
      </c>
      <c r="Q428" s="2">
        <f ca="1">IFERROR(__xludf.DUMMYFUNCTION("""COMPUTED_VALUE"""),70.31)</f>
        <v>70.31</v>
      </c>
    </row>
    <row r="429" spans="1:17" ht="15.75" customHeight="1" x14ac:dyDescent="0.25">
      <c r="A429" s="2">
        <v>7406</v>
      </c>
      <c r="B429" s="2" t="str">
        <f ca="1">IFERROR(__xludf.DUMMYFUNCTION("""COMPUTED_VALUE"""),"SULAWESI TENGGARA")</f>
        <v>SULAWESI TENGGARA</v>
      </c>
      <c r="C429" s="2" t="str">
        <f ca="1">IFERROR(__xludf.DUMMYFUNCTION("""COMPUTED_VALUE"""),"Bombana")</f>
        <v>Bombana</v>
      </c>
      <c r="D429" s="2">
        <f ca="1">IFERROR(__xludf.DUMMYFUNCTION("""COMPUTED_VALUE"""),0.7)</f>
        <v>0.7</v>
      </c>
      <c r="E429" s="2">
        <f ca="1">IFERROR(__xludf.DUMMYFUNCTION("""COMPUTED_VALUE"""),2.44)</f>
        <v>2.44</v>
      </c>
      <c r="F429" s="2">
        <f ca="1">IFERROR(__xludf.DUMMYFUNCTION("""COMPUTED_VALUE"""),2.74)</f>
        <v>2.74</v>
      </c>
      <c r="G429" s="2">
        <f ca="1">IFERROR(__xludf.DUMMYFUNCTION("""COMPUTED_VALUE"""),3.17)</f>
        <v>3.17</v>
      </c>
      <c r="H429" s="2">
        <f ca="1">IFERROR(__xludf.DUMMYFUNCTION("""COMPUTED_VALUE"""),1.47)</f>
        <v>1.47</v>
      </c>
      <c r="I429" s="2">
        <f ca="1">IFERROR(__xludf.DUMMYFUNCTION("""COMPUTED_VALUE"""),1.16)</f>
        <v>1.1599999999999999</v>
      </c>
      <c r="J429" s="2">
        <f ca="1">IFERROR(__xludf.DUMMYFUNCTION("""COMPUTED_VALUE"""),1.43)</f>
        <v>1.43</v>
      </c>
      <c r="K429" s="2">
        <f ca="1">IFERROR(__xludf.DUMMYFUNCTION("""COMPUTED_VALUE"""),71.84)</f>
        <v>71.84</v>
      </c>
      <c r="L429" s="2">
        <f ca="1">IFERROR(__xludf.DUMMYFUNCTION("""COMPUTED_VALUE"""),71.19)</f>
        <v>71.19</v>
      </c>
      <c r="M429" s="2">
        <f ca="1">IFERROR(__xludf.DUMMYFUNCTION("""COMPUTED_VALUE"""),72.35)</f>
        <v>72.349999999999994</v>
      </c>
      <c r="N429" s="2">
        <f ca="1">IFERROR(__xludf.DUMMYFUNCTION("""COMPUTED_VALUE"""),72.77)</f>
        <v>72.77</v>
      </c>
      <c r="O429" s="2">
        <f ca="1">IFERROR(__xludf.DUMMYFUNCTION("""COMPUTED_VALUE"""),68.3)</f>
        <v>68.3</v>
      </c>
      <c r="P429" s="2">
        <f ca="1">IFERROR(__xludf.DUMMYFUNCTION("""COMPUTED_VALUE"""),67.75)</f>
        <v>67.75</v>
      </c>
      <c r="Q429" s="2">
        <f ca="1">IFERROR(__xludf.DUMMYFUNCTION("""COMPUTED_VALUE"""),72.08)</f>
        <v>72.08</v>
      </c>
    </row>
    <row r="430" spans="1:17" ht="15.75" customHeight="1" x14ac:dyDescent="0.25">
      <c r="A430" s="2">
        <v>7407</v>
      </c>
      <c r="B430" s="2" t="str">
        <f ca="1">IFERROR(__xludf.DUMMYFUNCTION("""COMPUTED_VALUE"""),"SULAWESI TENGGARA")</f>
        <v>SULAWESI TENGGARA</v>
      </c>
      <c r="C430" s="2" t="str">
        <f ca="1">IFERROR(__xludf.DUMMYFUNCTION("""COMPUTED_VALUE"""),"Wakatobi")</f>
        <v>Wakatobi</v>
      </c>
      <c r="D430" s="2">
        <f ca="1">IFERROR(__xludf.DUMMYFUNCTION("""COMPUTED_VALUE"""),2.43)</f>
        <v>2.4300000000000002</v>
      </c>
      <c r="E430" s="2">
        <f ca="1">IFERROR(__xludf.DUMMYFUNCTION("""COMPUTED_VALUE"""),2.48)</f>
        <v>2.48</v>
      </c>
      <c r="F430" s="2">
        <f ca="1">IFERROR(__xludf.DUMMYFUNCTION("""COMPUTED_VALUE"""),4.18)</f>
        <v>4.18</v>
      </c>
      <c r="G430" s="2">
        <f ca="1">IFERROR(__xludf.DUMMYFUNCTION("""COMPUTED_VALUE"""),2.3)</f>
        <v>2.2999999999999998</v>
      </c>
      <c r="H430" s="2">
        <f ca="1">IFERROR(__xludf.DUMMYFUNCTION("""COMPUTED_VALUE"""),3.53)</f>
        <v>3.53</v>
      </c>
      <c r="I430" s="2">
        <f ca="1">IFERROR(__xludf.DUMMYFUNCTION("""COMPUTED_VALUE"""),2.73)</f>
        <v>2.73</v>
      </c>
      <c r="J430" s="2">
        <f ca="1">IFERROR(__xludf.DUMMYFUNCTION("""COMPUTED_VALUE"""),3.02)</f>
        <v>3.02</v>
      </c>
      <c r="K430" s="2">
        <f ca="1">IFERROR(__xludf.DUMMYFUNCTION("""COMPUTED_VALUE"""),70.48)</f>
        <v>70.48</v>
      </c>
      <c r="L430" s="2">
        <f ca="1">IFERROR(__xludf.DUMMYFUNCTION("""COMPUTED_VALUE"""),69.34)</f>
        <v>69.34</v>
      </c>
      <c r="M430" s="2">
        <f ca="1">IFERROR(__xludf.DUMMYFUNCTION("""COMPUTED_VALUE"""),68.07)</f>
        <v>68.069999999999993</v>
      </c>
      <c r="N430" s="2">
        <f ca="1">IFERROR(__xludf.DUMMYFUNCTION("""COMPUTED_VALUE"""),70.63)</f>
        <v>70.63</v>
      </c>
      <c r="O430" s="2">
        <f ca="1">IFERROR(__xludf.DUMMYFUNCTION("""COMPUTED_VALUE"""),73.39)</f>
        <v>73.39</v>
      </c>
      <c r="P430" s="2">
        <f ca="1">IFERROR(__xludf.DUMMYFUNCTION("""COMPUTED_VALUE"""),73.08)</f>
        <v>73.08</v>
      </c>
      <c r="Q430" s="2">
        <f ca="1">IFERROR(__xludf.DUMMYFUNCTION("""COMPUTED_VALUE"""),72.84)</f>
        <v>72.84</v>
      </c>
    </row>
    <row r="431" spans="1:17" ht="15.75" customHeight="1" x14ac:dyDescent="0.25">
      <c r="A431" s="2">
        <v>7408</v>
      </c>
      <c r="B431" s="2" t="str">
        <f ca="1">IFERROR(__xludf.DUMMYFUNCTION("""COMPUTED_VALUE"""),"SULAWESI TENGGARA")</f>
        <v>SULAWESI TENGGARA</v>
      </c>
      <c r="C431" s="2" t="str">
        <f ca="1">IFERROR(__xludf.DUMMYFUNCTION("""COMPUTED_VALUE"""),"Kolaka Utara")</f>
        <v>Kolaka Utara</v>
      </c>
      <c r="D431" s="2">
        <f ca="1">IFERROR(__xludf.DUMMYFUNCTION("""COMPUTED_VALUE"""),1.53)</f>
        <v>1.53</v>
      </c>
      <c r="E431" s="2">
        <f ca="1">IFERROR(__xludf.DUMMYFUNCTION("""COMPUTED_VALUE"""),1.38)</f>
        <v>1.38</v>
      </c>
      <c r="F431" s="2">
        <f ca="1">IFERROR(__xludf.DUMMYFUNCTION("""COMPUTED_VALUE"""),2.13)</f>
        <v>2.13</v>
      </c>
      <c r="G431" s="2">
        <f ca="1">IFERROR(__xludf.DUMMYFUNCTION("""COMPUTED_VALUE"""),3.18)</f>
        <v>3.18</v>
      </c>
      <c r="H431" s="2">
        <f ca="1">IFERROR(__xludf.DUMMYFUNCTION("""COMPUTED_VALUE"""),2.86)</f>
        <v>2.86</v>
      </c>
      <c r="I431" s="2">
        <f ca="1">IFERROR(__xludf.DUMMYFUNCTION("""COMPUTED_VALUE"""),2.24)</f>
        <v>2.2400000000000002</v>
      </c>
      <c r="J431" s="2">
        <f ca="1">IFERROR(__xludf.DUMMYFUNCTION("""COMPUTED_VALUE"""),1.64)</f>
        <v>1.64</v>
      </c>
      <c r="K431" s="2">
        <f ca="1">IFERROR(__xludf.DUMMYFUNCTION("""COMPUTED_VALUE"""),74.06)</f>
        <v>74.06</v>
      </c>
      <c r="L431" s="2">
        <f ca="1">IFERROR(__xludf.DUMMYFUNCTION("""COMPUTED_VALUE"""),79.61)</f>
        <v>79.61</v>
      </c>
      <c r="M431" s="2">
        <f ca="1">IFERROR(__xludf.DUMMYFUNCTION("""COMPUTED_VALUE"""),82.23)</f>
        <v>82.23</v>
      </c>
      <c r="N431" s="2">
        <f ca="1">IFERROR(__xludf.DUMMYFUNCTION("""COMPUTED_VALUE"""),79.76)</f>
        <v>79.760000000000005</v>
      </c>
      <c r="O431" s="2">
        <f ca="1">IFERROR(__xludf.DUMMYFUNCTION("""COMPUTED_VALUE"""),77.18)</f>
        <v>77.180000000000007</v>
      </c>
      <c r="P431" s="2">
        <f ca="1">IFERROR(__xludf.DUMMYFUNCTION("""COMPUTED_VALUE"""),73.93)</f>
        <v>73.930000000000007</v>
      </c>
      <c r="Q431" s="2">
        <f ca="1">IFERROR(__xludf.DUMMYFUNCTION("""COMPUTED_VALUE"""),81.53)</f>
        <v>81.53</v>
      </c>
    </row>
    <row r="432" spans="1:17" ht="15.75" customHeight="1" x14ac:dyDescent="0.25">
      <c r="A432" s="2">
        <v>7409</v>
      </c>
      <c r="B432" s="2" t="str">
        <f ca="1">IFERROR(__xludf.DUMMYFUNCTION("""COMPUTED_VALUE"""),"SULAWESI TENGGARA")</f>
        <v>SULAWESI TENGGARA</v>
      </c>
      <c r="C432" s="2" t="str">
        <f ca="1">IFERROR(__xludf.DUMMYFUNCTION("""COMPUTED_VALUE"""),"Buton Utara")</f>
        <v>Buton Utara</v>
      </c>
      <c r="D432" s="2">
        <f ca="1">IFERROR(__xludf.DUMMYFUNCTION("""COMPUTED_VALUE"""),1.76)</f>
        <v>1.76</v>
      </c>
      <c r="E432" s="2">
        <f ca="1">IFERROR(__xludf.DUMMYFUNCTION("""COMPUTED_VALUE"""),2.7)</f>
        <v>2.7</v>
      </c>
      <c r="F432" s="2">
        <f ca="1">IFERROR(__xludf.DUMMYFUNCTION("""COMPUTED_VALUE"""),4.11)</f>
        <v>4.1100000000000003</v>
      </c>
      <c r="G432" s="2">
        <f ca="1">IFERROR(__xludf.DUMMYFUNCTION("""COMPUTED_VALUE"""),3)</f>
        <v>3</v>
      </c>
      <c r="H432" s="2">
        <f ca="1">IFERROR(__xludf.DUMMYFUNCTION("""COMPUTED_VALUE"""),2.1)</f>
        <v>2.1</v>
      </c>
      <c r="I432" s="2">
        <f ca="1">IFERROR(__xludf.DUMMYFUNCTION("""COMPUTED_VALUE"""),1.93)</f>
        <v>1.93</v>
      </c>
      <c r="J432" s="2">
        <f ca="1">IFERROR(__xludf.DUMMYFUNCTION("""COMPUTED_VALUE"""),2.13)</f>
        <v>2.13</v>
      </c>
      <c r="K432" s="2">
        <f ca="1">IFERROR(__xludf.DUMMYFUNCTION("""COMPUTED_VALUE"""),74.78)</f>
        <v>74.78</v>
      </c>
      <c r="L432" s="2">
        <f ca="1">IFERROR(__xludf.DUMMYFUNCTION("""COMPUTED_VALUE"""),71.74)</f>
        <v>71.739999999999995</v>
      </c>
      <c r="M432" s="2">
        <f ca="1">IFERROR(__xludf.DUMMYFUNCTION("""COMPUTED_VALUE"""),76.52)</f>
        <v>76.52</v>
      </c>
      <c r="N432" s="2">
        <f ca="1">IFERROR(__xludf.DUMMYFUNCTION("""COMPUTED_VALUE"""),75.63)</f>
        <v>75.63</v>
      </c>
      <c r="O432" s="2">
        <f ca="1">IFERROR(__xludf.DUMMYFUNCTION("""COMPUTED_VALUE"""),81.23)</f>
        <v>81.23</v>
      </c>
      <c r="P432" s="2">
        <f ca="1">IFERROR(__xludf.DUMMYFUNCTION("""COMPUTED_VALUE"""),80.95)</f>
        <v>80.95</v>
      </c>
      <c r="Q432" s="2">
        <f ca="1">IFERROR(__xludf.DUMMYFUNCTION("""COMPUTED_VALUE"""),81.83)</f>
        <v>81.83</v>
      </c>
    </row>
    <row r="433" spans="1:17" ht="15.75" customHeight="1" x14ac:dyDescent="0.25">
      <c r="A433" s="2">
        <v>7410</v>
      </c>
      <c r="B433" s="2" t="str">
        <f ca="1">IFERROR(__xludf.DUMMYFUNCTION("""COMPUTED_VALUE"""),"SULAWESI TENGGARA")</f>
        <v>SULAWESI TENGGARA</v>
      </c>
      <c r="C433" s="2" t="str">
        <f ca="1">IFERROR(__xludf.DUMMYFUNCTION("""COMPUTED_VALUE"""),"Konawe Utara")</f>
        <v>Konawe Utara</v>
      </c>
      <c r="D433" s="2">
        <f ca="1">IFERROR(__xludf.DUMMYFUNCTION("""COMPUTED_VALUE"""),3.59)</f>
        <v>3.59</v>
      </c>
      <c r="E433" s="2">
        <f ca="1">IFERROR(__xludf.DUMMYFUNCTION("""COMPUTED_VALUE"""),3.92)</f>
        <v>3.92</v>
      </c>
      <c r="F433" s="2">
        <f ca="1">IFERROR(__xludf.DUMMYFUNCTION("""COMPUTED_VALUE"""),3.79)</f>
        <v>3.79</v>
      </c>
      <c r="G433" s="2">
        <f ca="1">IFERROR(__xludf.DUMMYFUNCTION("""COMPUTED_VALUE"""),3.36)</f>
        <v>3.36</v>
      </c>
      <c r="H433" s="2">
        <f ca="1">IFERROR(__xludf.DUMMYFUNCTION("""COMPUTED_VALUE"""),2.01)</f>
        <v>2.0099999999999998</v>
      </c>
      <c r="I433" s="2">
        <f ca="1">IFERROR(__xludf.DUMMYFUNCTION("""COMPUTED_VALUE"""),2.76)</f>
        <v>2.76</v>
      </c>
      <c r="J433" s="2">
        <f ca="1">IFERROR(__xludf.DUMMYFUNCTION("""COMPUTED_VALUE"""),2.4)</f>
        <v>2.4</v>
      </c>
      <c r="K433" s="2">
        <f ca="1">IFERROR(__xludf.DUMMYFUNCTION("""COMPUTED_VALUE"""),75.28)</f>
        <v>75.28</v>
      </c>
      <c r="L433" s="2">
        <f ca="1">IFERROR(__xludf.DUMMYFUNCTION("""COMPUTED_VALUE"""),69.06)</f>
        <v>69.06</v>
      </c>
      <c r="M433" s="2">
        <f ca="1">IFERROR(__xludf.DUMMYFUNCTION("""COMPUTED_VALUE"""),74.45)</f>
        <v>74.45</v>
      </c>
      <c r="N433" s="2">
        <f ca="1">IFERROR(__xludf.DUMMYFUNCTION("""COMPUTED_VALUE"""),70.6)</f>
        <v>70.599999999999994</v>
      </c>
      <c r="O433" s="2">
        <f ca="1">IFERROR(__xludf.DUMMYFUNCTION("""COMPUTED_VALUE"""),71.64)</f>
        <v>71.64</v>
      </c>
      <c r="P433" s="2">
        <f ca="1">IFERROR(__xludf.DUMMYFUNCTION("""COMPUTED_VALUE"""),70.75)</f>
        <v>70.75</v>
      </c>
      <c r="Q433" s="2">
        <f ca="1">IFERROR(__xludf.DUMMYFUNCTION("""COMPUTED_VALUE"""),78.17)</f>
        <v>78.17</v>
      </c>
    </row>
    <row r="434" spans="1:17" ht="15.75" customHeight="1" x14ac:dyDescent="0.25">
      <c r="A434" s="2">
        <v>7411</v>
      </c>
      <c r="B434" s="2" t="str">
        <f ca="1">IFERROR(__xludf.DUMMYFUNCTION("""COMPUTED_VALUE"""),"SULAWESI TENGGARA")</f>
        <v>SULAWESI TENGGARA</v>
      </c>
      <c r="C434" s="2" t="str">
        <f ca="1">IFERROR(__xludf.DUMMYFUNCTION("""COMPUTED_VALUE"""),"Kolaka Timur")</f>
        <v>Kolaka Timur</v>
      </c>
      <c r="D434" s="2">
        <f ca="1">IFERROR(__xludf.DUMMYFUNCTION("""COMPUTED_VALUE"""),2.76)</f>
        <v>2.76</v>
      </c>
      <c r="E434" s="2">
        <f ca="1">IFERROR(__xludf.DUMMYFUNCTION("""COMPUTED_VALUE"""),3.25)</f>
        <v>3.25</v>
      </c>
      <c r="F434" s="2">
        <f ca="1">IFERROR(__xludf.DUMMYFUNCTION("""COMPUTED_VALUE"""),3.29)</f>
        <v>3.29</v>
      </c>
      <c r="G434" s="2">
        <f ca="1">IFERROR(__xludf.DUMMYFUNCTION("""COMPUTED_VALUE"""),3.44)</f>
        <v>3.44</v>
      </c>
      <c r="H434" s="2">
        <f ca="1">IFERROR(__xludf.DUMMYFUNCTION("""COMPUTED_VALUE"""),2.22)</f>
        <v>2.2200000000000002</v>
      </c>
      <c r="I434" s="2">
        <f ca="1">IFERROR(__xludf.DUMMYFUNCTION("""COMPUTED_VALUE"""),2.18)</f>
        <v>2.1800000000000002</v>
      </c>
      <c r="J434" s="2">
        <f ca="1">IFERROR(__xludf.DUMMYFUNCTION("""COMPUTED_VALUE"""),2.15)</f>
        <v>2.15</v>
      </c>
      <c r="K434" s="2">
        <f ca="1">IFERROR(__xludf.DUMMYFUNCTION("""COMPUTED_VALUE"""),77.81)</f>
        <v>77.81</v>
      </c>
      <c r="L434" s="2">
        <f ca="1">IFERROR(__xludf.DUMMYFUNCTION("""COMPUTED_VALUE"""),77.37)</f>
        <v>77.37</v>
      </c>
      <c r="M434" s="2">
        <f ca="1">IFERROR(__xludf.DUMMYFUNCTION("""COMPUTED_VALUE"""),77.68)</f>
        <v>77.680000000000007</v>
      </c>
      <c r="N434" s="2">
        <f ca="1">IFERROR(__xludf.DUMMYFUNCTION("""COMPUTED_VALUE"""),74.79)</f>
        <v>74.790000000000006</v>
      </c>
      <c r="O434" s="2">
        <f ca="1">IFERROR(__xludf.DUMMYFUNCTION("""COMPUTED_VALUE"""),69.51)</f>
        <v>69.510000000000005</v>
      </c>
      <c r="P434" s="2">
        <f ca="1">IFERROR(__xludf.DUMMYFUNCTION("""COMPUTED_VALUE"""),77.08)</f>
        <v>77.08</v>
      </c>
      <c r="Q434" s="2">
        <f ca="1">IFERROR(__xludf.DUMMYFUNCTION("""COMPUTED_VALUE"""),72.1)</f>
        <v>72.099999999999994</v>
      </c>
    </row>
    <row r="435" spans="1:17" ht="15.75" customHeight="1" x14ac:dyDescent="0.25">
      <c r="A435" s="2">
        <v>7412</v>
      </c>
      <c r="B435" s="2" t="str">
        <f ca="1">IFERROR(__xludf.DUMMYFUNCTION("""COMPUTED_VALUE"""),"SULAWESI TENGGARA")</f>
        <v>SULAWESI TENGGARA</v>
      </c>
      <c r="C435" s="2" t="str">
        <f ca="1">IFERROR(__xludf.DUMMYFUNCTION("""COMPUTED_VALUE"""),"Konawe Kepulauan")</f>
        <v>Konawe Kepulauan</v>
      </c>
      <c r="D435" s="2">
        <f ca="1">IFERROR(__xludf.DUMMYFUNCTION("""COMPUTED_VALUE"""),1.19)</f>
        <v>1.19</v>
      </c>
      <c r="E435" s="2">
        <f ca="1">IFERROR(__xludf.DUMMYFUNCTION("""COMPUTED_VALUE"""),1.82)</f>
        <v>1.82</v>
      </c>
      <c r="F435" s="2">
        <f ca="1">IFERROR(__xludf.DUMMYFUNCTION("""COMPUTED_VALUE"""),1.55)</f>
        <v>1.55</v>
      </c>
      <c r="G435" s="2">
        <f ca="1">IFERROR(__xludf.DUMMYFUNCTION("""COMPUTED_VALUE"""),1.83)</f>
        <v>1.83</v>
      </c>
      <c r="H435" s="2">
        <f ca="1">IFERROR(__xludf.DUMMYFUNCTION("""COMPUTED_VALUE"""),1.85)</f>
        <v>1.85</v>
      </c>
      <c r="I435" s="2">
        <f ca="1">IFERROR(__xludf.DUMMYFUNCTION("""COMPUTED_VALUE"""),1.59)</f>
        <v>1.59</v>
      </c>
      <c r="J435" s="2">
        <f ca="1">IFERROR(__xludf.DUMMYFUNCTION("""COMPUTED_VALUE"""),1.51)</f>
        <v>1.51</v>
      </c>
      <c r="K435" s="2">
        <f ca="1">IFERROR(__xludf.DUMMYFUNCTION("""COMPUTED_VALUE"""),76.34)</f>
        <v>76.34</v>
      </c>
      <c r="L435" s="2">
        <f ca="1">IFERROR(__xludf.DUMMYFUNCTION("""COMPUTED_VALUE"""),67.78)</f>
        <v>67.78</v>
      </c>
      <c r="M435" s="2">
        <f ca="1">IFERROR(__xludf.DUMMYFUNCTION("""COMPUTED_VALUE"""),70.49)</f>
        <v>70.489999999999995</v>
      </c>
      <c r="N435" s="2">
        <f ca="1">IFERROR(__xludf.DUMMYFUNCTION("""COMPUTED_VALUE"""),70.76)</f>
        <v>70.760000000000005</v>
      </c>
      <c r="O435" s="2">
        <f ca="1">IFERROR(__xludf.DUMMYFUNCTION("""COMPUTED_VALUE"""),68.65)</f>
        <v>68.650000000000006</v>
      </c>
      <c r="P435" s="2">
        <f ca="1">IFERROR(__xludf.DUMMYFUNCTION("""COMPUTED_VALUE"""),74.93)</f>
        <v>74.930000000000007</v>
      </c>
      <c r="Q435" s="2">
        <f ca="1">IFERROR(__xludf.DUMMYFUNCTION("""COMPUTED_VALUE"""),81.34)</f>
        <v>81.34</v>
      </c>
    </row>
    <row r="436" spans="1:17" ht="15.75" customHeight="1" x14ac:dyDescent="0.25">
      <c r="A436" s="2">
        <v>7413</v>
      </c>
      <c r="B436" s="2" t="str">
        <f ca="1">IFERROR(__xludf.DUMMYFUNCTION("""COMPUTED_VALUE"""),"SULAWESI TENGGARA")</f>
        <v>SULAWESI TENGGARA</v>
      </c>
      <c r="C436" s="2" t="str">
        <f ca="1">IFERROR(__xludf.DUMMYFUNCTION("""COMPUTED_VALUE"""),"Muna Barat")</f>
        <v>Muna Barat</v>
      </c>
      <c r="D436" s="2">
        <f ca="1">IFERROR(__xludf.DUMMYFUNCTION("""COMPUTED_VALUE"""),2.62)</f>
        <v>2.62</v>
      </c>
      <c r="E436" s="2">
        <f ca="1">IFERROR(__xludf.DUMMYFUNCTION("""COMPUTED_VALUE"""),3.12)</f>
        <v>3.12</v>
      </c>
      <c r="F436" s="2">
        <f ca="1">IFERROR(__xludf.DUMMYFUNCTION("""COMPUTED_VALUE"""),3.36)</f>
        <v>3.36</v>
      </c>
      <c r="G436" s="2">
        <f ca="1">IFERROR(__xludf.DUMMYFUNCTION("""COMPUTED_VALUE"""),2.84)</f>
        <v>2.84</v>
      </c>
      <c r="H436" s="2">
        <f ca="1">IFERROR(__xludf.DUMMYFUNCTION("""COMPUTED_VALUE"""),2.4)</f>
        <v>2.4</v>
      </c>
      <c r="I436" s="2">
        <f ca="1">IFERROR(__xludf.DUMMYFUNCTION("""COMPUTED_VALUE"""),2.22)</f>
        <v>2.2200000000000002</v>
      </c>
      <c r="J436" s="2">
        <f ca="1">IFERROR(__xludf.DUMMYFUNCTION("""COMPUTED_VALUE"""),2.06)</f>
        <v>2.06</v>
      </c>
      <c r="K436" s="2">
        <f ca="1">IFERROR(__xludf.DUMMYFUNCTION("""COMPUTED_VALUE"""),78.16)</f>
        <v>78.16</v>
      </c>
      <c r="L436" s="2">
        <f ca="1">IFERROR(__xludf.DUMMYFUNCTION("""COMPUTED_VALUE"""),62.08)</f>
        <v>62.08</v>
      </c>
      <c r="M436" s="2">
        <f ca="1">IFERROR(__xludf.DUMMYFUNCTION("""COMPUTED_VALUE"""),74.21)</f>
        <v>74.209999999999994</v>
      </c>
      <c r="N436" s="2">
        <f ca="1">IFERROR(__xludf.DUMMYFUNCTION("""COMPUTED_VALUE"""),71.96)</f>
        <v>71.959999999999994</v>
      </c>
      <c r="O436" s="2">
        <f ca="1">IFERROR(__xludf.DUMMYFUNCTION("""COMPUTED_VALUE"""),82.12)</f>
        <v>82.12</v>
      </c>
      <c r="P436" s="2">
        <f ca="1">IFERROR(__xludf.DUMMYFUNCTION("""COMPUTED_VALUE"""),76.38)</f>
        <v>76.38</v>
      </c>
      <c r="Q436" s="2">
        <f ca="1">IFERROR(__xludf.DUMMYFUNCTION("""COMPUTED_VALUE"""),73.83)</f>
        <v>73.83</v>
      </c>
    </row>
    <row r="437" spans="1:17" ht="15.75" customHeight="1" x14ac:dyDescent="0.25">
      <c r="A437" s="2">
        <v>7414</v>
      </c>
      <c r="B437" s="2" t="str">
        <f ca="1">IFERROR(__xludf.DUMMYFUNCTION("""COMPUTED_VALUE"""),"SULAWESI TENGGARA")</f>
        <v>SULAWESI TENGGARA</v>
      </c>
      <c r="C437" s="2" t="str">
        <f ca="1">IFERROR(__xludf.DUMMYFUNCTION("""COMPUTED_VALUE"""),"Buton Tengah")</f>
        <v>Buton Tengah</v>
      </c>
      <c r="D437" s="2">
        <f ca="1">IFERROR(__xludf.DUMMYFUNCTION("""COMPUTED_VALUE"""),4.45)</f>
        <v>4.45</v>
      </c>
      <c r="E437" s="2">
        <f ca="1">IFERROR(__xludf.DUMMYFUNCTION("""COMPUTED_VALUE"""),4.22)</f>
        <v>4.22</v>
      </c>
      <c r="F437" s="2">
        <f ca="1">IFERROR(__xludf.DUMMYFUNCTION("""COMPUTED_VALUE"""),4.22)</f>
        <v>4.22</v>
      </c>
      <c r="G437" s="2">
        <f ca="1">IFERROR(__xludf.DUMMYFUNCTION("""COMPUTED_VALUE"""),3.77)</f>
        <v>3.77</v>
      </c>
      <c r="H437" s="2">
        <f ca="1">IFERROR(__xludf.DUMMYFUNCTION("""COMPUTED_VALUE"""),2.63)</f>
        <v>2.63</v>
      </c>
      <c r="I437" s="2">
        <f ca="1">IFERROR(__xludf.DUMMYFUNCTION("""COMPUTED_VALUE"""),2.5)</f>
        <v>2.5</v>
      </c>
      <c r="J437" s="2">
        <f ca="1">IFERROR(__xludf.DUMMYFUNCTION("""COMPUTED_VALUE"""),2.84)</f>
        <v>2.84</v>
      </c>
      <c r="K437" s="2">
        <f ca="1">IFERROR(__xludf.DUMMYFUNCTION("""COMPUTED_VALUE"""),64.93)</f>
        <v>64.930000000000007</v>
      </c>
      <c r="L437" s="2">
        <f ca="1">IFERROR(__xludf.DUMMYFUNCTION("""COMPUTED_VALUE"""),66.8)</f>
        <v>66.8</v>
      </c>
      <c r="M437" s="2">
        <f ca="1">IFERROR(__xludf.DUMMYFUNCTION("""COMPUTED_VALUE"""),65.37)</f>
        <v>65.37</v>
      </c>
      <c r="N437" s="2">
        <f ca="1">IFERROR(__xludf.DUMMYFUNCTION("""COMPUTED_VALUE"""),63.93)</f>
        <v>63.93</v>
      </c>
      <c r="O437" s="2">
        <f ca="1">IFERROR(__xludf.DUMMYFUNCTION("""COMPUTED_VALUE"""),68.07)</f>
        <v>68.069999999999993</v>
      </c>
      <c r="P437" s="2">
        <f ca="1">IFERROR(__xludf.DUMMYFUNCTION("""COMPUTED_VALUE"""),67.65)</f>
        <v>67.650000000000006</v>
      </c>
      <c r="Q437" s="2">
        <f ca="1">IFERROR(__xludf.DUMMYFUNCTION("""COMPUTED_VALUE"""),67.99)</f>
        <v>67.989999999999995</v>
      </c>
    </row>
    <row r="438" spans="1:17" ht="15.75" customHeight="1" x14ac:dyDescent="0.25">
      <c r="A438" s="2">
        <v>7415</v>
      </c>
      <c r="B438" s="2" t="str">
        <f ca="1">IFERROR(__xludf.DUMMYFUNCTION("""COMPUTED_VALUE"""),"SULAWESI TENGGARA")</f>
        <v>SULAWESI TENGGARA</v>
      </c>
      <c r="C438" s="2" t="str">
        <f ca="1">IFERROR(__xludf.DUMMYFUNCTION("""COMPUTED_VALUE"""),"Buton Selatan")</f>
        <v>Buton Selatan</v>
      </c>
      <c r="D438" s="2">
        <f ca="1">IFERROR(__xludf.DUMMYFUNCTION("""COMPUTED_VALUE"""),3.52)</f>
        <v>3.52</v>
      </c>
      <c r="E438" s="2">
        <f ca="1">IFERROR(__xludf.DUMMYFUNCTION("""COMPUTED_VALUE"""),3.77)</f>
        <v>3.77</v>
      </c>
      <c r="F438" s="2">
        <f ca="1">IFERROR(__xludf.DUMMYFUNCTION("""COMPUTED_VALUE"""),3.9)</f>
        <v>3.9</v>
      </c>
      <c r="G438" s="2">
        <f ca="1">IFERROR(__xludf.DUMMYFUNCTION("""COMPUTED_VALUE"""),3.92)</f>
        <v>3.92</v>
      </c>
      <c r="H438" s="2">
        <f ca="1">IFERROR(__xludf.DUMMYFUNCTION("""COMPUTED_VALUE"""),4.18)</f>
        <v>4.18</v>
      </c>
      <c r="I438" s="2">
        <f ca="1">IFERROR(__xludf.DUMMYFUNCTION("""COMPUTED_VALUE"""),4.33)</f>
        <v>4.33</v>
      </c>
      <c r="J438" s="2">
        <f ca="1">IFERROR(__xludf.DUMMYFUNCTION("""COMPUTED_VALUE"""),3.48)</f>
        <v>3.48</v>
      </c>
      <c r="K438" s="2">
        <f ca="1">IFERROR(__xludf.DUMMYFUNCTION("""COMPUTED_VALUE"""),64.04)</f>
        <v>64.040000000000006</v>
      </c>
      <c r="L438" s="2">
        <f ca="1">IFERROR(__xludf.DUMMYFUNCTION("""COMPUTED_VALUE"""),64.82)</f>
        <v>64.819999999999993</v>
      </c>
      <c r="M438" s="2">
        <f ca="1">IFERROR(__xludf.DUMMYFUNCTION("""COMPUTED_VALUE"""),72.66)</f>
        <v>72.66</v>
      </c>
      <c r="N438" s="2">
        <f ca="1">IFERROR(__xludf.DUMMYFUNCTION("""COMPUTED_VALUE"""),73.4)</f>
        <v>73.400000000000006</v>
      </c>
      <c r="O438" s="2">
        <f ca="1">IFERROR(__xludf.DUMMYFUNCTION("""COMPUTED_VALUE"""),71.88)</f>
        <v>71.88</v>
      </c>
      <c r="P438" s="2">
        <f ca="1">IFERROR(__xludf.DUMMYFUNCTION("""COMPUTED_VALUE"""),72.56)</f>
        <v>72.56</v>
      </c>
      <c r="Q438" s="2">
        <f ca="1">IFERROR(__xludf.DUMMYFUNCTION("""COMPUTED_VALUE"""),81.98)</f>
        <v>81.98</v>
      </c>
    </row>
    <row r="439" spans="1:17" ht="15.75" customHeight="1" x14ac:dyDescent="0.25">
      <c r="A439" s="2">
        <v>7471</v>
      </c>
      <c r="B439" s="2" t="str">
        <f ca="1">IFERROR(__xludf.DUMMYFUNCTION("""COMPUTED_VALUE"""),"SULAWESI TENGGARA")</f>
        <v>SULAWESI TENGGARA</v>
      </c>
      <c r="C439" s="2" t="str">
        <f ca="1">IFERROR(__xludf.DUMMYFUNCTION("""COMPUTED_VALUE"""),"Kota Kendari")</f>
        <v>Kota Kendari</v>
      </c>
      <c r="D439" s="2">
        <f ca="1">IFERROR(__xludf.DUMMYFUNCTION("""COMPUTED_VALUE"""),6.04)</f>
        <v>6.04</v>
      </c>
      <c r="E439" s="2">
        <f ca="1">IFERROR(__xludf.DUMMYFUNCTION("""COMPUTED_VALUE"""),6.15)</f>
        <v>6.15</v>
      </c>
      <c r="F439" s="2">
        <f ca="1">IFERROR(__xludf.DUMMYFUNCTION("""COMPUTED_VALUE"""),7.08)</f>
        <v>7.08</v>
      </c>
      <c r="G439" s="2">
        <f ca="1">IFERROR(__xludf.DUMMYFUNCTION("""COMPUTED_VALUE"""),5.19)</f>
        <v>5.19</v>
      </c>
      <c r="H439" s="2">
        <f ca="1">IFERROR(__xludf.DUMMYFUNCTION("""COMPUTED_VALUE"""),5.23)</f>
        <v>5.23</v>
      </c>
      <c r="I439" s="2">
        <f ca="1">IFERROR(__xludf.DUMMYFUNCTION("""COMPUTED_VALUE"""),5.18)</f>
        <v>5.18</v>
      </c>
      <c r="J439" s="2">
        <f ca="1">IFERROR(__xludf.DUMMYFUNCTION("""COMPUTED_VALUE"""),5.67)</f>
        <v>5.67</v>
      </c>
      <c r="K439" s="2">
        <f ca="1">IFERROR(__xludf.DUMMYFUNCTION("""COMPUTED_VALUE"""),61.42)</f>
        <v>61.42</v>
      </c>
      <c r="L439" s="2">
        <f ca="1">IFERROR(__xludf.DUMMYFUNCTION("""COMPUTED_VALUE"""),64.6)</f>
        <v>64.599999999999994</v>
      </c>
      <c r="M439" s="2">
        <f ca="1">IFERROR(__xludf.DUMMYFUNCTION("""COMPUTED_VALUE"""),64.11)</f>
        <v>64.11</v>
      </c>
      <c r="N439" s="2">
        <f ca="1">IFERROR(__xludf.DUMMYFUNCTION("""COMPUTED_VALUE"""),65.34)</f>
        <v>65.34</v>
      </c>
      <c r="O439" s="2">
        <f ca="1">IFERROR(__xludf.DUMMYFUNCTION("""COMPUTED_VALUE"""),65.48)</f>
        <v>65.48</v>
      </c>
      <c r="P439" s="2">
        <f ca="1">IFERROR(__xludf.DUMMYFUNCTION("""COMPUTED_VALUE"""),66.87)</f>
        <v>66.87</v>
      </c>
      <c r="Q439" s="2">
        <f ca="1">IFERROR(__xludf.DUMMYFUNCTION("""COMPUTED_VALUE"""),68.45)</f>
        <v>68.45</v>
      </c>
    </row>
    <row r="440" spans="1:17" ht="15.75" customHeight="1" x14ac:dyDescent="0.25">
      <c r="A440" s="2">
        <v>7472</v>
      </c>
      <c r="B440" s="2" t="str">
        <f ca="1">IFERROR(__xludf.DUMMYFUNCTION("""COMPUTED_VALUE"""),"SULAWESI TENGGARA")</f>
        <v>SULAWESI TENGGARA</v>
      </c>
      <c r="C440" s="2" t="str">
        <f ca="1">IFERROR(__xludf.DUMMYFUNCTION("""COMPUTED_VALUE"""),"Kota Baubau")</f>
        <v>Kota Baubau</v>
      </c>
      <c r="D440" s="2">
        <f ca="1">IFERROR(__xludf.DUMMYFUNCTION("""COMPUTED_VALUE"""),5.75)</f>
        <v>5.75</v>
      </c>
      <c r="E440" s="2">
        <f ca="1">IFERROR(__xludf.DUMMYFUNCTION("""COMPUTED_VALUE"""),5.84)</f>
        <v>5.84</v>
      </c>
      <c r="F440" s="2">
        <f ca="1">IFERROR(__xludf.DUMMYFUNCTION("""COMPUTED_VALUE"""),6.57)</f>
        <v>6.57</v>
      </c>
      <c r="G440" s="2">
        <f ca="1">IFERROR(__xludf.DUMMYFUNCTION("""COMPUTED_VALUE"""),6.87)</f>
        <v>6.87</v>
      </c>
      <c r="H440" s="2">
        <f ca="1">IFERROR(__xludf.DUMMYFUNCTION("""COMPUTED_VALUE"""),5.39)</f>
        <v>5.39</v>
      </c>
      <c r="I440" s="2">
        <f ca="1">IFERROR(__xludf.DUMMYFUNCTION("""COMPUTED_VALUE"""),4.17)</f>
        <v>4.17</v>
      </c>
      <c r="J440" s="2">
        <f ca="1">IFERROR(__xludf.DUMMYFUNCTION("""COMPUTED_VALUE"""),3.99)</f>
        <v>3.99</v>
      </c>
      <c r="K440" s="2">
        <f ca="1">IFERROR(__xludf.DUMMYFUNCTION("""COMPUTED_VALUE"""),67.89)</f>
        <v>67.89</v>
      </c>
      <c r="L440" s="2">
        <f ca="1">IFERROR(__xludf.DUMMYFUNCTION("""COMPUTED_VALUE"""),66.12)</f>
        <v>66.12</v>
      </c>
      <c r="M440" s="2">
        <f ca="1">IFERROR(__xludf.DUMMYFUNCTION("""COMPUTED_VALUE"""),65.16)</f>
        <v>65.16</v>
      </c>
      <c r="N440" s="2">
        <f ca="1">IFERROR(__xludf.DUMMYFUNCTION("""COMPUTED_VALUE"""),68.95)</f>
        <v>68.95</v>
      </c>
      <c r="O440" s="2">
        <f ca="1">IFERROR(__xludf.DUMMYFUNCTION("""COMPUTED_VALUE"""),61.14)</f>
        <v>61.14</v>
      </c>
      <c r="P440" s="2">
        <f ca="1">IFERROR(__xludf.DUMMYFUNCTION("""COMPUTED_VALUE"""),70.52)</f>
        <v>70.52</v>
      </c>
      <c r="Q440" s="2">
        <f ca="1">IFERROR(__xludf.DUMMYFUNCTION("""COMPUTED_VALUE"""),69.24)</f>
        <v>69.239999999999995</v>
      </c>
    </row>
    <row r="441" spans="1:17" ht="15.75" customHeight="1" x14ac:dyDescent="0.25">
      <c r="A441" s="2">
        <v>7501</v>
      </c>
      <c r="B441" s="2" t="str">
        <f ca="1">IFERROR(__xludf.DUMMYFUNCTION("""COMPUTED_VALUE"""),"GORONTALO")</f>
        <v>GORONTALO</v>
      </c>
      <c r="C441" s="2" t="str">
        <f ca="1">IFERROR(__xludf.DUMMYFUNCTION("""COMPUTED_VALUE"""),"Boalemo")</f>
        <v>Boalemo</v>
      </c>
      <c r="D441" s="2">
        <f ca="1">IFERROR(__xludf.DUMMYFUNCTION("""COMPUTED_VALUE"""),3.62)</f>
        <v>3.62</v>
      </c>
      <c r="E441" s="2">
        <f ca="1">IFERROR(__xludf.DUMMYFUNCTION("""COMPUTED_VALUE"""),2.96)</f>
        <v>2.96</v>
      </c>
      <c r="F441" s="2">
        <f ca="1">IFERROR(__xludf.DUMMYFUNCTION("""COMPUTED_VALUE"""),3.66)</f>
        <v>3.66</v>
      </c>
      <c r="G441" s="2">
        <f ca="1">IFERROR(__xludf.DUMMYFUNCTION("""COMPUTED_VALUE"""),3.57)</f>
        <v>3.57</v>
      </c>
      <c r="H441" s="2">
        <f ca="1">IFERROR(__xludf.DUMMYFUNCTION("""COMPUTED_VALUE"""),2.07)</f>
        <v>2.0699999999999998</v>
      </c>
      <c r="I441" s="2">
        <f ca="1">IFERROR(__xludf.DUMMYFUNCTION("""COMPUTED_VALUE"""),2.86)</f>
        <v>2.86</v>
      </c>
      <c r="J441" s="2"/>
      <c r="K441" s="2">
        <f ca="1">IFERROR(__xludf.DUMMYFUNCTION("""COMPUTED_VALUE"""),71)</f>
        <v>71</v>
      </c>
      <c r="L441" s="2">
        <f ca="1">IFERROR(__xludf.DUMMYFUNCTION("""COMPUTED_VALUE"""),69.59)</f>
        <v>69.59</v>
      </c>
      <c r="M441" s="2">
        <f ca="1">IFERROR(__xludf.DUMMYFUNCTION("""COMPUTED_VALUE"""),67.14)</f>
        <v>67.14</v>
      </c>
      <c r="N441" s="2">
        <f ca="1">IFERROR(__xludf.DUMMYFUNCTION("""COMPUTED_VALUE"""),65.56)</f>
        <v>65.56</v>
      </c>
      <c r="O441" s="2">
        <f ca="1">IFERROR(__xludf.DUMMYFUNCTION("""COMPUTED_VALUE"""),72.46)</f>
        <v>72.459999999999994</v>
      </c>
      <c r="P441" s="2">
        <f ca="1">IFERROR(__xludf.DUMMYFUNCTION("""COMPUTED_VALUE"""),72.3)</f>
        <v>72.3</v>
      </c>
      <c r="Q441" s="2"/>
    </row>
    <row r="442" spans="1:17" ht="15.75" customHeight="1" x14ac:dyDescent="0.25">
      <c r="A442" s="2">
        <v>7502</v>
      </c>
      <c r="B442" s="2" t="str">
        <f ca="1">IFERROR(__xludf.DUMMYFUNCTION("""COMPUTED_VALUE"""),"GORONTALO")</f>
        <v>GORONTALO</v>
      </c>
      <c r="C442" s="2" t="str">
        <f ca="1">IFERROR(__xludf.DUMMYFUNCTION("""COMPUTED_VALUE"""),"Gorontalo")</f>
        <v>Gorontalo</v>
      </c>
      <c r="D442" s="2">
        <f ca="1">IFERROR(__xludf.DUMMYFUNCTION("""COMPUTED_VALUE"""),2.98)</f>
        <v>2.98</v>
      </c>
      <c r="E442" s="2">
        <f ca="1">IFERROR(__xludf.DUMMYFUNCTION("""COMPUTED_VALUE"""),2.97)</f>
        <v>2.97</v>
      </c>
      <c r="F442" s="2">
        <f ca="1">IFERROR(__xludf.DUMMYFUNCTION("""COMPUTED_VALUE"""),3.41)</f>
        <v>3.41</v>
      </c>
      <c r="G442" s="2">
        <f ca="1">IFERROR(__xludf.DUMMYFUNCTION("""COMPUTED_VALUE"""),2.12)</f>
        <v>2.12</v>
      </c>
      <c r="H442" s="2">
        <f ca="1">IFERROR(__xludf.DUMMYFUNCTION("""COMPUTED_VALUE"""),1.83)</f>
        <v>1.83</v>
      </c>
      <c r="I442" s="2">
        <f ca="1">IFERROR(__xludf.DUMMYFUNCTION("""COMPUTED_VALUE"""),2.48)</f>
        <v>2.48</v>
      </c>
      <c r="J442" s="2"/>
      <c r="K442" s="2">
        <f ca="1">IFERROR(__xludf.DUMMYFUNCTION("""COMPUTED_VALUE"""),68.98)</f>
        <v>68.98</v>
      </c>
      <c r="L442" s="2">
        <f ca="1">IFERROR(__xludf.DUMMYFUNCTION("""COMPUTED_VALUE"""),66.3)</f>
        <v>66.3</v>
      </c>
      <c r="M442" s="2">
        <f ca="1">IFERROR(__xludf.DUMMYFUNCTION("""COMPUTED_VALUE"""),65.88)</f>
        <v>65.88</v>
      </c>
      <c r="N442" s="2">
        <f ca="1">IFERROR(__xludf.DUMMYFUNCTION("""COMPUTED_VALUE"""),65.13)</f>
        <v>65.13</v>
      </c>
      <c r="O442" s="2">
        <f ca="1">IFERROR(__xludf.DUMMYFUNCTION("""COMPUTED_VALUE"""),70.47)</f>
        <v>70.47</v>
      </c>
      <c r="P442" s="2">
        <f ca="1">IFERROR(__xludf.DUMMYFUNCTION("""COMPUTED_VALUE"""),72.89)</f>
        <v>72.89</v>
      </c>
      <c r="Q442" s="2"/>
    </row>
    <row r="443" spans="1:17" ht="15.75" customHeight="1" x14ac:dyDescent="0.25">
      <c r="A443" s="2">
        <v>7503</v>
      </c>
      <c r="B443" s="2" t="str">
        <f ca="1">IFERROR(__xludf.DUMMYFUNCTION("""COMPUTED_VALUE"""),"GORONTALO")</f>
        <v>GORONTALO</v>
      </c>
      <c r="C443" s="2" t="str">
        <f ca="1">IFERROR(__xludf.DUMMYFUNCTION("""COMPUTED_VALUE"""),"Pohuwato")</f>
        <v>Pohuwato</v>
      </c>
      <c r="D443" s="2">
        <f ca="1">IFERROR(__xludf.DUMMYFUNCTION("""COMPUTED_VALUE"""),2.72)</f>
        <v>2.72</v>
      </c>
      <c r="E443" s="2">
        <f ca="1">IFERROR(__xludf.DUMMYFUNCTION("""COMPUTED_VALUE"""),2.73)</f>
        <v>2.73</v>
      </c>
      <c r="F443" s="2">
        <f ca="1">IFERROR(__xludf.DUMMYFUNCTION("""COMPUTED_VALUE"""),3.1)</f>
        <v>3.1</v>
      </c>
      <c r="G443" s="2">
        <f ca="1">IFERROR(__xludf.DUMMYFUNCTION("""COMPUTED_VALUE"""),2.45)</f>
        <v>2.4500000000000002</v>
      </c>
      <c r="H443" s="2">
        <f ca="1">IFERROR(__xludf.DUMMYFUNCTION("""COMPUTED_VALUE"""),3.41)</f>
        <v>3.41</v>
      </c>
      <c r="I443" s="2">
        <f ca="1">IFERROR(__xludf.DUMMYFUNCTION("""COMPUTED_VALUE"""),3.46)</f>
        <v>3.46</v>
      </c>
      <c r="J443" s="2"/>
      <c r="K443" s="2">
        <f ca="1">IFERROR(__xludf.DUMMYFUNCTION("""COMPUTED_VALUE"""),69.8)</f>
        <v>69.8</v>
      </c>
      <c r="L443" s="2">
        <f ca="1">IFERROR(__xludf.DUMMYFUNCTION("""COMPUTED_VALUE"""),70.11)</f>
        <v>70.11</v>
      </c>
      <c r="M443" s="2">
        <f ca="1">IFERROR(__xludf.DUMMYFUNCTION("""COMPUTED_VALUE"""),70.88)</f>
        <v>70.88</v>
      </c>
      <c r="N443" s="2">
        <f ca="1">IFERROR(__xludf.DUMMYFUNCTION("""COMPUTED_VALUE"""),70.09)</f>
        <v>70.09</v>
      </c>
      <c r="O443" s="2">
        <f ca="1">IFERROR(__xludf.DUMMYFUNCTION("""COMPUTED_VALUE"""),70.53)</f>
        <v>70.53</v>
      </c>
      <c r="P443" s="2">
        <f ca="1">IFERROR(__xludf.DUMMYFUNCTION("""COMPUTED_VALUE"""),72.96)</f>
        <v>72.959999999999994</v>
      </c>
      <c r="Q443" s="2"/>
    </row>
    <row r="444" spans="1:17" ht="15.75" customHeight="1" x14ac:dyDescent="0.25">
      <c r="A444" s="2">
        <v>7504</v>
      </c>
      <c r="B444" s="2" t="str">
        <f ca="1">IFERROR(__xludf.DUMMYFUNCTION("""COMPUTED_VALUE"""),"GORONTALO")</f>
        <v>GORONTALO</v>
      </c>
      <c r="C444" s="2" t="str">
        <f ca="1">IFERROR(__xludf.DUMMYFUNCTION("""COMPUTED_VALUE"""),"Bone Bolango")</f>
        <v>Bone Bolango</v>
      </c>
      <c r="D444" s="2">
        <f ca="1">IFERROR(__xludf.DUMMYFUNCTION("""COMPUTED_VALUE"""),3.93)</f>
        <v>3.93</v>
      </c>
      <c r="E444" s="2">
        <f ca="1">IFERROR(__xludf.DUMMYFUNCTION("""COMPUTED_VALUE"""),3.99)</f>
        <v>3.99</v>
      </c>
      <c r="F444" s="2">
        <f ca="1">IFERROR(__xludf.DUMMYFUNCTION("""COMPUTED_VALUE"""),4.48)</f>
        <v>4.4800000000000004</v>
      </c>
      <c r="G444" s="2">
        <f ca="1">IFERROR(__xludf.DUMMYFUNCTION("""COMPUTED_VALUE"""),3.45)</f>
        <v>3.45</v>
      </c>
      <c r="H444" s="2">
        <f ca="1">IFERROR(__xludf.DUMMYFUNCTION("""COMPUTED_VALUE"""),3.29)</f>
        <v>3.29</v>
      </c>
      <c r="I444" s="2">
        <f ca="1">IFERROR(__xludf.DUMMYFUNCTION("""COMPUTED_VALUE"""),3.39)</f>
        <v>3.39</v>
      </c>
      <c r="J444" s="2"/>
      <c r="K444" s="2">
        <f ca="1">IFERROR(__xludf.DUMMYFUNCTION("""COMPUTED_VALUE"""),66.61)</f>
        <v>66.61</v>
      </c>
      <c r="L444" s="2">
        <f ca="1">IFERROR(__xludf.DUMMYFUNCTION("""COMPUTED_VALUE"""),65.91)</f>
        <v>65.91</v>
      </c>
      <c r="M444" s="2">
        <f ca="1">IFERROR(__xludf.DUMMYFUNCTION("""COMPUTED_VALUE"""),63.68)</f>
        <v>63.68</v>
      </c>
      <c r="N444" s="2">
        <f ca="1">IFERROR(__xludf.DUMMYFUNCTION("""COMPUTED_VALUE"""),65.09)</f>
        <v>65.09</v>
      </c>
      <c r="O444" s="2">
        <f ca="1">IFERROR(__xludf.DUMMYFUNCTION("""COMPUTED_VALUE"""),65.28)</f>
        <v>65.28</v>
      </c>
      <c r="P444" s="2">
        <f ca="1">IFERROR(__xludf.DUMMYFUNCTION("""COMPUTED_VALUE"""),68.39)</f>
        <v>68.39</v>
      </c>
      <c r="Q444" s="2"/>
    </row>
    <row r="445" spans="1:17" ht="15.75" customHeight="1" x14ac:dyDescent="0.25">
      <c r="A445" s="2">
        <v>7505</v>
      </c>
      <c r="B445" s="2" t="str">
        <f ca="1">IFERROR(__xludf.DUMMYFUNCTION("""COMPUTED_VALUE"""),"GORONTALO")</f>
        <v>GORONTALO</v>
      </c>
      <c r="C445" s="2" t="str">
        <f ca="1">IFERROR(__xludf.DUMMYFUNCTION("""COMPUTED_VALUE"""),"Gorontalo Utara")</f>
        <v>Gorontalo Utara</v>
      </c>
      <c r="D445" s="2">
        <f ca="1">IFERROR(__xludf.DUMMYFUNCTION("""COMPUTED_VALUE"""),4.35)</f>
        <v>4.3499999999999996</v>
      </c>
      <c r="E445" s="2">
        <f ca="1">IFERROR(__xludf.DUMMYFUNCTION("""COMPUTED_VALUE"""),4.57)</f>
        <v>4.57</v>
      </c>
      <c r="F445" s="2">
        <f ca="1">IFERROR(__xludf.DUMMYFUNCTION("""COMPUTED_VALUE"""),5.21)</f>
        <v>5.21</v>
      </c>
      <c r="G445" s="2">
        <f ca="1">IFERROR(__xludf.DUMMYFUNCTION("""COMPUTED_VALUE"""),2.3)</f>
        <v>2.2999999999999998</v>
      </c>
      <c r="H445" s="2">
        <f ca="1">IFERROR(__xludf.DUMMYFUNCTION("""COMPUTED_VALUE"""),2.02)</f>
        <v>2.02</v>
      </c>
      <c r="I445" s="2">
        <f ca="1">IFERROR(__xludf.DUMMYFUNCTION("""COMPUTED_VALUE"""),2.77)</f>
        <v>2.77</v>
      </c>
      <c r="J445" s="2"/>
      <c r="K445" s="2">
        <f ca="1">IFERROR(__xludf.DUMMYFUNCTION("""COMPUTED_VALUE"""),71.78)</f>
        <v>71.78</v>
      </c>
      <c r="L445" s="2">
        <f ca="1">IFERROR(__xludf.DUMMYFUNCTION("""COMPUTED_VALUE"""),69.6)</f>
        <v>69.599999999999994</v>
      </c>
      <c r="M445" s="2">
        <f ca="1">IFERROR(__xludf.DUMMYFUNCTION("""COMPUTED_VALUE"""),69.62)</f>
        <v>69.62</v>
      </c>
      <c r="N445" s="2">
        <f ca="1">IFERROR(__xludf.DUMMYFUNCTION("""COMPUTED_VALUE"""),68.57)</f>
        <v>68.569999999999993</v>
      </c>
      <c r="O445" s="2">
        <f ca="1">IFERROR(__xludf.DUMMYFUNCTION("""COMPUTED_VALUE"""),69.95)</f>
        <v>69.95</v>
      </c>
      <c r="P445" s="2">
        <f ca="1">IFERROR(__xludf.DUMMYFUNCTION("""COMPUTED_VALUE"""),71.13)</f>
        <v>71.13</v>
      </c>
      <c r="Q445" s="2"/>
    </row>
    <row r="446" spans="1:17" ht="15.75" customHeight="1" x14ac:dyDescent="0.25">
      <c r="A446" s="2">
        <v>7571</v>
      </c>
      <c r="B446" s="2" t="str">
        <f ca="1">IFERROR(__xludf.DUMMYFUNCTION("""COMPUTED_VALUE"""),"GORONTALO")</f>
        <v>GORONTALO</v>
      </c>
      <c r="C446" s="10" t="s">
        <v>85</v>
      </c>
      <c r="D446" s="2">
        <f ca="1">IFERROR(__xludf.DUMMYFUNCTION("""COMPUTED_VALUE"""),5.36)</f>
        <v>5.36</v>
      </c>
      <c r="E446" s="2">
        <f ca="1">IFERROR(__xludf.DUMMYFUNCTION("""COMPUTED_VALUE"""),5.9)</f>
        <v>5.9</v>
      </c>
      <c r="F446" s="2">
        <f ca="1">IFERROR(__xludf.DUMMYFUNCTION("""COMPUTED_VALUE"""),6.52)</f>
        <v>6.52</v>
      </c>
      <c r="G446" s="2">
        <f ca="1">IFERROR(__xludf.DUMMYFUNCTION("""COMPUTED_VALUE"""),4.55)</f>
        <v>4.55</v>
      </c>
      <c r="H446" s="2">
        <f ca="1">IFERROR(__xludf.DUMMYFUNCTION("""COMPUTED_VALUE"""),3.5)</f>
        <v>3.5</v>
      </c>
      <c r="I446" s="2">
        <f ca="1">IFERROR(__xludf.DUMMYFUNCTION("""COMPUTED_VALUE"""),4.06)</f>
        <v>4.0599999999999996</v>
      </c>
      <c r="J446" s="2"/>
      <c r="K446" s="2">
        <f ca="1">IFERROR(__xludf.DUMMYFUNCTION("""COMPUTED_VALUE"""),61.73)</f>
        <v>61.73</v>
      </c>
      <c r="L446" s="2">
        <f ca="1">IFERROR(__xludf.DUMMYFUNCTION("""COMPUTED_VALUE"""),65.67)</f>
        <v>65.67</v>
      </c>
      <c r="M446" s="2">
        <f ca="1">IFERROR(__xludf.DUMMYFUNCTION("""COMPUTED_VALUE"""),64.25)</f>
        <v>64.25</v>
      </c>
      <c r="N446" s="2">
        <f ca="1">IFERROR(__xludf.DUMMYFUNCTION("""COMPUTED_VALUE"""),63.97)</f>
        <v>63.97</v>
      </c>
      <c r="O446" s="2">
        <f ca="1">IFERROR(__xludf.DUMMYFUNCTION("""COMPUTED_VALUE"""),64.64)</f>
        <v>64.64</v>
      </c>
      <c r="P446" s="2">
        <f ca="1">IFERROR(__xludf.DUMMYFUNCTION("""COMPUTED_VALUE"""),65.68)</f>
        <v>65.680000000000007</v>
      </c>
      <c r="Q446" s="2"/>
    </row>
    <row r="447" spans="1:17" ht="15.75" customHeight="1" x14ac:dyDescent="0.25">
      <c r="A447" s="2">
        <v>7601</v>
      </c>
      <c r="B447" s="2" t="str">
        <f ca="1">IFERROR(__xludf.DUMMYFUNCTION("""COMPUTED_VALUE"""),"SULAWESI BARAT")</f>
        <v>SULAWESI BARAT</v>
      </c>
      <c r="C447" s="2" t="s">
        <v>34</v>
      </c>
      <c r="D447" s="2">
        <f ca="1">IFERROR(__xludf.DUMMYFUNCTION("""COMPUTED_VALUE"""),3.53)</f>
        <v>3.53</v>
      </c>
      <c r="E447" s="2">
        <f ca="1">IFERROR(__xludf.DUMMYFUNCTION("""COMPUTED_VALUE"""),3.88)</f>
        <v>3.88</v>
      </c>
      <c r="F447" s="2">
        <f ca="1">IFERROR(__xludf.DUMMYFUNCTION("""COMPUTED_VALUE"""),4.26)</f>
        <v>4.26</v>
      </c>
      <c r="G447" s="2">
        <f ca="1">IFERROR(__xludf.DUMMYFUNCTION("""COMPUTED_VALUE"""),2.85)</f>
        <v>2.85</v>
      </c>
      <c r="H447" s="2">
        <f ca="1">IFERROR(__xludf.DUMMYFUNCTION("""COMPUTED_VALUE"""),2.19)</f>
        <v>2.19</v>
      </c>
      <c r="I447" s="2">
        <f ca="1">IFERROR(__xludf.DUMMYFUNCTION("""COMPUTED_VALUE"""),2.64)</f>
        <v>2.64</v>
      </c>
      <c r="J447" s="2">
        <f ca="1">IFERROR(__xludf.DUMMYFUNCTION("""COMPUTED_VALUE"""),4.19)</f>
        <v>4.1900000000000004</v>
      </c>
      <c r="K447" s="2">
        <f ca="1">IFERROR(__xludf.DUMMYFUNCTION("""COMPUTED_VALUE"""),71.02)</f>
        <v>71.02</v>
      </c>
      <c r="L447" s="2">
        <f ca="1">IFERROR(__xludf.DUMMYFUNCTION("""COMPUTED_VALUE"""),67.16)</f>
        <v>67.16</v>
      </c>
      <c r="M447" s="2">
        <f ca="1">IFERROR(__xludf.DUMMYFUNCTION("""COMPUTED_VALUE"""),68.13)</f>
        <v>68.13</v>
      </c>
      <c r="N447" s="2">
        <f ca="1">IFERROR(__xludf.DUMMYFUNCTION("""COMPUTED_VALUE"""),65.35)</f>
        <v>65.349999999999994</v>
      </c>
      <c r="O447" s="2">
        <f ca="1">IFERROR(__xludf.DUMMYFUNCTION("""COMPUTED_VALUE"""),68.05)</f>
        <v>68.05</v>
      </c>
      <c r="P447" s="2">
        <f ca="1">IFERROR(__xludf.DUMMYFUNCTION("""COMPUTED_VALUE"""),64.03)</f>
        <v>64.03</v>
      </c>
      <c r="Q447" s="2">
        <f ca="1">IFERROR(__xludf.DUMMYFUNCTION("""COMPUTED_VALUE"""),63.66)</f>
        <v>63.66</v>
      </c>
    </row>
    <row r="448" spans="1:17" ht="15.75" customHeight="1" x14ac:dyDescent="0.25">
      <c r="A448" s="2">
        <v>7602</v>
      </c>
      <c r="B448" s="2" t="str">
        <f ca="1">IFERROR(__xludf.DUMMYFUNCTION("""COMPUTED_VALUE"""),"SULAWESI BARAT")</f>
        <v>SULAWESI BARAT</v>
      </c>
      <c r="C448" s="2" t="s">
        <v>33</v>
      </c>
      <c r="D448" s="2">
        <f ca="1">IFERROR(__xludf.DUMMYFUNCTION("""COMPUTED_VALUE"""),2.97)</f>
        <v>2.97</v>
      </c>
      <c r="E448" s="2">
        <f ca="1">IFERROR(__xludf.DUMMYFUNCTION("""COMPUTED_VALUE"""),3.01)</f>
        <v>3.01</v>
      </c>
      <c r="F448" s="2">
        <f ca="1">IFERROR(__xludf.DUMMYFUNCTION("""COMPUTED_VALUE"""),3.15)</f>
        <v>3.15</v>
      </c>
      <c r="G448" s="2">
        <f ca="1">IFERROR(__xludf.DUMMYFUNCTION("""COMPUTED_VALUE"""),3.38)</f>
        <v>3.38</v>
      </c>
      <c r="H448" s="2">
        <f ca="1">IFERROR(__xludf.DUMMYFUNCTION("""COMPUTED_VALUE"""),2.16)</f>
        <v>2.16</v>
      </c>
      <c r="I448" s="2">
        <f ca="1">IFERROR(__xludf.DUMMYFUNCTION("""COMPUTED_VALUE"""),1.95)</f>
        <v>1.95</v>
      </c>
      <c r="J448" s="2">
        <f ca="1">IFERROR(__xludf.DUMMYFUNCTION("""COMPUTED_VALUE"""),3.1)</f>
        <v>3.1</v>
      </c>
      <c r="K448" s="2">
        <f ca="1">IFERROR(__xludf.DUMMYFUNCTION("""COMPUTED_VALUE"""),65.65)</f>
        <v>65.650000000000006</v>
      </c>
      <c r="L448" s="2">
        <f ca="1">IFERROR(__xludf.DUMMYFUNCTION("""COMPUTED_VALUE"""),68.12)</f>
        <v>68.12</v>
      </c>
      <c r="M448" s="2">
        <f ca="1">IFERROR(__xludf.DUMMYFUNCTION("""COMPUTED_VALUE"""),71.39)</f>
        <v>71.39</v>
      </c>
      <c r="N448" s="2">
        <f ca="1">IFERROR(__xludf.DUMMYFUNCTION("""COMPUTED_VALUE"""),68.98)</f>
        <v>68.98</v>
      </c>
      <c r="O448" s="2">
        <f ca="1">IFERROR(__xludf.DUMMYFUNCTION("""COMPUTED_VALUE"""),76.13)</f>
        <v>76.13</v>
      </c>
      <c r="P448" s="2">
        <f ca="1">IFERROR(__xludf.DUMMYFUNCTION("""COMPUTED_VALUE"""),73.4)</f>
        <v>73.400000000000006</v>
      </c>
      <c r="Q448" s="2">
        <f ca="1">IFERROR(__xludf.DUMMYFUNCTION("""COMPUTED_VALUE"""),70.62)</f>
        <v>70.62</v>
      </c>
    </row>
    <row r="449" spans="1:17" ht="15.75" customHeight="1" x14ac:dyDescent="0.25">
      <c r="A449" s="2">
        <v>7603</v>
      </c>
      <c r="B449" s="2" t="str">
        <f ca="1">IFERROR(__xludf.DUMMYFUNCTION("""COMPUTED_VALUE"""),"SULAWESI BARAT")</f>
        <v>SULAWESI BARAT</v>
      </c>
      <c r="C449" s="2" t="s">
        <v>32</v>
      </c>
      <c r="D449" s="2">
        <f ca="1">IFERROR(__xludf.DUMMYFUNCTION("""COMPUTED_VALUE"""),2.95)</f>
        <v>2.95</v>
      </c>
      <c r="E449" s="2">
        <f ca="1">IFERROR(__xludf.DUMMYFUNCTION("""COMPUTED_VALUE"""),2.86)</f>
        <v>2.86</v>
      </c>
      <c r="F449" s="2">
        <f ca="1">IFERROR(__xludf.DUMMYFUNCTION("""COMPUTED_VALUE"""),3.67)</f>
        <v>3.67</v>
      </c>
      <c r="G449" s="2">
        <f ca="1">IFERROR(__xludf.DUMMYFUNCTION("""COMPUTED_VALUE"""),2.18)</f>
        <v>2.1800000000000002</v>
      </c>
      <c r="H449" s="2">
        <f ca="1">IFERROR(__xludf.DUMMYFUNCTION("""COMPUTED_VALUE"""),2.06)</f>
        <v>2.06</v>
      </c>
      <c r="I449" s="2">
        <f ca="1">IFERROR(__xludf.DUMMYFUNCTION("""COMPUTED_VALUE"""),2.35)</f>
        <v>2.35</v>
      </c>
      <c r="J449" s="2">
        <f ca="1">IFERROR(__xludf.DUMMYFUNCTION("""COMPUTED_VALUE"""),2.5)</f>
        <v>2.5</v>
      </c>
      <c r="K449" s="2">
        <f ca="1">IFERROR(__xludf.DUMMYFUNCTION("""COMPUTED_VALUE"""),75.96)</f>
        <v>75.959999999999994</v>
      </c>
      <c r="L449" s="2">
        <f ca="1">IFERROR(__xludf.DUMMYFUNCTION("""COMPUTED_VALUE"""),76.89)</f>
        <v>76.89</v>
      </c>
      <c r="M449" s="2">
        <f ca="1">IFERROR(__xludf.DUMMYFUNCTION("""COMPUTED_VALUE"""),78.36)</f>
        <v>78.36</v>
      </c>
      <c r="N449" s="2">
        <f ca="1">IFERROR(__xludf.DUMMYFUNCTION("""COMPUTED_VALUE"""),80.24)</f>
        <v>80.239999999999995</v>
      </c>
      <c r="O449" s="2">
        <f ca="1">IFERROR(__xludf.DUMMYFUNCTION("""COMPUTED_VALUE"""),85.95)</f>
        <v>85.95</v>
      </c>
      <c r="P449" s="2">
        <f ca="1">IFERROR(__xludf.DUMMYFUNCTION("""COMPUTED_VALUE"""),78.45)</f>
        <v>78.45</v>
      </c>
      <c r="Q449" s="2">
        <f ca="1">IFERROR(__xludf.DUMMYFUNCTION("""COMPUTED_VALUE"""),75.75)</f>
        <v>75.75</v>
      </c>
    </row>
    <row r="450" spans="1:17" ht="15.75" customHeight="1" x14ac:dyDescent="0.25">
      <c r="A450" s="2">
        <v>7604</v>
      </c>
      <c r="B450" s="2" t="str">
        <f ca="1">IFERROR(__xludf.DUMMYFUNCTION("""COMPUTED_VALUE"""),"SULAWESI BARAT")</f>
        <v>SULAWESI BARAT</v>
      </c>
      <c r="C450" s="2" t="s">
        <v>30</v>
      </c>
      <c r="D450" s="2">
        <f ca="1">IFERROR(__xludf.DUMMYFUNCTION("""COMPUTED_VALUE"""),2.46)</f>
        <v>2.46</v>
      </c>
      <c r="E450" s="2">
        <f ca="1">IFERROR(__xludf.DUMMYFUNCTION("""COMPUTED_VALUE"""),2.46)</f>
        <v>2.46</v>
      </c>
      <c r="F450" s="2">
        <f ca="1">IFERROR(__xludf.DUMMYFUNCTION("""COMPUTED_VALUE"""),2.89)</f>
        <v>2.89</v>
      </c>
      <c r="G450" s="2">
        <f ca="1">IFERROR(__xludf.DUMMYFUNCTION("""COMPUTED_VALUE"""),3.79)</f>
        <v>3.79</v>
      </c>
      <c r="H450" s="2">
        <f ca="1">IFERROR(__xludf.DUMMYFUNCTION("""COMPUTED_VALUE"""),3.06)</f>
        <v>3.06</v>
      </c>
      <c r="I450" s="2">
        <f ca="1">IFERROR(__xludf.DUMMYFUNCTION("""COMPUTED_VALUE"""),2.99)</f>
        <v>2.99</v>
      </c>
      <c r="J450" s="2">
        <f ca="1">IFERROR(__xludf.DUMMYFUNCTION("""COMPUTED_VALUE"""),2.77)</f>
        <v>2.77</v>
      </c>
      <c r="K450" s="2">
        <f ca="1">IFERROR(__xludf.DUMMYFUNCTION("""COMPUTED_VALUE"""),62.89)</f>
        <v>62.89</v>
      </c>
      <c r="L450" s="2">
        <f ca="1">IFERROR(__xludf.DUMMYFUNCTION("""COMPUTED_VALUE"""),66.73)</f>
        <v>66.73</v>
      </c>
      <c r="M450" s="2">
        <f ca="1">IFERROR(__xludf.DUMMYFUNCTION("""COMPUTED_VALUE"""),65.85)</f>
        <v>65.849999999999994</v>
      </c>
      <c r="N450" s="2">
        <f ca="1">IFERROR(__xludf.DUMMYFUNCTION("""COMPUTED_VALUE"""),70.24)</f>
        <v>70.239999999999995</v>
      </c>
      <c r="O450" s="2">
        <f ca="1">IFERROR(__xludf.DUMMYFUNCTION("""COMPUTED_VALUE"""),70.92)</f>
        <v>70.92</v>
      </c>
      <c r="P450" s="2">
        <f ca="1">IFERROR(__xludf.DUMMYFUNCTION("""COMPUTED_VALUE"""),68.24)</f>
        <v>68.239999999999995</v>
      </c>
      <c r="Q450" s="2">
        <f ca="1">IFERROR(__xludf.DUMMYFUNCTION("""COMPUTED_VALUE"""),75.48)</f>
        <v>75.48</v>
      </c>
    </row>
    <row r="451" spans="1:17" ht="15.75" customHeight="1" x14ac:dyDescent="0.25">
      <c r="A451" s="2">
        <v>7605</v>
      </c>
      <c r="B451" s="2" t="str">
        <f ca="1">IFERROR(__xludf.DUMMYFUNCTION("""COMPUTED_VALUE"""),"SULAWESI BARAT")</f>
        <v>SULAWESI BARAT</v>
      </c>
      <c r="C451" s="2" t="s">
        <v>29</v>
      </c>
      <c r="D451" s="2">
        <f ca="1">IFERROR(__xludf.DUMMYFUNCTION("""COMPUTED_VALUE"""),3.72)</f>
        <v>3.72</v>
      </c>
      <c r="E451" s="2">
        <f ca="1">IFERROR(__xludf.DUMMYFUNCTION("""COMPUTED_VALUE"""),3.31)</f>
        <v>3.31</v>
      </c>
      <c r="F451" s="2">
        <f ca="1">IFERROR(__xludf.DUMMYFUNCTION("""COMPUTED_VALUE"""),3.7)</f>
        <v>3.7</v>
      </c>
      <c r="G451" s="2">
        <f ca="1">IFERROR(__xludf.DUMMYFUNCTION("""COMPUTED_VALUE"""),3.13)</f>
        <v>3.13</v>
      </c>
      <c r="H451" s="2">
        <f ca="1">IFERROR(__xludf.DUMMYFUNCTION("""COMPUTED_VALUE"""),2.38)</f>
        <v>2.38</v>
      </c>
      <c r="I451" s="2">
        <f ca="1">IFERROR(__xludf.DUMMYFUNCTION("""COMPUTED_VALUE"""),2.02)</f>
        <v>2.02</v>
      </c>
      <c r="J451" s="2">
        <f ca="1">IFERROR(__xludf.DUMMYFUNCTION("""COMPUTED_VALUE"""),1.2)</f>
        <v>1.2</v>
      </c>
      <c r="K451" s="2">
        <f ca="1">IFERROR(__xludf.DUMMYFUNCTION("""COMPUTED_VALUE"""),70.22)</f>
        <v>70.22</v>
      </c>
      <c r="L451" s="2">
        <f ca="1">IFERROR(__xludf.DUMMYFUNCTION("""COMPUTED_VALUE"""),71.46)</f>
        <v>71.459999999999994</v>
      </c>
      <c r="M451" s="2">
        <f ca="1">IFERROR(__xludf.DUMMYFUNCTION("""COMPUTED_VALUE"""),69.13)</f>
        <v>69.13</v>
      </c>
      <c r="N451" s="2">
        <f ca="1">IFERROR(__xludf.DUMMYFUNCTION("""COMPUTED_VALUE"""),69.03)</f>
        <v>69.03</v>
      </c>
      <c r="O451" s="2">
        <f ca="1">IFERROR(__xludf.DUMMYFUNCTION("""COMPUTED_VALUE"""),69.44)</f>
        <v>69.44</v>
      </c>
      <c r="P451" s="2">
        <f ca="1">IFERROR(__xludf.DUMMYFUNCTION("""COMPUTED_VALUE"""),72.45)</f>
        <v>72.45</v>
      </c>
      <c r="Q451" s="2">
        <f ca="1">IFERROR(__xludf.DUMMYFUNCTION("""COMPUTED_VALUE"""),72.12)</f>
        <v>72.12</v>
      </c>
    </row>
    <row r="452" spans="1:17" ht="15.75" customHeight="1" x14ac:dyDescent="0.25">
      <c r="A452" s="2">
        <v>7606</v>
      </c>
      <c r="B452" s="2" t="str">
        <f ca="1">IFERROR(__xludf.DUMMYFUNCTION("""COMPUTED_VALUE"""),"SULAWESI BARAT")</f>
        <v>SULAWESI BARAT</v>
      </c>
      <c r="C452" s="2" t="s">
        <v>31</v>
      </c>
      <c r="D452" s="2">
        <f ca="1">IFERROR(__xludf.DUMMYFUNCTION("""COMPUTED_VALUE"""),2.69)</f>
        <v>2.69</v>
      </c>
      <c r="E452" s="2">
        <f ca="1">IFERROR(__xludf.DUMMYFUNCTION("""COMPUTED_VALUE"""),2.54)</f>
        <v>2.54</v>
      </c>
      <c r="F452" s="2">
        <f ca="1">IFERROR(__xludf.DUMMYFUNCTION("""COMPUTED_VALUE"""),2.71)</f>
        <v>2.71</v>
      </c>
      <c r="G452" s="2">
        <f ca="1">IFERROR(__xludf.DUMMYFUNCTION("""COMPUTED_VALUE"""),2.52)</f>
        <v>2.52</v>
      </c>
      <c r="H452" s="2">
        <f ca="1">IFERROR(__xludf.DUMMYFUNCTION("""COMPUTED_VALUE"""),1.88)</f>
        <v>1.88</v>
      </c>
      <c r="I452" s="2">
        <f ca="1">IFERROR(__xludf.DUMMYFUNCTION("""COMPUTED_VALUE"""),1.83)</f>
        <v>1.83</v>
      </c>
      <c r="J452" s="2">
        <f ca="1">IFERROR(__xludf.DUMMYFUNCTION("""COMPUTED_VALUE"""),1.7)</f>
        <v>1.7</v>
      </c>
      <c r="K452" s="2">
        <f ca="1">IFERROR(__xludf.DUMMYFUNCTION("""COMPUTED_VALUE"""),75.94)</f>
        <v>75.94</v>
      </c>
      <c r="L452" s="2">
        <f ca="1">IFERROR(__xludf.DUMMYFUNCTION("""COMPUTED_VALUE"""),69.59)</f>
        <v>69.59</v>
      </c>
      <c r="M452" s="2">
        <f ca="1">IFERROR(__xludf.DUMMYFUNCTION("""COMPUTED_VALUE"""),70.04)</f>
        <v>70.040000000000006</v>
      </c>
      <c r="N452" s="2">
        <f ca="1">IFERROR(__xludf.DUMMYFUNCTION("""COMPUTED_VALUE"""),70.84)</f>
        <v>70.84</v>
      </c>
      <c r="O452" s="2">
        <f ca="1">IFERROR(__xludf.DUMMYFUNCTION("""COMPUTED_VALUE"""),63.15)</f>
        <v>63.15</v>
      </c>
      <c r="P452" s="2">
        <f ca="1">IFERROR(__xludf.DUMMYFUNCTION("""COMPUTED_VALUE"""),66.01)</f>
        <v>66.010000000000005</v>
      </c>
      <c r="Q452" s="2">
        <f ca="1">IFERROR(__xludf.DUMMYFUNCTION("""COMPUTED_VALUE"""),69.06)</f>
        <v>69.06</v>
      </c>
    </row>
    <row r="453" spans="1:17" ht="15.75" customHeight="1" x14ac:dyDescent="0.25">
      <c r="A453" s="2">
        <v>8101</v>
      </c>
      <c r="B453" s="2" t="str">
        <f ca="1">IFERROR(__xludf.DUMMYFUNCTION("""COMPUTED_VALUE"""),"MALUKU")</f>
        <v>MALUKU</v>
      </c>
      <c r="C453" s="2" t="str">
        <f ca="1">IFERROR(__xludf.DUMMYFUNCTION("""COMPUTED_VALUE"""),"Kepulauan Tanimbar")</f>
        <v>Kepulauan Tanimbar</v>
      </c>
      <c r="D453" s="2">
        <f ca="1">IFERROR(__xludf.DUMMYFUNCTION("""COMPUTED_VALUE"""),4.66)</f>
        <v>4.66</v>
      </c>
      <c r="E453" s="2">
        <f ca="1">IFERROR(__xludf.DUMMYFUNCTION("""COMPUTED_VALUE"""),4.85)</f>
        <v>4.8499999999999996</v>
      </c>
      <c r="F453" s="2">
        <f ca="1">IFERROR(__xludf.DUMMYFUNCTION("""COMPUTED_VALUE"""),4.51)</f>
        <v>4.51</v>
      </c>
      <c r="G453" s="2">
        <f ca="1">IFERROR(__xludf.DUMMYFUNCTION("""COMPUTED_VALUE"""),4.4)</f>
        <v>4.4000000000000004</v>
      </c>
      <c r="H453" s="2">
        <f ca="1">IFERROR(__xludf.DUMMYFUNCTION("""COMPUTED_VALUE"""),4.33)</f>
        <v>4.33</v>
      </c>
      <c r="I453" s="2">
        <f ca="1">IFERROR(__xludf.DUMMYFUNCTION("""COMPUTED_VALUE"""),4.31)</f>
        <v>4.3099999999999996</v>
      </c>
      <c r="J453" s="2">
        <f ca="1">IFERROR(__xludf.DUMMYFUNCTION("""COMPUTED_VALUE"""),4.24)</f>
        <v>4.24</v>
      </c>
      <c r="K453" s="2">
        <f ca="1">IFERROR(__xludf.DUMMYFUNCTION("""COMPUTED_VALUE"""),68.99)</f>
        <v>68.989999999999995</v>
      </c>
      <c r="L453" s="2">
        <f ca="1">IFERROR(__xludf.DUMMYFUNCTION("""COMPUTED_VALUE"""),67.88)</f>
        <v>67.88</v>
      </c>
      <c r="M453" s="2">
        <f ca="1">IFERROR(__xludf.DUMMYFUNCTION("""COMPUTED_VALUE"""),72.39)</f>
        <v>72.39</v>
      </c>
      <c r="N453" s="2">
        <f ca="1">IFERROR(__xludf.DUMMYFUNCTION("""COMPUTED_VALUE"""),68.96)</f>
        <v>68.959999999999994</v>
      </c>
      <c r="O453" s="2">
        <f ca="1">IFERROR(__xludf.DUMMYFUNCTION("""COMPUTED_VALUE"""),66.57)</f>
        <v>66.569999999999993</v>
      </c>
      <c r="P453" s="2">
        <f ca="1">IFERROR(__xludf.DUMMYFUNCTION("""COMPUTED_VALUE"""),62)</f>
        <v>62</v>
      </c>
      <c r="Q453" s="2">
        <f ca="1">IFERROR(__xludf.DUMMYFUNCTION("""COMPUTED_VALUE"""),62.99)</f>
        <v>62.99</v>
      </c>
    </row>
    <row r="454" spans="1:17" ht="15.75" customHeight="1" x14ac:dyDescent="0.25">
      <c r="A454" s="2">
        <v>8102</v>
      </c>
      <c r="B454" s="2" t="str">
        <f ca="1">IFERROR(__xludf.DUMMYFUNCTION("""COMPUTED_VALUE"""),"MALUKU")</f>
        <v>MALUKU</v>
      </c>
      <c r="C454" s="2" t="str">
        <f ca="1">IFERROR(__xludf.DUMMYFUNCTION("""COMPUTED_VALUE"""),"Maluku Tenggara")</f>
        <v>Maluku Tenggara</v>
      </c>
      <c r="D454" s="2">
        <f ca="1">IFERROR(__xludf.DUMMYFUNCTION("""COMPUTED_VALUE"""),2.66)</f>
        <v>2.66</v>
      </c>
      <c r="E454" s="2">
        <f ca="1">IFERROR(__xludf.DUMMYFUNCTION("""COMPUTED_VALUE"""),2.58)</f>
        <v>2.58</v>
      </c>
      <c r="F454" s="2">
        <f ca="1">IFERROR(__xludf.DUMMYFUNCTION("""COMPUTED_VALUE"""),4.95)</f>
        <v>4.95</v>
      </c>
      <c r="G454" s="2">
        <f ca="1">IFERROR(__xludf.DUMMYFUNCTION("""COMPUTED_VALUE"""),5.06)</f>
        <v>5.0599999999999996</v>
      </c>
      <c r="H454" s="2">
        <f ca="1">IFERROR(__xludf.DUMMYFUNCTION("""COMPUTED_VALUE"""),5.74)</f>
        <v>5.74</v>
      </c>
      <c r="I454" s="2">
        <f ca="1">IFERROR(__xludf.DUMMYFUNCTION("""COMPUTED_VALUE"""),5.73)</f>
        <v>5.73</v>
      </c>
      <c r="J454" s="2">
        <f ca="1">IFERROR(__xludf.DUMMYFUNCTION("""COMPUTED_VALUE"""),5.68)</f>
        <v>5.68</v>
      </c>
      <c r="K454" s="2">
        <f ca="1">IFERROR(__xludf.DUMMYFUNCTION("""COMPUTED_VALUE"""),61.7)</f>
        <v>61.7</v>
      </c>
      <c r="L454" s="2">
        <f ca="1">IFERROR(__xludf.DUMMYFUNCTION("""COMPUTED_VALUE"""),59.94)</f>
        <v>59.94</v>
      </c>
      <c r="M454" s="2">
        <f ca="1">IFERROR(__xludf.DUMMYFUNCTION("""COMPUTED_VALUE"""),65.24)</f>
        <v>65.239999999999995</v>
      </c>
      <c r="N454" s="2">
        <f ca="1">IFERROR(__xludf.DUMMYFUNCTION("""COMPUTED_VALUE"""),64.58)</f>
        <v>64.58</v>
      </c>
      <c r="O454" s="2">
        <f ca="1">IFERROR(__xludf.DUMMYFUNCTION("""COMPUTED_VALUE"""),62.08)</f>
        <v>62.08</v>
      </c>
      <c r="P454" s="2">
        <f ca="1">IFERROR(__xludf.DUMMYFUNCTION("""COMPUTED_VALUE"""),61.37)</f>
        <v>61.37</v>
      </c>
      <c r="Q454" s="2">
        <f ca="1">IFERROR(__xludf.DUMMYFUNCTION("""COMPUTED_VALUE"""),67.58)</f>
        <v>67.58</v>
      </c>
    </row>
    <row r="455" spans="1:17" ht="15.75" customHeight="1" x14ac:dyDescent="0.25">
      <c r="A455" s="2">
        <v>8103</v>
      </c>
      <c r="B455" s="2" t="str">
        <f ca="1">IFERROR(__xludf.DUMMYFUNCTION("""COMPUTED_VALUE"""),"MALUKU")</f>
        <v>MALUKU</v>
      </c>
      <c r="C455" s="2" t="str">
        <f ca="1">IFERROR(__xludf.DUMMYFUNCTION("""COMPUTED_VALUE"""),"Maluku Tengah")</f>
        <v>Maluku Tengah</v>
      </c>
      <c r="D455" s="2">
        <f ca="1">IFERROR(__xludf.DUMMYFUNCTION("""COMPUTED_VALUE"""),7.18)</f>
        <v>7.18</v>
      </c>
      <c r="E455" s="2">
        <f ca="1">IFERROR(__xludf.DUMMYFUNCTION("""COMPUTED_VALUE"""),7.76)</f>
        <v>7.76</v>
      </c>
      <c r="F455" s="2">
        <f ca="1">IFERROR(__xludf.DUMMYFUNCTION("""COMPUTED_VALUE"""),7.93)</f>
        <v>7.93</v>
      </c>
      <c r="G455" s="2">
        <f ca="1">IFERROR(__xludf.DUMMYFUNCTION("""COMPUTED_VALUE"""),8.07)</f>
        <v>8.07</v>
      </c>
      <c r="H455" s="2">
        <f ca="1">IFERROR(__xludf.DUMMYFUNCTION("""COMPUTED_VALUE"""),6.76)</f>
        <v>6.76</v>
      </c>
      <c r="I455" s="2">
        <f ca="1">IFERROR(__xludf.DUMMYFUNCTION("""COMPUTED_VALUE"""),6.75)</f>
        <v>6.75</v>
      </c>
      <c r="J455" s="2">
        <f ca="1">IFERROR(__xludf.DUMMYFUNCTION("""COMPUTED_VALUE"""),6.5)</f>
        <v>6.5</v>
      </c>
      <c r="K455" s="2">
        <f ca="1">IFERROR(__xludf.DUMMYFUNCTION("""COMPUTED_VALUE"""),63.2)</f>
        <v>63.2</v>
      </c>
      <c r="L455" s="2">
        <f ca="1">IFERROR(__xludf.DUMMYFUNCTION("""COMPUTED_VALUE"""),58.14)</f>
        <v>58.14</v>
      </c>
      <c r="M455" s="2">
        <f ca="1">IFERROR(__xludf.DUMMYFUNCTION("""COMPUTED_VALUE"""),59.79)</f>
        <v>59.79</v>
      </c>
      <c r="N455" s="2">
        <f ca="1">IFERROR(__xludf.DUMMYFUNCTION("""COMPUTED_VALUE"""),62.59)</f>
        <v>62.59</v>
      </c>
      <c r="O455" s="2">
        <f ca="1">IFERROR(__xludf.DUMMYFUNCTION("""COMPUTED_VALUE"""),65.87)</f>
        <v>65.87</v>
      </c>
      <c r="P455" s="2">
        <f ca="1">IFERROR(__xludf.DUMMYFUNCTION("""COMPUTED_VALUE"""),63.26)</f>
        <v>63.26</v>
      </c>
      <c r="Q455" s="2">
        <f ca="1">IFERROR(__xludf.DUMMYFUNCTION("""COMPUTED_VALUE"""),66.05)</f>
        <v>66.05</v>
      </c>
    </row>
    <row r="456" spans="1:17" ht="15.75" customHeight="1" x14ac:dyDescent="0.25">
      <c r="A456" s="2">
        <v>8104</v>
      </c>
      <c r="B456" s="2" t="str">
        <f ca="1">IFERROR(__xludf.DUMMYFUNCTION("""COMPUTED_VALUE"""),"MALUKU")</f>
        <v>MALUKU</v>
      </c>
      <c r="C456" s="2" t="str">
        <f ca="1">IFERROR(__xludf.DUMMYFUNCTION("""COMPUTED_VALUE"""),"Buru")</f>
        <v>Buru</v>
      </c>
      <c r="D456" s="2">
        <f ca="1">IFERROR(__xludf.DUMMYFUNCTION("""COMPUTED_VALUE"""),2.65)</f>
        <v>2.65</v>
      </c>
      <c r="E456" s="2">
        <f ca="1">IFERROR(__xludf.DUMMYFUNCTION("""COMPUTED_VALUE"""),2.81)</f>
        <v>2.81</v>
      </c>
      <c r="F456" s="2">
        <f ca="1">IFERROR(__xludf.DUMMYFUNCTION("""COMPUTED_VALUE"""),6.28)</f>
        <v>6.28</v>
      </c>
      <c r="G456" s="2">
        <f ca="1">IFERROR(__xludf.DUMMYFUNCTION("""COMPUTED_VALUE"""),4.85)</f>
        <v>4.8499999999999996</v>
      </c>
      <c r="H456" s="2">
        <f ca="1">IFERROR(__xludf.DUMMYFUNCTION("""COMPUTED_VALUE"""),4.99)</f>
        <v>4.99</v>
      </c>
      <c r="I456" s="2">
        <f ca="1">IFERROR(__xludf.DUMMYFUNCTION("""COMPUTED_VALUE"""),4.86)</f>
        <v>4.8600000000000003</v>
      </c>
      <c r="J456" s="2">
        <f ca="1">IFERROR(__xludf.DUMMYFUNCTION("""COMPUTED_VALUE"""),4.66)</f>
        <v>4.66</v>
      </c>
      <c r="K456" s="2">
        <f ca="1">IFERROR(__xludf.DUMMYFUNCTION("""COMPUTED_VALUE"""),66.53)</f>
        <v>66.53</v>
      </c>
      <c r="L456" s="2">
        <f ca="1">IFERROR(__xludf.DUMMYFUNCTION("""COMPUTED_VALUE"""),65.77)</f>
        <v>65.77</v>
      </c>
      <c r="M456" s="2">
        <f ca="1">IFERROR(__xludf.DUMMYFUNCTION("""COMPUTED_VALUE"""),71.69)</f>
        <v>71.69</v>
      </c>
      <c r="N456" s="2">
        <f ca="1">IFERROR(__xludf.DUMMYFUNCTION("""COMPUTED_VALUE"""),70.82)</f>
        <v>70.819999999999993</v>
      </c>
      <c r="O456" s="2">
        <f ca="1">IFERROR(__xludf.DUMMYFUNCTION("""COMPUTED_VALUE"""),72.04)</f>
        <v>72.040000000000006</v>
      </c>
      <c r="P456" s="2">
        <f ca="1">IFERROR(__xludf.DUMMYFUNCTION("""COMPUTED_VALUE"""),73.72)</f>
        <v>73.72</v>
      </c>
      <c r="Q456" s="2">
        <f ca="1">IFERROR(__xludf.DUMMYFUNCTION("""COMPUTED_VALUE"""),72.51)</f>
        <v>72.510000000000005</v>
      </c>
    </row>
    <row r="457" spans="1:17" ht="15.75" customHeight="1" x14ac:dyDescent="0.25">
      <c r="A457" s="2">
        <v>8105</v>
      </c>
      <c r="B457" s="2" t="str">
        <f ca="1">IFERROR(__xludf.DUMMYFUNCTION("""COMPUTED_VALUE"""),"MALUKU")</f>
        <v>MALUKU</v>
      </c>
      <c r="C457" s="2" t="str">
        <f ca="1">IFERROR(__xludf.DUMMYFUNCTION("""COMPUTED_VALUE"""),"Kepulauan Aru")</f>
        <v>Kepulauan Aru</v>
      </c>
      <c r="D457" s="2">
        <f ca="1">IFERROR(__xludf.DUMMYFUNCTION("""COMPUTED_VALUE"""),2.75)</f>
        <v>2.75</v>
      </c>
      <c r="E457" s="2">
        <f ca="1">IFERROR(__xludf.DUMMYFUNCTION("""COMPUTED_VALUE"""),4.05)</f>
        <v>4.05</v>
      </c>
      <c r="F457" s="2">
        <f ca="1">IFERROR(__xludf.DUMMYFUNCTION("""COMPUTED_VALUE"""),3.83)</f>
        <v>3.83</v>
      </c>
      <c r="G457" s="2">
        <f ca="1">IFERROR(__xludf.DUMMYFUNCTION("""COMPUTED_VALUE"""),1.55)</f>
        <v>1.55</v>
      </c>
      <c r="H457" s="2">
        <f ca="1">IFERROR(__xludf.DUMMYFUNCTION("""COMPUTED_VALUE"""),2.1)</f>
        <v>2.1</v>
      </c>
      <c r="I457" s="2">
        <f ca="1">IFERROR(__xludf.DUMMYFUNCTION("""COMPUTED_VALUE"""),1.96)</f>
        <v>1.96</v>
      </c>
      <c r="J457" s="2">
        <f ca="1">IFERROR(__xludf.DUMMYFUNCTION("""COMPUTED_VALUE"""),1.83)</f>
        <v>1.83</v>
      </c>
      <c r="K457" s="2">
        <f ca="1">IFERROR(__xludf.DUMMYFUNCTION("""COMPUTED_VALUE"""),62.04)</f>
        <v>62.04</v>
      </c>
      <c r="L457" s="2">
        <f ca="1">IFERROR(__xludf.DUMMYFUNCTION("""COMPUTED_VALUE"""),67.81)</f>
        <v>67.81</v>
      </c>
      <c r="M457" s="2">
        <f ca="1">IFERROR(__xludf.DUMMYFUNCTION("""COMPUTED_VALUE"""),69.4)</f>
        <v>69.400000000000006</v>
      </c>
      <c r="N457" s="2">
        <f ca="1">IFERROR(__xludf.DUMMYFUNCTION("""COMPUTED_VALUE"""),65.81)</f>
        <v>65.81</v>
      </c>
      <c r="O457" s="2">
        <f ca="1">IFERROR(__xludf.DUMMYFUNCTION("""COMPUTED_VALUE"""),63.03)</f>
        <v>63.03</v>
      </c>
      <c r="P457" s="2">
        <f ca="1">IFERROR(__xludf.DUMMYFUNCTION("""COMPUTED_VALUE"""),59.62)</f>
        <v>59.62</v>
      </c>
      <c r="Q457" s="2">
        <f ca="1">IFERROR(__xludf.DUMMYFUNCTION("""COMPUTED_VALUE"""),61.86)</f>
        <v>61.86</v>
      </c>
    </row>
    <row r="458" spans="1:17" ht="15.75" customHeight="1" x14ac:dyDescent="0.25">
      <c r="A458" s="2">
        <v>8106</v>
      </c>
      <c r="B458" s="2" t="str">
        <f ca="1">IFERROR(__xludf.DUMMYFUNCTION("""COMPUTED_VALUE"""),"MALUKU")</f>
        <v>MALUKU</v>
      </c>
      <c r="C458" s="2" t="str">
        <f ca="1">IFERROR(__xludf.DUMMYFUNCTION("""COMPUTED_VALUE"""),"Seram Bagian Barat")</f>
        <v>Seram Bagian Barat</v>
      </c>
      <c r="D458" s="2">
        <f ca="1">IFERROR(__xludf.DUMMYFUNCTION("""COMPUTED_VALUE"""),7.29)</f>
        <v>7.29</v>
      </c>
      <c r="E458" s="2">
        <f ca="1">IFERROR(__xludf.DUMMYFUNCTION("""COMPUTED_VALUE"""),5.4)</f>
        <v>5.4</v>
      </c>
      <c r="F458" s="2">
        <f ca="1">IFERROR(__xludf.DUMMYFUNCTION("""COMPUTED_VALUE"""),5.47)</f>
        <v>5.47</v>
      </c>
      <c r="G458" s="2">
        <f ca="1">IFERROR(__xludf.DUMMYFUNCTION("""COMPUTED_VALUE"""),5.65)</f>
        <v>5.65</v>
      </c>
      <c r="H458" s="2">
        <f ca="1">IFERROR(__xludf.DUMMYFUNCTION("""COMPUTED_VALUE"""),5.45)</f>
        <v>5.45</v>
      </c>
      <c r="I458" s="2">
        <f ca="1">IFERROR(__xludf.DUMMYFUNCTION("""COMPUTED_VALUE"""),4.74)</f>
        <v>4.74</v>
      </c>
      <c r="J458" s="2">
        <f ca="1">IFERROR(__xludf.DUMMYFUNCTION("""COMPUTED_VALUE"""),4.52)</f>
        <v>4.5199999999999996</v>
      </c>
      <c r="K458" s="2">
        <f ca="1">IFERROR(__xludf.DUMMYFUNCTION("""COMPUTED_VALUE"""),68.48)</f>
        <v>68.48</v>
      </c>
      <c r="L458" s="2">
        <f ca="1">IFERROR(__xludf.DUMMYFUNCTION("""COMPUTED_VALUE"""),71.38)</f>
        <v>71.38</v>
      </c>
      <c r="M458" s="2">
        <f ca="1">IFERROR(__xludf.DUMMYFUNCTION("""COMPUTED_VALUE"""),71.86)</f>
        <v>71.86</v>
      </c>
      <c r="N458" s="2">
        <f ca="1">IFERROR(__xludf.DUMMYFUNCTION("""COMPUTED_VALUE"""),72.2)</f>
        <v>72.2</v>
      </c>
      <c r="O458" s="2">
        <f ca="1">IFERROR(__xludf.DUMMYFUNCTION("""COMPUTED_VALUE"""),68.13)</f>
        <v>68.13</v>
      </c>
      <c r="P458" s="2">
        <f ca="1">IFERROR(__xludf.DUMMYFUNCTION("""COMPUTED_VALUE"""),62.72)</f>
        <v>62.72</v>
      </c>
      <c r="Q458" s="2">
        <f ca="1">IFERROR(__xludf.DUMMYFUNCTION("""COMPUTED_VALUE"""),69.71)</f>
        <v>69.709999999999994</v>
      </c>
    </row>
    <row r="459" spans="1:17" ht="15.75" customHeight="1" x14ac:dyDescent="0.25">
      <c r="A459" s="2">
        <v>8107</v>
      </c>
      <c r="B459" s="2" t="str">
        <f ca="1">IFERROR(__xludf.DUMMYFUNCTION("""COMPUTED_VALUE"""),"MALUKU")</f>
        <v>MALUKU</v>
      </c>
      <c r="C459" s="2" t="str">
        <f ca="1">IFERROR(__xludf.DUMMYFUNCTION("""COMPUTED_VALUE"""),"Seram Bagian Timur")</f>
        <v>Seram Bagian Timur</v>
      </c>
      <c r="D459" s="2">
        <f ca="1">IFERROR(__xludf.DUMMYFUNCTION("""COMPUTED_VALUE"""),4.99)</f>
        <v>4.99</v>
      </c>
      <c r="E459" s="2">
        <f ca="1">IFERROR(__xludf.DUMMYFUNCTION("""COMPUTED_VALUE"""),3.36)</f>
        <v>3.36</v>
      </c>
      <c r="F459" s="2">
        <f ca="1">IFERROR(__xludf.DUMMYFUNCTION("""COMPUTED_VALUE"""),3.61)</f>
        <v>3.61</v>
      </c>
      <c r="G459" s="2">
        <f ca="1">IFERROR(__xludf.DUMMYFUNCTION("""COMPUTED_VALUE"""),3.88)</f>
        <v>3.88</v>
      </c>
      <c r="H459" s="2">
        <f ca="1">IFERROR(__xludf.DUMMYFUNCTION("""COMPUTED_VALUE"""),3.38)</f>
        <v>3.38</v>
      </c>
      <c r="I459" s="2">
        <f ca="1">IFERROR(__xludf.DUMMYFUNCTION("""COMPUTED_VALUE"""),3.31)</f>
        <v>3.31</v>
      </c>
      <c r="J459" s="2">
        <f ca="1">IFERROR(__xludf.DUMMYFUNCTION("""COMPUTED_VALUE"""),3.24)</f>
        <v>3.24</v>
      </c>
      <c r="K459" s="2">
        <f ca="1">IFERROR(__xludf.DUMMYFUNCTION("""COMPUTED_VALUE"""),63.23)</f>
        <v>63.23</v>
      </c>
      <c r="L459" s="2">
        <f ca="1">IFERROR(__xludf.DUMMYFUNCTION("""COMPUTED_VALUE"""),68.99)</f>
        <v>68.989999999999995</v>
      </c>
      <c r="M459" s="2">
        <f ca="1">IFERROR(__xludf.DUMMYFUNCTION("""COMPUTED_VALUE"""),68.12)</f>
        <v>68.12</v>
      </c>
      <c r="N459" s="2">
        <f ca="1">IFERROR(__xludf.DUMMYFUNCTION("""COMPUTED_VALUE"""),69.07)</f>
        <v>69.069999999999993</v>
      </c>
      <c r="O459" s="2">
        <f ca="1">IFERROR(__xludf.DUMMYFUNCTION("""COMPUTED_VALUE"""),65.38)</f>
        <v>65.38</v>
      </c>
      <c r="P459" s="2">
        <f ca="1">IFERROR(__xludf.DUMMYFUNCTION("""COMPUTED_VALUE"""),56.71)</f>
        <v>56.71</v>
      </c>
      <c r="Q459" s="2">
        <f ca="1">IFERROR(__xludf.DUMMYFUNCTION("""COMPUTED_VALUE"""),61.01)</f>
        <v>61.01</v>
      </c>
    </row>
    <row r="460" spans="1:17" ht="15.75" customHeight="1" x14ac:dyDescent="0.25">
      <c r="A460" s="2">
        <v>8108</v>
      </c>
      <c r="B460" s="2" t="str">
        <f ca="1">IFERROR(__xludf.DUMMYFUNCTION("""COMPUTED_VALUE"""),"MALUKU")</f>
        <v>MALUKU</v>
      </c>
      <c r="C460" s="2" t="str">
        <f ca="1">IFERROR(__xludf.DUMMYFUNCTION("""COMPUTED_VALUE"""),"Maluku Barat Daya")</f>
        <v>Maluku Barat Daya</v>
      </c>
      <c r="D460" s="2">
        <f ca="1">IFERROR(__xludf.DUMMYFUNCTION("""COMPUTED_VALUE"""),5.45)</f>
        <v>5.45</v>
      </c>
      <c r="E460" s="2">
        <f ca="1">IFERROR(__xludf.DUMMYFUNCTION("""COMPUTED_VALUE"""),3.75)</f>
        <v>3.75</v>
      </c>
      <c r="F460" s="2">
        <f ca="1">IFERROR(__xludf.DUMMYFUNCTION("""COMPUTED_VALUE"""),3.6)</f>
        <v>3.6</v>
      </c>
      <c r="G460" s="2">
        <f ca="1">IFERROR(__xludf.DUMMYFUNCTION("""COMPUTED_VALUE"""),1.8)</f>
        <v>1.8</v>
      </c>
      <c r="H460" s="2">
        <f ca="1">IFERROR(__xludf.DUMMYFUNCTION("""COMPUTED_VALUE"""),2.47)</f>
        <v>2.4700000000000002</v>
      </c>
      <c r="I460" s="2">
        <f ca="1">IFERROR(__xludf.DUMMYFUNCTION("""COMPUTED_VALUE"""),2.43)</f>
        <v>2.4300000000000002</v>
      </c>
      <c r="J460" s="2">
        <f ca="1">IFERROR(__xludf.DUMMYFUNCTION("""COMPUTED_VALUE"""),2.36)</f>
        <v>2.36</v>
      </c>
      <c r="K460" s="2">
        <f ca="1">IFERROR(__xludf.DUMMYFUNCTION("""COMPUTED_VALUE"""),74.45)</f>
        <v>74.45</v>
      </c>
      <c r="L460" s="2">
        <f ca="1">IFERROR(__xludf.DUMMYFUNCTION("""COMPUTED_VALUE"""),76.06)</f>
        <v>76.06</v>
      </c>
      <c r="M460" s="2">
        <f ca="1">IFERROR(__xludf.DUMMYFUNCTION("""COMPUTED_VALUE"""),70.75)</f>
        <v>70.75</v>
      </c>
      <c r="N460" s="2">
        <f ca="1">IFERROR(__xludf.DUMMYFUNCTION("""COMPUTED_VALUE"""),76.66)</f>
        <v>76.66</v>
      </c>
      <c r="O460" s="2">
        <f ca="1">IFERROR(__xludf.DUMMYFUNCTION("""COMPUTED_VALUE"""),72.4)</f>
        <v>72.400000000000006</v>
      </c>
      <c r="P460" s="2">
        <f ca="1">IFERROR(__xludf.DUMMYFUNCTION("""COMPUTED_VALUE"""),67.99)</f>
        <v>67.989999999999995</v>
      </c>
      <c r="Q460" s="2">
        <f ca="1">IFERROR(__xludf.DUMMYFUNCTION("""COMPUTED_VALUE"""),70.87)</f>
        <v>70.87</v>
      </c>
    </row>
    <row r="461" spans="1:17" ht="15.75" customHeight="1" x14ac:dyDescent="0.25">
      <c r="A461" s="2">
        <v>8109</v>
      </c>
      <c r="B461" s="2" t="str">
        <f ca="1">IFERROR(__xludf.DUMMYFUNCTION("""COMPUTED_VALUE"""),"MALUKU")</f>
        <v>MALUKU</v>
      </c>
      <c r="C461" s="2" t="str">
        <f ca="1">IFERROR(__xludf.DUMMYFUNCTION("""COMPUTED_VALUE"""),"Buru Selatan")</f>
        <v>Buru Selatan</v>
      </c>
      <c r="D461" s="2">
        <f ca="1">IFERROR(__xludf.DUMMYFUNCTION("""COMPUTED_VALUE"""),2.92)</f>
        <v>2.92</v>
      </c>
      <c r="E461" s="2">
        <f ca="1">IFERROR(__xludf.DUMMYFUNCTION("""COMPUTED_VALUE"""),2.38)</f>
        <v>2.38</v>
      </c>
      <c r="F461" s="2">
        <f ca="1">IFERROR(__xludf.DUMMYFUNCTION("""COMPUTED_VALUE"""),2.31)</f>
        <v>2.31</v>
      </c>
      <c r="G461" s="2">
        <f ca="1">IFERROR(__xludf.DUMMYFUNCTION("""COMPUTED_VALUE"""),1.63)</f>
        <v>1.63</v>
      </c>
      <c r="H461" s="2">
        <f ca="1">IFERROR(__xludf.DUMMYFUNCTION("""COMPUTED_VALUE"""),0.98)</f>
        <v>0.98</v>
      </c>
      <c r="I461" s="2">
        <f ca="1">IFERROR(__xludf.DUMMYFUNCTION("""COMPUTED_VALUE"""),0.97)</f>
        <v>0.97</v>
      </c>
      <c r="J461" s="2">
        <f ca="1">IFERROR(__xludf.DUMMYFUNCTION("""COMPUTED_VALUE"""),1.35)</f>
        <v>1.35</v>
      </c>
      <c r="K461" s="2">
        <f ca="1">IFERROR(__xludf.DUMMYFUNCTION("""COMPUTED_VALUE"""),70.5)</f>
        <v>70.5</v>
      </c>
      <c r="L461" s="2">
        <f ca="1">IFERROR(__xludf.DUMMYFUNCTION("""COMPUTED_VALUE"""),73.54)</f>
        <v>73.540000000000006</v>
      </c>
      <c r="M461" s="2">
        <f ca="1">IFERROR(__xludf.DUMMYFUNCTION("""COMPUTED_VALUE"""),73.99)</f>
        <v>73.989999999999995</v>
      </c>
      <c r="N461" s="2">
        <f ca="1">IFERROR(__xludf.DUMMYFUNCTION("""COMPUTED_VALUE"""),75.39)</f>
        <v>75.39</v>
      </c>
      <c r="O461" s="2">
        <f ca="1">IFERROR(__xludf.DUMMYFUNCTION("""COMPUTED_VALUE"""),74.82)</f>
        <v>74.819999999999993</v>
      </c>
      <c r="P461" s="2">
        <f ca="1">IFERROR(__xludf.DUMMYFUNCTION("""COMPUTED_VALUE"""),68.72)</f>
        <v>68.72</v>
      </c>
      <c r="Q461" s="2">
        <f ca="1">IFERROR(__xludf.DUMMYFUNCTION("""COMPUTED_VALUE"""),72.07)</f>
        <v>72.069999999999993</v>
      </c>
    </row>
    <row r="462" spans="1:17" ht="15.75" customHeight="1" x14ac:dyDescent="0.25">
      <c r="A462" s="2">
        <v>8171</v>
      </c>
      <c r="B462" s="2" t="str">
        <f ca="1">IFERROR(__xludf.DUMMYFUNCTION("""COMPUTED_VALUE"""),"MALUKU")</f>
        <v>MALUKU</v>
      </c>
      <c r="C462" s="10" t="s">
        <v>86</v>
      </c>
      <c r="D462" s="2">
        <f ca="1">IFERROR(__xludf.DUMMYFUNCTION("""COMPUTED_VALUE"""),12.22)</f>
        <v>12.22</v>
      </c>
      <c r="E462" s="2">
        <f ca="1">IFERROR(__xludf.DUMMYFUNCTION("""COMPUTED_VALUE"""),12.34)</f>
        <v>12.34</v>
      </c>
      <c r="F462" s="2">
        <f ca="1">IFERROR(__xludf.DUMMYFUNCTION("""COMPUTED_VALUE"""),12.84)</f>
        <v>12.84</v>
      </c>
      <c r="G462" s="2">
        <f ca="1">IFERROR(__xludf.DUMMYFUNCTION("""COMPUTED_VALUE"""),11.32)</f>
        <v>11.32</v>
      </c>
      <c r="H462" s="2">
        <f ca="1">IFERROR(__xludf.DUMMYFUNCTION("""COMPUTED_VALUE"""),11.67)</f>
        <v>11.67</v>
      </c>
      <c r="I462" s="2">
        <f ca="1">IFERROR(__xludf.DUMMYFUNCTION("""COMPUTED_VALUE"""),11.65)</f>
        <v>11.65</v>
      </c>
      <c r="J462" s="2">
        <f ca="1">IFERROR(__xludf.DUMMYFUNCTION("""COMPUTED_VALUE"""),11.44)</f>
        <v>11.44</v>
      </c>
      <c r="K462" s="2">
        <f ca="1">IFERROR(__xludf.DUMMYFUNCTION("""COMPUTED_VALUE"""),57.1)</f>
        <v>57.1</v>
      </c>
      <c r="L462" s="2">
        <f ca="1">IFERROR(__xludf.DUMMYFUNCTION("""COMPUTED_VALUE"""),58.72)</f>
        <v>58.72</v>
      </c>
      <c r="M462" s="2">
        <f ca="1">IFERROR(__xludf.DUMMYFUNCTION("""COMPUTED_VALUE"""),60.54)</f>
        <v>60.54</v>
      </c>
      <c r="N462" s="2">
        <f ca="1">IFERROR(__xludf.DUMMYFUNCTION("""COMPUTED_VALUE"""),61.56)</f>
        <v>61.56</v>
      </c>
      <c r="O462" s="2">
        <f ca="1">IFERROR(__xludf.DUMMYFUNCTION("""COMPUTED_VALUE"""),62.27)</f>
        <v>62.27</v>
      </c>
      <c r="P462" s="2">
        <f ca="1">IFERROR(__xludf.DUMMYFUNCTION("""COMPUTED_VALUE"""),65.8)</f>
        <v>65.8</v>
      </c>
      <c r="Q462" s="2">
        <f ca="1">IFERROR(__xludf.DUMMYFUNCTION("""COMPUTED_VALUE"""),66.54)</f>
        <v>66.540000000000006</v>
      </c>
    </row>
    <row r="463" spans="1:17" ht="15.75" customHeight="1" x14ac:dyDescent="0.25">
      <c r="A463" s="2">
        <v>8172</v>
      </c>
      <c r="B463" s="2" t="str">
        <f ca="1">IFERROR(__xludf.DUMMYFUNCTION("""COMPUTED_VALUE"""),"MALUKU")</f>
        <v>MALUKU</v>
      </c>
      <c r="C463" s="10" t="s">
        <v>91</v>
      </c>
      <c r="D463" s="2">
        <f ca="1">IFERROR(__xludf.DUMMYFUNCTION("""COMPUTED_VALUE"""),10.91)</f>
        <v>10.91</v>
      </c>
      <c r="E463" s="2">
        <f ca="1">IFERROR(__xludf.DUMMYFUNCTION("""COMPUTED_VALUE"""),9.3)</f>
        <v>9.3000000000000007</v>
      </c>
      <c r="F463" s="2">
        <f ca="1">IFERROR(__xludf.DUMMYFUNCTION("""COMPUTED_VALUE"""),8.7)</f>
        <v>8.6999999999999993</v>
      </c>
      <c r="G463" s="2">
        <f ca="1">IFERROR(__xludf.DUMMYFUNCTION("""COMPUTED_VALUE"""),8.71)</f>
        <v>8.7100000000000009</v>
      </c>
      <c r="H463" s="2">
        <f ca="1">IFERROR(__xludf.DUMMYFUNCTION("""COMPUTED_VALUE"""),9.07)</f>
        <v>9.07</v>
      </c>
      <c r="I463" s="2">
        <f ca="1">IFERROR(__xludf.DUMMYFUNCTION("""COMPUTED_VALUE"""),8.98)</f>
        <v>8.98</v>
      </c>
      <c r="J463" s="2">
        <f ca="1">IFERROR(__xludf.DUMMYFUNCTION("""COMPUTED_VALUE"""),8.68)</f>
        <v>8.68</v>
      </c>
      <c r="K463" s="2">
        <f ca="1">IFERROR(__xludf.DUMMYFUNCTION("""COMPUTED_VALUE"""),58.79)</f>
        <v>58.79</v>
      </c>
      <c r="L463" s="2">
        <f ca="1">IFERROR(__xludf.DUMMYFUNCTION("""COMPUTED_VALUE"""),57)</f>
        <v>57</v>
      </c>
      <c r="M463" s="2">
        <f ca="1">IFERROR(__xludf.DUMMYFUNCTION("""COMPUTED_VALUE"""),62.04)</f>
        <v>62.04</v>
      </c>
      <c r="N463" s="2">
        <f ca="1">IFERROR(__xludf.DUMMYFUNCTION("""COMPUTED_VALUE"""),60.61)</f>
        <v>60.61</v>
      </c>
      <c r="O463" s="2">
        <f ca="1">IFERROR(__xludf.DUMMYFUNCTION("""COMPUTED_VALUE"""),59.21)</f>
        <v>59.21</v>
      </c>
      <c r="P463" s="2">
        <f ca="1">IFERROR(__xludf.DUMMYFUNCTION("""COMPUTED_VALUE"""),55.48)</f>
        <v>55.48</v>
      </c>
      <c r="Q463" s="2">
        <f ca="1">IFERROR(__xludf.DUMMYFUNCTION("""COMPUTED_VALUE"""),60.8)</f>
        <v>60.8</v>
      </c>
    </row>
    <row r="464" spans="1:17" ht="15.75" customHeight="1" x14ac:dyDescent="0.25">
      <c r="A464" s="2">
        <v>8201</v>
      </c>
      <c r="B464" s="2" t="str">
        <f ca="1">IFERROR(__xludf.DUMMYFUNCTION("""COMPUTED_VALUE"""),"MALUKU UTARA")</f>
        <v>MALUKU UTARA</v>
      </c>
      <c r="C464" s="2" t="str">
        <f ca="1">IFERROR(__xludf.DUMMYFUNCTION("""COMPUTED_VALUE"""),"Halmahera Barat")</f>
        <v>Halmahera Barat</v>
      </c>
      <c r="D464" s="2">
        <f ca="1">IFERROR(__xludf.DUMMYFUNCTION("""COMPUTED_VALUE"""),3.26)</f>
        <v>3.26</v>
      </c>
      <c r="E464" s="2">
        <f ca="1">IFERROR(__xludf.DUMMYFUNCTION("""COMPUTED_VALUE"""),3.39)</f>
        <v>3.39</v>
      </c>
      <c r="F464" s="2">
        <f ca="1">IFERROR(__xludf.DUMMYFUNCTION("""COMPUTED_VALUE"""),3.26)</f>
        <v>3.26</v>
      </c>
      <c r="G464" s="2">
        <f ca="1">IFERROR(__xludf.DUMMYFUNCTION("""COMPUTED_VALUE"""),3.26)</f>
        <v>3.26</v>
      </c>
      <c r="H464" s="2">
        <f ca="1">IFERROR(__xludf.DUMMYFUNCTION("""COMPUTED_VALUE"""),3.45)</f>
        <v>3.45</v>
      </c>
      <c r="I464" s="2">
        <f ca="1">IFERROR(__xludf.DUMMYFUNCTION("""COMPUTED_VALUE"""),3.77)</f>
        <v>3.77</v>
      </c>
      <c r="J464" s="2">
        <f ca="1">IFERROR(__xludf.DUMMYFUNCTION("""COMPUTED_VALUE"""),3.53)</f>
        <v>3.53</v>
      </c>
      <c r="K464" s="2">
        <f ca="1">IFERROR(__xludf.DUMMYFUNCTION("""COMPUTED_VALUE"""),65.73)</f>
        <v>65.73</v>
      </c>
      <c r="L464" s="2">
        <f ca="1">IFERROR(__xludf.DUMMYFUNCTION("""COMPUTED_VALUE"""),63.58)</f>
        <v>63.58</v>
      </c>
      <c r="M464" s="2">
        <f ca="1">IFERROR(__xludf.DUMMYFUNCTION("""COMPUTED_VALUE"""),64.66)</f>
        <v>64.66</v>
      </c>
      <c r="N464" s="2">
        <f ca="1">IFERROR(__xludf.DUMMYFUNCTION("""COMPUTED_VALUE"""),64.88)</f>
        <v>64.88</v>
      </c>
      <c r="O464" s="2">
        <f ca="1">IFERROR(__xludf.DUMMYFUNCTION("""COMPUTED_VALUE"""),70.21)</f>
        <v>70.209999999999994</v>
      </c>
      <c r="P464" s="2">
        <f ca="1">IFERROR(__xludf.DUMMYFUNCTION("""COMPUTED_VALUE"""),68.09)</f>
        <v>68.09</v>
      </c>
      <c r="Q464" s="2"/>
    </row>
    <row r="465" spans="1:17" ht="15.75" customHeight="1" x14ac:dyDescent="0.25">
      <c r="A465" s="2">
        <v>8202</v>
      </c>
      <c r="B465" s="2" t="str">
        <f ca="1">IFERROR(__xludf.DUMMYFUNCTION("""COMPUTED_VALUE"""),"MALUKU UTARA")</f>
        <v>MALUKU UTARA</v>
      </c>
      <c r="C465" s="2" t="str">
        <f ca="1">IFERROR(__xludf.DUMMYFUNCTION("""COMPUTED_VALUE"""),"Halmahera Tengah")</f>
        <v>Halmahera Tengah</v>
      </c>
      <c r="D465" s="2">
        <f ca="1">IFERROR(__xludf.DUMMYFUNCTION("""COMPUTED_VALUE"""),4.59)</f>
        <v>4.59</v>
      </c>
      <c r="E465" s="2">
        <f ca="1">IFERROR(__xludf.DUMMYFUNCTION("""COMPUTED_VALUE"""),4.1)</f>
        <v>4.0999999999999996</v>
      </c>
      <c r="F465" s="2">
        <f ca="1">IFERROR(__xludf.DUMMYFUNCTION("""COMPUTED_VALUE"""),6.74)</f>
        <v>6.74</v>
      </c>
      <c r="G465" s="2">
        <f ca="1">IFERROR(__xludf.DUMMYFUNCTION("""COMPUTED_VALUE"""),4.23)</f>
        <v>4.2300000000000004</v>
      </c>
      <c r="H465" s="2">
        <f ca="1">IFERROR(__xludf.DUMMYFUNCTION("""COMPUTED_VALUE"""),3.06)</f>
        <v>3.06</v>
      </c>
      <c r="I465" s="2">
        <f ca="1">IFERROR(__xludf.DUMMYFUNCTION("""COMPUTED_VALUE"""),3.95)</f>
        <v>3.95</v>
      </c>
      <c r="J465" s="2">
        <f ca="1">IFERROR(__xludf.DUMMYFUNCTION("""COMPUTED_VALUE"""),3.43)</f>
        <v>3.43</v>
      </c>
      <c r="K465" s="2">
        <f ca="1">IFERROR(__xludf.DUMMYFUNCTION("""COMPUTED_VALUE"""),65.76)</f>
        <v>65.760000000000005</v>
      </c>
      <c r="L465" s="2">
        <f ca="1">IFERROR(__xludf.DUMMYFUNCTION("""COMPUTED_VALUE"""),65.7)</f>
        <v>65.7</v>
      </c>
      <c r="M465" s="2">
        <f ca="1">IFERROR(__xludf.DUMMYFUNCTION("""COMPUTED_VALUE"""),68.77)</f>
        <v>68.77</v>
      </c>
      <c r="N465" s="2">
        <f ca="1">IFERROR(__xludf.DUMMYFUNCTION("""COMPUTED_VALUE"""),63.02)</f>
        <v>63.02</v>
      </c>
      <c r="O465" s="2">
        <f ca="1">IFERROR(__xludf.DUMMYFUNCTION("""COMPUTED_VALUE"""),70.81)</f>
        <v>70.81</v>
      </c>
      <c r="P465" s="2">
        <f ca="1">IFERROR(__xludf.DUMMYFUNCTION("""COMPUTED_VALUE"""),70.77)</f>
        <v>70.77</v>
      </c>
      <c r="Q465" s="2"/>
    </row>
    <row r="466" spans="1:17" ht="15.75" customHeight="1" x14ac:dyDescent="0.25">
      <c r="A466" s="2">
        <v>8203</v>
      </c>
      <c r="B466" s="2" t="str">
        <f ca="1">IFERROR(__xludf.DUMMYFUNCTION("""COMPUTED_VALUE"""),"MALUKU UTARA")</f>
        <v>MALUKU UTARA</v>
      </c>
      <c r="C466" s="2" t="str">
        <f ca="1">IFERROR(__xludf.DUMMYFUNCTION("""COMPUTED_VALUE"""),"Kepulauan Sula")</f>
        <v>Kepulauan Sula</v>
      </c>
      <c r="D466" s="2">
        <f ca="1">IFERROR(__xludf.DUMMYFUNCTION("""COMPUTED_VALUE"""),5.34)</f>
        <v>5.34</v>
      </c>
      <c r="E466" s="2">
        <f ca="1">IFERROR(__xludf.DUMMYFUNCTION("""COMPUTED_VALUE"""),4.93)</f>
        <v>4.93</v>
      </c>
      <c r="F466" s="2">
        <f ca="1">IFERROR(__xludf.DUMMYFUNCTION("""COMPUTED_VALUE"""),4.9)</f>
        <v>4.9000000000000004</v>
      </c>
      <c r="G466" s="2">
        <f ca="1">IFERROR(__xludf.DUMMYFUNCTION("""COMPUTED_VALUE"""),2.78)</f>
        <v>2.78</v>
      </c>
      <c r="H466" s="2">
        <f ca="1">IFERROR(__xludf.DUMMYFUNCTION("""COMPUTED_VALUE"""),2.1)</f>
        <v>2.1</v>
      </c>
      <c r="I466" s="2">
        <f ca="1">IFERROR(__xludf.DUMMYFUNCTION("""COMPUTED_VALUE"""),2.67)</f>
        <v>2.67</v>
      </c>
      <c r="J466" s="2">
        <f ca="1">IFERROR(__xludf.DUMMYFUNCTION("""COMPUTED_VALUE"""),2.57)</f>
        <v>2.57</v>
      </c>
      <c r="K466" s="2">
        <f ca="1">IFERROR(__xludf.DUMMYFUNCTION("""COMPUTED_VALUE"""),65.23)</f>
        <v>65.23</v>
      </c>
      <c r="L466" s="2">
        <f ca="1">IFERROR(__xludf.DUMMYFUNCTION("""COMPUTED_VALUE"""),65.26)</f>
        <v>65.260000000000005</v>
      </c>
      <c r="M466" s="2">
        <f ca="1">IFERROR(__xludf.DUMMYFUNCTION("""COMPUTED_VALUE"""),59.44)</f>
        <v>59.44</v>
      </c>
      <c r="N466" s="2">
        <f ca="1">IFERROR(__xludf.DUMMYFUNCTION("""COMPUTED_VALUE"""),63.76)</f>
        <v>63.76</v>
      </c>
      <c r="O466" s="2">
        <f ca="1">IFERROR(__xludf.DUMMYFUNCTION("""COMPUTED_VALUE"""),58.29)</f>
        <v>58.29</v>
      </c>
      <c r="P466" s="2">
        <f ca="1">IFERROR(__xludf.DUMMYFUNCTION("""COMPUTED_VALUE"""),62.38)</f>
        <v>62.38</v>
      </c>
      <c r="Q466" s="2"/>
    </row>
    <row r="467" spans="1:17" ht="15.75" customHeight="1" x14ac:dyDescent="0.25">
      <c r="A467" s="2">
        <v>8204</v>
      </c>
      <c r="B467" s="2" t="str">
        <f ca="1">IFERROR(__xludf.DUMMYFUNCTION("""COMPUTED_VALUE"""),"MALUKU UTARA")</f>
        <v>MALUKU UTARA</v>
      </c>
      <c r="C467" s="2" t="str">
        <f ca="1">IFERROR(__xludf.DUMMYFUNCTION("""COMPUTED_VALUE"""),"Halmahera Selatan")</f>
        <v>Halmahera Selatan</v>
      </c>
      <c r="D467" s="2">
        <f ca="1">IFERROR(__xludf.DUMMYFUNCTION("""COMPUTED_VALUE"""),4.08)</f>
        <v>4.08</v>
      </c>
      <c r="E467" s="2">
        <f ca="1">IFERROR(__xludf.DUMMYFUNCTION("""COMPUTED_VALUE"""),4.58)</f>
        <v>4.58</v>
      </c>
      <c r="F467" s="2">
        <f ca="1">IFERROR(__xludf.DUMMYFUNCTION("""COMPUTED_VALUE"""),4.4)</f>
        <v>4.4000000000000004</v>
      </c>
      <c r="G467" s="2">
        <f ca="1">IFERROR(__xludf.DUMMYFUNCTION("""COMPUTED_VALUE"""),1.94)</f>
        <v>1.94</v>
      </c>
      <c r="H467" s="2">
        <f ca="1">IFERROR(__xludf.DUMMYFUNCTION("""COMPUTED_VALUE"""),1.51)</f>
        <v>1.51</v>
      </c>
      <c r="I467" s="2">
        <f ca="1">IFERROR(__xludf.DUMMYFUNCTION("""COMPUTED_VALUE"""),2.44)</f>
        <v>2.44</v>
      </c>
      <c r="J467" s="2">
        <f ca="1">IFERROR(__xludf.DUMMYFUNCTION("""COMPUTED_VALUE"""),2)</f>
        <v>2</v>
      </c>
      <c r="K467" s="2">
        <f ca="1">IFERROR(__xludf.DUMMYFUNCTION("""COMPUTED_VALUE"""),73.1)</f>
        <v>73.099999999999994</v>
      </c>
      <c r="L467" s="2">
        <f ca="1">IFERROR(__xludf.DUMMYFUNCTION("""COMPUTED_VALUE"""),70.15)</f>
        <v>70.150000000000006</v>
      </c>
      <c r="M467" s="2">
        <f ca="1">IFERROR(__xludf.DUMMYFUNCTION("""COMPUTED_VALUE"""),68.25)</f>
        <v>68.25</v>
      </c>
      <c r="N467" s="2">
        <f ca="1">IFERROR(__xludf.DUMMYFUNCTION("""COMPUTED_VALUE"""),68.87)</f>
        <v>68.87</v>
      </c>
      <c r="O467" s="2">
        <f ca="1">IFERROR(__xludf.DUMMYFUNCTION("""COMPUTED_VALUE"""),67.43)</f>
        <v>67.430000000000007</v>
      </c>
      <c r="P467" s="2">
        <f ca="1">IFERROR(__xludf.DUMMYFUNCTION("""COMPUTED_VALUE"""),73.24)</f>
        <v>73.239999999999995</v>
      </c>
      <c r="Q467" s="2"/>
    </row>
    <row r="468" spans="1:17" ht="15.75" customHeight="1" x14ac:dyDescent="0.25">
      <c r="A468" s="2">
        <v>8205</v>
      </c>
      <c r="B468" s="2" t="str">
        <f ca="1">IFERROR(__xludf.DUMMYFUNCTION("""COMPUTED_VALUE"""),"MALUKU UTARA")</f>
        <v>MALUKU UTARA</v>
      </c>
      <c r="C468" s="2" t="str">
        <f ca="1">IFERROR(__xludf.DUMMYFUNCTION("""COMPUTED_VALUE"""),"Halmahera Utara")</f>
        <v>Halmahera Utara</v>
      </c>
      <c r="D468" s="2">
        <f ca="1">IFERROR(__xludf.DUMMYFUNCTION("""COMPUTED_VALUE"""),5.01)</f>
        <v>5.01</v>
      </c>
      <c r="E468" s="2">
        <f ca="1">IFERROR(__xludf.DUMMYFUNCTION("""COMPUTED_VALUE"""),5.89)</f>
        <v>5.89</v>
      </c>
      <c r="F468" s="2">
        <f ca="1">IFERROR(__xludf.DUMMYFUNCTION("""COMPUTED_VALUE"""),6.49)</f>
        <v>6.49</v>
      </c>
      <c r="G468" s="2">
        <f ca="1">IFERROR(__xludf.DUMMYFUNCTION("""COMPUTED_VALUE"""),8.01)</f>
        <v>8.01</v>
      </c>
      <c r="H468" s="2">
        <f ca="1">IFERROR(__xludf.DUMMYFUNCTION("""COMPUTED_VALUE"""),6.06)</f>
        <v>6.06</v>
      </c>
      <c r="I468" s="2">
        <f ca="1">IFERROR(__xludf.DUMMYFUNCTION("""COMPUTED_VALUE"""),6.53)</f>
        <v>6.53</v>
      </c>
      <c r="J468" s="2">
        <f ca="1">IFERROR(__xludf.DUMMYFUNCTION("""COMPUTED_VALUE"""),6.2)</f>
        <v>6.2</v>
      </c>
      <c r="K468" s="2">
        <f ca="1">IFERROR(__xludf.DUMMYFUNCTION("""COMPUTED_VALUE"""),62.37)</f>
        <v>62.37</v>
      </c>
      <c r="L468" s="2">
        <f ca="1">IFERROR(__xludf.DUMMYFUNCTION("""COMPUTED_VALUE"""),59.23)</f>
        <v>59.23</v>
      </c>
      <c r="M468" s="2">
        <f ca="1">IFERROR(__xludf.DUMMYFUNCTION("""COMPUTED_VALUE"""),61.98)</f>
        <v>61.98</v>
      </c>
      <c r="N468" s="2">
        <f ca="1">IFERROR(__xludf.DUMMYFUNCTION("""COMPUTED_VALUE"""),64.39)</f>
        <v>64.39</v>
      </c>
      <c r="O468" s="2">
        <f ca="1">IFERROR(__xludf.DUMMYFUNCTION("""COMPUTED_VALUE"""),66.88)</f>
        <v>66.88</v>
      </c>
      <c r="P468" s="2">
        <f ca="1">IFERROR(__xludf.DUMMYFUNCTION("""COMPUTED_VALUE"""),69.86)</f>
        <v>69.86</v>
      </c>
      <c r="Q468" s="2"/>
    </row>
    <row r="469" spans="1:17" ht="15.75" customHeight="1" x14ac:dyDescent="0.25">
      <c r="A469" s="2">
        <v>8206</v>
      </c>
      <c r="B469" s="2" t="str">
        <f ca="1">IFERROR(__xludf.DUMMYFUNCTION("""COMPUTED_VALUE"""),"MALUKU UTARA")</f>
        <v>MALUKU UTARA</v>
      </c>
      <c r="C469" s="2" t="str">
        <f ca="1">IFERROR(__xludf.DUMMYFUNCTION("""COMPUTED_VALUE"""),"Halmahera Timur")</f>
        <v>Halmahera Timur</v>
      </c>
      <c r="D469" s="2">
        <f ca="1">IFERROR(__xludf.DUMMYFUNCTION("""COMPUTED_VALUE"""),3.58)</f>
        <v>3.58</v>
      </c>
      <c r="E469" s="2">
        <f ca="1">IFERROR(__xludf.DUMMYFUNCTION("""COMPUTED_VALUE"""),4.48)</f>
        <v>4.4800000000000004</v>
      </c>
      <c r="F469" s="2">
        <f ca="1">IFERROR(__xludf.DUMMYFUNCTION("""COMPUTED_VALUE"""),5.21)</f>
        <v>5.21</v>
      </c>
      <c r="G469" s="2">
        <f ca="1">IFERROR(__xludf.DUMMYFUNCTION("""COMPUTED_VALUE"""),6.78)</f>
        <v>6.78</v>
      </c>
      <c r="H469" s="2">
        <f ca="1">IFERROR(__xludf.DUMMYFUNCTION("""COMPUTED_VALUE"""),5.2)</f>
        <v>5.2</v>
      </c>
      <c r="I469" s="2">
        <f ca="1">IFERROR(__xludf.DUMMYFUNCTION("""COMPUTED_VALUE"""),4.66)</f>
        <v>4.66</v>
      </c>
      <c r="J469" s="2">
        <f ca="1">IFERROR(__xludf.DUMMYFUNCTION("""COMPUTED_VALUE"""),4.32)</f>
        <v>4.32</v>
      </c>
      <c r="K469" s="2">
        <f ca="1">IFERROR(__xludf.DUMMYFUNCTION("""COMPUTED_VALUE"""),73.8)</f>
        <v>73.8</v>
      </c>
      <c r="L469" s="2">
        <f ca="1">IFERROR(__xludf.DUMMYFUNCTION("""COMPUTED_VALUE"""),67.52)</f>
        <v>67.52</v>
      </c>
      <c r="M469" s="2">
        <f ca="1">IFERROR(__xludf.DUMMYFUNCTION("""COMPUTED_VALUE"""),66.18)</f>
        <v>66.180000000000007</v>
      </c>
      <c r="N469" s="2">
        <f ca="1">IFERROR(__xludf.DUMMYFUNCTION("""COMPUTED_VALUE"""),64.8)</f>
        <v>64.8</v>
      </c>
      <c r="O469" s="2">
        <f ca="1">IFERROR(__xludf.DUMMYFUNCTION("""COMPUTED_VALUE"""),68.08)</f>
        <v>68.08</v>
      </c>
      <c r="P469" s="2">
        <f ca="1">IFERROR(__xludf.DUMMYFUNCTION("""COMPUTED_VALUE"""),70.55)</f>
        <v>70.55</v>
      </c>
      <c r="Q469" s="2"/>
    </row>
    <row r="470" spans="1:17" ht="15.75" customHeight="1" x14ac:dyDescent="0.25">
      <c r="A470" s="2">
        <v>8207</v>
      </c>
      <c r="B470" s="2" t="str">
        <f ca="1">IFERROR(__xludf.DUMMYFUNCTION("""COMPUTED_VALUE"""),"MALUKU UTARA")</f>
        <v>MALUKU UTARA</v>
      </c>
      <c r="C470" s="2" t="str">
        <f ca="1">IFERROR(__xludf.DUMMYFUNCTION("""COMPUTED_VALUE"""),"Pulau Morotai")</f>
        <v>Pulau Morotai</v>
      </c>
      <c r="D470" s="2">
        <f ca="1">IFERROR(__xludf.DUMMYFUNCTION("""COMPUTED_VALUE"""),5.98)</f>
        <v>5.98</v>
      </c>
      <c r="E470" s="2">
        <f ca="1">IFERROR(__xludf.DUMMYFUNCTION("""COMPUTED_VALUE"""),4.92)</f>
        <v>4.92</v>
      </c>
      <c r="F470" s="2">
        <f ca="1">IFERROR(__xludf.DUMMYFUNCTION("""COMPUTED_VALUE"""),4.7)</f>
        <v>4.7</v>
      </c>
      <c r="G470" s="2">
        <f ca="1">IFERROR(__xludf.DUMMYFUNCTION("""COMPUTED_VALUE"""),6.27)</f>
        <v>6.27</v>
      </c>
      <c r="H470" s="2">
        <f ca="1">IFERROR(__xludf.DUMMYFUNCTION("""COMPUTED_VALUE"""),4.35)</f>
        <v>4.3499999999999996</v>
      </c>
      <c r="I470" s="2">
        <f ca="1">IFERROR(__xludf.DUMMYFUNCTION("""COMPUTED_VALUE"""),4.56)</f>
        <v>4.5599999999999996</v>
      </c>
      <c r="J470" s="2">
        <f ca="1">IFERROR(__xludf.DUMMYFUNCTION("""COMPUTED_VALUE"""),4.21)</f>
        <v>4.21</v>
      </c>
      <c r="K470" s="2">
        <f ca="1">IFERROR(__xludf.DUMMYFUNCTION("""COMPUTED_VALUE"""),62.64)</f>
        <v>62.64</v>
      </c>
      <c r="L470" s="2">
        <f ca="1">IFERROR(__xludf.DUMMYFUNCTION("""COMPUTED_VALUE"""),67.34)</f>
        <v>67.34</v>
      </c>
      <c r="M470" s="2">
        <f ca="1">IFERROR(__xludf.DUMMYFUNCTION("""COMPUTED_VALUE"""),63.54)</f>
        <v>63.54</v>
      </c>
      <c r="N470" s="2">
        <f ca="1">IFERROR(__xludf.DUMMYFUNCTION("""COMPUTED_VALUE"""),67.71)</f>
        <v>67.709999999999994</v>
      </c>
      <c r="O470" s="2">
        <f ca="1">IFERROR(__xludf.DUMMYFUNCTION("""COMPUTED_VALUE"""),65.93)</f>
        <v>65.930000000000007</v>
      </c>
      <c r="P470" s="2">
        <f ca="1">IFERROR(__xludf.DUMMYFUNCTION("""COMPUTED_VALUE"""),64.72)</f>
        <v>64.72</v>
      </c>
      <c r="Q470" s="2"/>
    </row>
    <row r="471" spans="1:17" ht="15.75" customHeight="1" x14ac:dyDescent="0.25">
      <c r="A471" s="2">
        <v>8208</v>
      </c>
      <c r="B471" s="2" t="str">
        <f ca="1">IFERROR(__xludf.DUMMYFUNCTION("""COMPUTED_VALUE"""),"MALUKU UTARA")</f>
        <v>MALUKU UTARA</v>
      </c>
      <c r="C471" s="2" t="str">
        <f ca="1">IFERROR(__xludf.DUMMYFUNCTION("""COMPUTED_VALUE"""),"Pulau Taliabu")</f>
        <v>Pulau Taliabu</v>
      </c>
      <c r="D471" s="2">
        <f ca="1">IFERROR(__xludf.DUMMYFUNCTION("""COMPUTED_VALUE"""),5.48)</f>
        <v>5.48</v>
      </c>
      <c r="E471" s="2">
        <f ca="1">IFERROR(__xludf.DUMMYFUNCTION("""COMPUTED_VALUE"""),4.79)</f>
        <v>4.79</v>
      </c>
      <c r="F471" s="2">
        <f ca="1">IFERROR(__xludf.DUMMYFUNCTION("""COMPUTED_VALUE"""),4.75)</f>
        <v>4.75</v>
      </c>
      <c r="G471" s="2">
        <f ca="1">IFERROR(__xludf.DUMMYFUNCTION("""COMPUTED_VALUE"""),6.1)</f>
        <v>6.1</v>
      </c>
      <c r="H471" s="2">
        <f ca="1">IFERROR(__xludf.DUMMYFUNCTION("""COMPUTED_VALUE"""),4.17)</f>
        <v>4.17</v>
      </c>
      <c r="I471" s="2">
        <f ca="1">IFERROR(__xludf.DUMMYFUNCTION("""COMPUTED_VALUE"""),3.15)</f>
        <v>3.15</v>
      </c>
      <c r="J471" s="2">
        <f ca="1">IFERROR(__xludf.DUMMYFUNCTION("""COMPUTED_VALUE"""),2.86)</f>
        <v>2.86</v>
      </c>
      <c r="K471" s="2">
        <f ca="1">IFERROR(__xludf.DUMMYFUNCTION("""COMPUTED_VALUE"""),74.23)</f>
        <v>74.23</v>
      </c>
      <c r="L471" s="2">
        <f ca="1">IFERROR(__xludf.DUMMYFUNCTION("""COMPUTED_VALUE"""),75.02)</f>
        <v>75.02</v>
      </c>
      <c r="M471" s="2">
        <f ca="1">IFERROR(__xludf.DUMMYFUNCTION("""COMPUTED_VALUE"""),72.65)</f>
        <v>72.650000000000006</v>
      </c>
      <c r="N471" s="2">
        <f ca="1">IFERROR(__xludf.DUMMYFUNCTION("""COMPUTED_VALUE"""),69.23)</f>
        <v>69.23</v>
      </c>
      <c r="O471" s="2">
        <f ca="1">IFERROR(__xludf.DUMMYFUNCTION("""COMPUTED_VALUE"""),61.56)</f>
        <v>61.56</v>
      </c>
      <c r="P471" s="2">
        <f ca="1">IFERROR(__xludf.DUMMYFUNCTION("""COMPUTED_VALUE"""),63.11)</f>
        <v>63.11</v>
      </c>
      <c r="Q471" s="2"/>
    </row>
    <row r="472" spans="1:17" ht="15.75" customHeight="1" x14ac:dyDescent="0.25">
      <c r="A472" s="2">
        <v>8271</v>
      </c>
      <c r="B472" s="2" t="str">
        <f ca="1">IFERROR(__xludf.DUMMYFUNCTION("""COMPUTED_VALUE"""),"MALUKU UTARA")</f>
        <v>MALUKU UTARA</v>
      </c>
      <c r="C472" s="10" t="s">
        <v>87</v>
      </c>
      <c r="D472" s="2">
        <f ca="1">IFERROR(__xludf.DUMMYFUNCTION("""COMPUTED_VALUE"""),5.91)</f>
        <v>5.91</v>
      </c>
      <c r="E472" s="2">
        <f ca="1">IFERROR(__xludf.DUMMYFUNCTION("""COMPUTED_VALUE"""),6.06)</f>
        <v>6.06</v>
      </c>
      <c r="F472" s="2">
        <f ca="1">IFERROR(__xludf.DUMMYFUNCTION("""COMPUTED_VALUE"""),5.8)</f>
        <v>5.8</v>
      </c>
      <c r="G472" s="2">
        <f ca="1">IFERROR(__xludf.DUMMYFUNCTION("""COMPUTED_VALUE"""),5.7)</f>
        <v>5.7</v>
      </c>
      <c r="H472" s="2">
        <f ca="1">IFERROR(__xludf.DUMMYFUNCTION("""COMPUTED_VALUE"""),5.77)</f>
        <v>5.77</v>
      </c>
      <c r="I472" s="2">
        <f ca="1">IFERROR(__xludf.DUMMYFUNCTION("""COMPUTED_VALUE"""),6.62)</f>
        <v>6.62</v>
      </c>
      <c r="J472" s="2">
        <f ca="1">IFERROR(__xludf.DUMMYFUNCTION("""COMPUTED_VALUE"""),6.42)</f>
        <v>6.42</v>
      </c>
      <c r="K472" s="2">
        <f ca="1">IFERROR(__xludf.DUMMYFUNCTION("""COMPUTED_VALUE"""),58.03)</f>
        <v>58.03</v>
      </c>
      <c r="L472" s="2">
        <f ca="1">IFERROR(__xludf.DUMMYFUNCTION("""COMPUTED_VALUE"""),61.73)</f>
        <v>61.73</v>
      </c>
      <c r="M472" s="2">
        <f ca="1">IFERROR(__xludf.DUMMYFUNCTION("""COMPUTED_VALUE"""),59.88)</f>
        <v>59.88</v>
      </c>
      <c r="N472" s="2">
        <f ca="1">IFERROR(__xludf.DUMMYFUNCTION("""COMPUTED_VALUE"""),59.58)</f>
        <v>59.58</v>
      </c>
      <c r="O472" s="2">
        <f ca="1">IFERROR(__xludf.DUMMYFUNCTION("""COMPUTED_VALUE"""),58.9)</f>
        <v>58.9</v>
      </c>
      <c r="P472" s="2">
        <f ca="1">IFERROR(__xludf.DUMMYFUNCTION("""COMPUTED_VALUE"""),61.2)</f>
        <v>61.2</v>
      </c>
      <c r="Q472" s="2"/>
    </row>
    <row r="473" spans="1:17" ht="15.75" customHeight="1" x14ac:dyDescent="0.25">
      <c r="A473" s="2">
        <v>8272</v>
      </c>
      <c r="B473" s="2" t="str">
        <f ca="1">IFERROR(__xludf.DUMMYFUNCTION("""COMPUTED_VALUE"""),"MALUKU UTARA")</f>
        <v>MALUKU UTARA</v>
      </c>
      <c r="C473" s="2" t="s">
        <v>37</v>
      </c>
      <c r="D473" s="2">
        <f ca="1">IFERROR(__xludf.DUMMYFUNCTION("""COMPUTED_VALUE"""),4.97)</f>
        <v>4.97</v>
      </c>
      <c r="E473" s="2">
        <f ca="1">IFERROR(__xludf.DUMMYFUNCTION("""COMPUTED_VALUE"""),4.65)</f>
        <v>4.6500000000000004</v>
      </c>
      <c r="F473" s="2">
        <f ca="1">IFERROR(__xludf.DUMMYFUNCTION("""COMPUTED_VALUE"""),4.95)</f>
        <v>4.95</v>
      </c>
      <c r="G473" s="2">
        <f ca="1">IFERROR(__xludf.DUMMYFUNCTION("""COMPUTED_VALUE"""),2.81)</f>
        <v>2.81</v>
      </c>
      <c r="H473" s="2">
        <f ca="1">IFERROR(__xludf.DUMMYFUNCTION("""COMPUTED_VALUE"""),2.85)</f>
        <v>2.85</v>
      </c>
      <c r="I473" s="2">
        <f ca="1">IFERROR(__xludf.DUMMYFUNCTION("""COMPUTED_VALUE"""),3.52)</f>
        <v>3.52</v>
      </c>
      <c r="J473" s="2">
        <f ca="1">IFERROR(__xludf.DUMMYFUNCTION("""COMPUTED_VALUE"""),3.49)</f>
        <v>3.49</v>
      </c>
      <c r="K473" s="2">
        <f ca="1">IFERROR(__xludf.DUMMYFUNCTION("""COMPUTED_VALUE"""),65.55)</f>
        <v>65.55</v>
      </c>
      <c r="L473" s="2">
        <f ca="1">IFERROR(__xludf.DUMMYFUNCTION("""COMPUTED_VALUE"""),65.33)</f>
        <v>65.33</v>
      </c>
      <c r="M473" s="2">
        <f ca="1">IFERROR(__xludf.DUMMYFUNCTION("""COMPUTED_VALUE"""),67.06)</f>
        <v>67.06</v>
      </c>
      <c r="N473" s="2">
        <f ca="1">IFERROR(__xludf.DUMMYFUNCTION("""COMPUTED_VALUE"""),66.2)</f>
        <v>66.2</v>
      </c>
      <c r="O473" s="2">
        <f ca="1">IFERROR(__xludf.DUMMYFUNCTION("""COMPUTED_VALUE"""),65.35)</f>
        <v>65.349999999999994</v>
      </c>
      <c r="P473" s="2">
        <f ca="1">IFERROR(__xludf.DUMMYFUNCTION("""COMPUTED_VALUE"""),68.72)</f>
        <v>68.72</v>
      </c>
      <c r="Q473" s="2"/>
    </row>
    <row r="474" spans="1:17" ht="15.75" customHeight="1" x14ac:dyDescent="0.25">
      <c r="A474" s="2">
        <v>9101</v>
      </c>
      <c r="B474" s="2" t="str">
        <f ca="1">IFERROR(__xludf.DUMMYFUNCTION("""COMPUTED_VALUE"""),"PAPUA BARAT")</f>
        <v>PAPUA BARAT</v>
      </c>
      <c r="C474" s="2" t="s">
        <v>38</v>
      </c>
      <c r="D474" s="2">
        <f ca="1">IFERROR(__xludf.DUMMYFUNCTION("""COMPUTED_VALUE"""),10.47)</f>
        <v>10.47</v>
      </c>
      <c r="E474" s="2">
        <f ca="1">IFERROR(__xludf.DUMMYFUNCTION("""COMPUTED_VALUE"""),11.49)</f>
        <v>11.49</v>
      </c>
      <c r="F474" s="2">
        <f ca="1">IFERROR(__xludf.DUMMYFUNCTION("""COMPUTED_VALUE"""),11.45)</f>
        <v>11.45</v>
      </c>
      <c r="G474" s="2">
        <f ca="1">IFERROR(__xludf.DUMMYFUNCTION("""COMPUTED_VALUE"""),7.9)</f>
        <v>7.9</v>
      </c>
      <c r="H474" s="2">
        <f ca="1">IFERROR(__xludf.DUMMYFUNCTION("""COMPUTED_VALUE"""),6.75)</f>
        <v>6.75</v>
      </c>
      <c r="I474" s="2">
        <f ca="1">IFERROR(__xludf.DUMMYFUNCTION("""COMPUTED_VALUE"""),6.52)</f>
        <v>6.52</v>
      </c>
      <c r="J474" s="2"/>
      <c r="K474" s="2">
        <f ca="1">IFERROR(__xludf.DUMMYFUNCTION("""COMPUTED_VALUE"""),60.65)</f>
        <v>60.65</v>
      </c>
      <c r="L474" s="2">
        <f ca="1">IFERROR(__xludf.DUMMYFUNCTION("""COMPUTED_VALUE"""),66.05)</f>
        <v>66.05</v>
      </c>
      <c r="M474" s="2">
        <f ca="1">IFERROR(__xludf.DUMMYFUNCTION("""COMPUTED_VALUE"""),68.66)</f>
        <v>68.66</v>
      </c>
      <c r="N474" s="2">
        <f ca="1">IFERROR(__xludf.DUMMYFUNCTION("""COMPUTED_VALUE"""),71.53)</f>
        <v>71.53</v>
      </c>
      <c r="O474" s="2">
        <f ca="1">IFERROR(__xludf.DUMMYFUNCTION("""COMPUTED_VALUE"""),63.29)</f>
        <v>63.29</v>
      </c>
      <c r="P474" s="2">
        <f ca="1">IFERROR(__xludf.DUMMYFUNCTION("""COMPUTED_VALUE"""),64.82)</f>
        <v>64.819999999999993</v>
      </c>
      <c r="Q474" s="2"/>
    </row>
    <row r="475" spans="1:17" ht="15.75" customHeight="1" x14ac:dyDescent="0.25">
      <c r="A475" s="2">
        <v>9102</v>
      </c>
      <c r="B475" s="2" t="str">
        <f ca="1">IFERROR(__xludf.DUMMYFUNCTION("""COMPUTED_VALUE"""),"PAPUA BARAT")</f>
        <v>PAPUA BARAT</v>
      </c>
      <c r="C475" s="2" t="str">
        <f ca="1">IFERROR(__xludf.DUMMYFUNCTION("""COMPUTED_VALUE"""),"Kaimana")</f>
        <v>Kaimana</v>
      </c>
      <c r="D475" s="2">
        <f ca="1">IFERROR(__xludf.DUMMYFUNCTION("""COMPUTED_VALUE"""),2.94)</f>
        <v>2.94</v>
      </c>
      <c r="E475" s="2">
        <f ca="1">IFERROR(__xludf.DUMMYFUNCTION("""COMPUTED_VALUE"""),6.51)</f>
        <v>6.51</v>
      </c>
      <c r="F475" s="2">
        <f ca="1">IFERROR(__xludf.DUMMYFUNCTION("""COMPUTED_VALUE"""),6.9)</f>
        <v>6.9</v>
      </c>
      <c r="G475" s="2">
        <f ca="1">IFERROR(__xludf.DUMMYFUNCTION("""COMPUTED_VALUE"""),3.23)</f>
        <v>3.23</v>
      </c>
      <c r="H475" s="2">
        <f ca="1">IFERROR(__xludf.DUMMYFUNCTION("""COMPUTED_VALUE"""),3.34)</f>
        <v>3.34</v>
      </c>
      <c r="I475" s="2">
        <f ca="1">IFERROR(__xludf.DUMMYFUNCTION("""COMPUTED_VALUE"""),3.24)</f>
        <v>3.24</v>
      </c>
      <c r="J475" s="2"/>
      <c r="K475" s="2">
        <f ca="1">IFERROR(__xludf.DUMMYFUNCTION("""COMPUTED_VALUE"""),63.97)</f>
        <v>63.97</v>
      </c>
      <c r="L475" s="2">
        <f ca="1">IFERROR(__xludf.DUMMYFUNCTION("""COMPUTED_VALUE"""),71.61)</f>
        <v>71.61</v>
      </c>
      <c r="M475" s="2">
        <f ca="1">IFERROR(__xludf.DUMMYFUNCTION("""COMPUTED_VALUE"""),74.68)</f>
        <v>74.680000000000007</v>
      </c>
      <c r="N475" s="2">
        <f ca="1">IFERROR(__xludf.DUMMYFUNCTION("""COMPUTED_VALUE"""),75.65)</f>
        <v>75.650000000000006</v>
      </c>
      <c r="O475" s="2">
        <f ca="1">IFERROR(__xludf.DUMMYFUNCTION("""COMPUTED_VALUE"""),77.43)</f>
        <v>77.430000000000007</v>
      </c>
      <c r="P475" s="2">
        <f ca="1">IFERROR(__xludf.DUMMYFUNCTION("""COMPUTED_VALUE"""),64.64)</f>
        <v>64.64</v>
      </c>
      <c r="Q475" s="2"/>
    </row>
    <row r="476" spans="1:17" ht="15.75" customHeight="1" x14ac:dyDescent="0.25">
      <c r="A476" s="2">
        <v>9103</v>
      </c>
      <c r="B476" s="2" t="str">
        <f ca="1">IFERROR(__xludf.DUMMYFUNCTION("""COMPUTED_VALUE"""),"PAPUA BARAT")</f>
        <v>PAPUA BARAT</v>
      </c>
      <c r="C476" s="2" t="str">
        <f ca="1">IFERROR(__xludf.DUMMYFUNCTION("""COMPUTED_VALUE"""),"Teluk Wondama")</f>
        <v>Teluk Wondama</v>
      </c>
      <c r="D476" s="2">
        <f ca="1">IFERROR(__xludf.DUMMYFUNCTION("""COMPUTED_VALUE"""),3.29)</f>
        <v>3.29</v>
      </c>
      <c r="E476" s="2">
        <f ca="1">IFERROR(__xludf.DUMMYFUNCTION("""COMPUTED_VALUE"""),3.23)</f>
        <v>3.23</v>
      </c>
      <c r="F476" s="2">
        <f ca="1">IFERROR(__xludf.DUMMYFUNCTION("""COMPUTED_VALUE"""),4.43)</f>
        <v>4.43</v>
      </c>
      <c r="G476" s="2">
        <f ca="1">IFERROR(__xludf.DUMMYFUNCTION("""COMPUTED_VALUE"""),2.9)</f>
        <v>2.9</v>
      </c>
      <c r="H476" s="2">
        <f ca="1">IFERROR(__xludf.DUMMYFUNCTION("""COMPUTED_VALUE"""),2.86)</f>
        <v>2.86</v>
      </c>
      <c r="I476" s="2">
        <f ca="1">IFERROR(__xludf.DUMMYFUNCTION("""COMPUTED_VALUE"""),2.77)</f>
        <v>2.77</v>
      </c>
      <c r="J476" s="2"/>
      <c r="K476" s="2">
        <f ca="1">IFERROR(__xludf.DUMMYFUNCTION("""COMPUTED_VALUE"""),62.85)</f>
        <v>62.85</v>
      </c>
      <c r="L476" s="2">
        <f ca="1">IFERROR(__xludf.DUMMYFUNCTION("""COMPUTED_VALUE"""),69.95)</f>
        <v>69.95</v>
      </c>
      <c r="M476" s="2">
        <f ca="1">IFERROR(__xludf.DUMMYFUNCTION("""COMPUTED_VALUE"""),75.83)</f>
        <v>75.83</v>
      </c>
      <c r="N476" s="2">
        <f ca="1">IFERROR(__xludf.DUMMYFUNCTION("""COMPUTED_VALUE"""),74.97)</f>
        <v>74.97</v>
      </c>
      <c r="O476" s="2">
        <f ca="1">IFERROR(__xludf.DUMMYFUNCTION("""COMPUTED_VALUE"""),72.77)</f>
        <v>72.77</v>
      </c>
      <c r="P476" s="2">
        <f ca="1">IFERROR(__xludf.DUMMYFUNCTION("""COMPUTED_VALUE"""),69.13)</f>
        <v>69.13</v>
      </c>
      <c r="Q476" s="2"/>
    </row>
    <row r="477" spans="1:17" ht="15.75" customHeight="1" x14ac:dyDescent="0.25">
      <c r="A477" s="2">
        <v>9104</v>
      </c>
      <c r="B477" s="2" t="str">
        <f ca="1">IFERROR(__xludf.DUMMYFUNCTION("""COMPUTED_VALUE"""),"PAPUA BARAT")</f>
        <v>PAPUA BARAT</v>
      </c>
      <c r="C477" s="2" t="str">
        <f ca="1">IFERROR(__xludf.DUMMYFUNCTION("""COMPUTED_VALUE"""),"Teluk Bintuni")</f>
        <v>Teluk Bintuni</v>
      </c>
      <c r="D477" s="2">
        <f ca="1">IFERROR(__xludf.DUMMYFUNCTION("""COMPUTED_VALUE"""),6.01)</f>
        <v>6.01</v>
      </c>
      <c r="E477" s="2">
        <f ca="1">IFERROR(__xludf.DUMMYFUNCTION("""COMPUTED_VALUE"""),8.29)</f>
        <v>8.2899999999999991</v>
      </c>
      <c r="F477" s="2">
        <f ca="1">IFERROR(__xludf.DUMMYFUNCTION("""COMPUTED_VALUE"""),8.58)</f>
        <v>8.58</v>
      </c>
      <c r="G477" s="2">
        <f ca="1">IFERROR(__xludf.DUMMYFUNCTION("""COMPUTED_VALUE"""),4.74)</f>
        <v>4.74</v>
      </c>
      <c r="H477" s="2">
        <f ca="1">IFERROR(__xludf.DUMMYFUNCTION("""COMPUTED_VALUE"""),3.58)</f>
        <v>3.58</v>
      </c>
      <c r="I477" s="2">
        <f ca="1">IFERROR(__xludf.DUMMYFUNCTION("""COMPUTED_VALUE"""),3.52)</f>
        <v>3.52</v>
      </c>
      <c r="J477" s="2"/>
      <c r="K477" s="2">
        <f ca="1">IFERROR(__xludf.DUMMYFUNCTION("""COMPUTED_VALUE"""),71.49)</f>
        <v>71.489999999999995</v>
      </c>
      <c r="L477" s="2">
        <f ca="1">IFERROR(__xludf.DUMMYFUNCTION("""COMPUTED_VALUE"""),66.5)</f>
        <v>66.5</v>
      </c>
      <c r="M477" s="2">
        <f ca="1">IFERROR(__xludf.DUMMYFUNCTION("""COMPUTED_VALUE"""),69.44)</f>
        <v>69.44</v>
      </c>
      <c r="N477" s="2">
        <f ca="1">IFERROR(__xludf.DUMMYFUNCTION("""COMPUTED_VALUE"""),67.35)</f>
        <v>67.349999999999994</v>
      </c>
      <c r="O477" s="2">
        <f ca="1">IFERROR(__xludf.DUMMYFUNCTION("""COMPUTED_VALUE"""),70.58)</f>
        <v>70.58</v>
      </c>
      <c r="P477" s="2">
        <f ca="1">IFERROR(__xludf.DUMMYFUNCTION("""COMPUTED_VALUE"""),69.33)</f>
        <v>69.33</v>
      </c>
      <c r="Q477" s="2"/>
    </row>
    <row r="478" spans="1:17" ht="15.75" customHeight="1" x14ac:dyDescent="0.25">
      <c r="A478" s="2">
        <v>9105</v>
      </c>
      <c r="B478" s="2" t="str">
        <f ca="1">IFERROR(__xludf.DUMMYFUNCTION("""COMPUTED_VALUE"""),"PAPUA BARAT")</f>
        <v>PAPUA BARAT</v>
      </c>
      <c r="C478" s="2" t="str">
        <f ca="1">IFERROR(__xludf.DUMMYFUNCTION("""COMPUTED_VALUE"""),"Manokwari")</f>
        <v>Manokwari</v>
      </c>
      <c r="D478" s="2">
        <f ca="1">IFERROR(__xludf.DUMMYFUNCTION("""COMPUTED_VALUE"""),5.12)</f>
        <v>5.12</v>
      </c>
      <c r="E478" s="2">
        <f ca="1">IFERROR(__xludf.DUMMYFUNCTION("""COMPUTED_VALUE"""),7.31)</f>
        <v>7.31</v>
      </c>
      <c r="F478" s="2">
        <f ca="1">IFERROR(__xludf.DUMMYFUNCTION("""COMPUTED_VALUE"""),7.47)</f>
        <v>7.47</v>
      </c>
      <c r="G478" s="2">
        <f ca="1">IFERROR(__xludf.DUMMYFUNCTION("""COMPUTED_VALUE"""),7.04)</f>
        <v>7.04</v>
      </c>
      <c r="H478" s="2">
        <f ca="1">IFERROR(__xludf.DUMMYFUNCTION("""COMPUTED_VALUE"""),5.41)</f>
        <v>5.41</v>
      </c>
      <c r="I478" s="2">
        <f ca="1">IFERROR(__xludf.DUMMYFUNCTION("""COMPUTED_VALUE"""),5.97)</f>
        <v>5.97</v>
      </c>
      <c r="J478" s="2"/>
      <c r="K478" s="2">
        <f ca="1">IFERROR(__xludf.DUMMYFUNCTION("""COMPUTED_VALUE"""),63.88)</f>
        <v>63.88</v>
      </c>
      <c r="L478" s="2">
        <f ca="1">IFERROR(__xludf.DUMMYFUNCTION("""COMPUTED_VALUE"""),66.93)</f>
        <v>66.930000000000007</v>
      </c>
      <c r="M478" s="2">
        <f ca="1">IFERROR(__xludf.DUMMYFUNCTION("""COMPUTED_VALUE"""),70.29)</f>
        <v>70.290000000000006</v>
      </c>
      <c r="N478" s="2">
        <f ca="1">IFERROR(__xludf.DUMMYFUNCTION("""COMPUTED_VALUE"""),71.49)</f>
        <v>71.489999999999995</v>
      </c>
      <c r="O478" s="2">
        <f ca="1">IFERROR(__xludf.DUMMYFUNCTION("""COMPUTED_VALUE"""),63.88)</f>
        <v>63.88</v>
      </c>
      <c r="P478" s="2">
        <f ca="1">IFERROR(__xludf.DUMMYFUNCTION("""COMPUTED_VALUE"""),68.19)</f>
        <v>68.19</v>
      </c>
      <c r="Q478" s="2"/>
    </row>
    <row r="479" spans="1:17" ht="15.75" customHeight="1" x14ac:dyDescent="0.25">
      <c r="A479" s="2">
        <v>9111</v>
      </c>
      <c r="B479" s="2" t="str">
        <f ca="1">IFERROR(__xludf.DUMMYFUNCTION("""COMPUTED_VALUE"""),"PAPUA BARAT")</f>
        <v>PAPUA BARAT</v>
      </c>
      <c r="C479" s="2" t="str">
        <f ca="1">IFERROR(__xludf.DUMMYFUNCTION("""COMPUTED_VALUE"""),"Manokwari Selatan")</f>
        <v>Manokwari Selatan</v>
      </c>
      <c r="D479" s="2">
        <f ca="1">IFERROR(__xludf.DUMMYFUNCTION("""COMPUTED_VALUE"""),5.14)</f>
        <v>5.14</v>
      </c>
      <c r="E479" s="2">
        <f ca="1">IFERROR(__xludf.DUMMYFUNCTION("""COMPUTED_VALUE"""),2.48)</f>
        <v>2.48</v>
      </c>
      <c r="F479" s="2">
        <f ca="1">IFERROR(__xludf.DUMMYFUNCTION("""COMPUTED_VALUE"""),2.43)</f>
        <v>2.4300000000000002</v>
      </c>
      <c r="G479" s="2">
        <f ca="1">IFERROR(__xludf.DUMMYFUNCTION("""COMPUTED_VALUE"""),2.9)</f>
        <v>2.9</v>
      </c>
      <c r="H479" s="2">
        <f ca="1">IFERROR(__xludf.DUMMYFUNCTION("""COMPUTED_VALUE"""),1.06)</f>
        <v>1.06</v>
      </c>
      <c r="I479" s="2" t="str">
        <f ca="1">IFERROR(__xludf.DUMMYFUNCTION("""COMPUTED_VALUE"""),"NA")</f>
        <v>NA</v>
      </c>
      <c r="J479" s="2"/>
      <c r="K479" s="2">
        <f ca="1">IFERROR(__xludf.DUMMYFUNCTION("""COMPUTED_VALUE"""),77.07)</f>
        <v>77.069999999999993</v>
      </c>
      <c r="L479" s="2">
        <f ca="1">IFERROR(__xludf.DUMMYFUNCTION("""COMPUTED_VALUE"""),81.11)</f>
        <v>81.11</v>
      </c>
      <c r="M479" s="2">
        <f ca="1">IFERROR(__xludf.DUMMYFUNCTION("""COMPUTED_VALUE"""),82.74)</f>
        <v>82.74</v>
      </c>
      <c r="N479" s="2">
        <f ca="1">IFERROR(__xludf.DUMMYFUNCTION("""COMPUTED_VALUE"""),84.61)</f>
        <v>84.61</v>
      </c>
      <c r="O479" s="2">
        <f ca="1">IFERROR(__xludf.DUMMYFUNCTION("""COMPUTED_VALUE"""),77.4)</f>
        <v>77.400000000000006</v>
      </c>
      <c r="P479" s="2">
        <f ca="1">IFERROR(__xludf.DUMMYFUNCTION("""COMPUTED_VALUE"""),80.47)</f>
        <v>80.47</v>
      </c>
      <c r="Q479" s="2"/>
    </row>
    <row r="480" spans="1:17" ht="15.75" customHeight="1" x14ac:dyDescent="0.25">
      <c r="A480" s="2">
        <v>9112</v>
      </c>
      <c r="B480" s="2" t="str">
        <f ca="1">IFERROR(__xludf.DUMMYFUNCTION("""COMPUTED_VALUE"""),"PAPUA BARAT")</f>
        <v>PAPUA BARAT</v>
      </c>
      <c r="C480" s="2" t="str">
        <f ca="1">IFERROR(__xludf.DUMMYFUNCTION("""COMPUTED_VALUE"""),"Pegunungan Arfak")</f>
        <v>Pegunungan Arfak</v>
      </c>
      <c r="D480" s="2">
        <f ca="1">IFERROR(__xludf.DUMMYFUNCTION("""COMPUTED_VALUE"""),1.29)</f>
        <v>1.29</v>
      </c>
      <c r="E480" s="2">
        <f ca="1">IFERROR(__xludf.DUMMYFUNCTION("""COMPUTED_VALUE"""),0.22)</f>
        <v>0.22</v>
      </c>
      <c r="F480" s="2">
        <f ca="1">IFERROR(__xludf.DUMMYFUNCTION("""COMPUTED_VALUE"""),1.62)</f>
        <v>1.62</v>
      </c>
      <c r="G480" s="2" t="str">
        <f ca="1">IFERROR(__xludf.DUMMYFUNCTION("""COMPUTED_VALUE"""),"NA")</f>
        <v>NA</v>
      </c>
      <c r="H480" s="2" t="str">
        <f ca="1">IFERROR(__xludf.DUMMYFUNCTION("""COMPUTED_VALUE"""),"NA")</f>
        <v>NA</v>
      </c>
      <c r="I480" s="2" t="str">
        <f ca="1">IFERROR(__xludf.DUMMYFUNCTION("""COMPUTED_VALUE"""),"NA")</f>
        <v>NA</v>
      </c>
      <c r="J480" s="2"/>
      <c r="K480" s="2">
        <f ca="1">IFERROR(__xludf.DUMMYFUNCTION("""COMPUTED_VALUE"""),88.51)</f>
        <v>88.51</v>
      </c>
      <c r="L480" s="2">
        <f ca="1">IFERROR(__xludf.DUMMYFUNCTION("""COMPUTED_VALUE"""),91.73)</f>
        <v>91.73</v>
      </c>
      <c r="M480" s="2">
        <f ca="1">IFERROR(__xludf.DUMMYFUNCTION("""COMPUTED_VALUE"""),95.37)</f>
        <v>95.37</v>
      </c>
      <c r="N480" s="2">
        <f ca="1">IFERROR(__xludf.DUMMYFUNCTION("""COMPUTED_VALUE"""),94.71)</f>
        <v>94.71</v>
      </c>
      <c r="O480" s="2">
        <f ca="1">IFERROR(__xludf.DUMMYFUNCTION("""COMPUTED_VALUE"""),93.75)</f>
        <v>93.75</v>
      </c>
      <c r="P480" s="2">
        <f ca="1">IFERROR(__xludf.DUMMYFUNCTION("""COMPUTED_VALUE"""),94.49)</f>
        <v>94.49</v>
      </c>
      <c r="Q480" s="2"/>
    </row>
    <row r="481" spans="1:17" ht="15.75" customHeight="1" x14ac:dyDescent="0.25">
      <c r="A481" s="2">
        <v>9403</v>
      </c>
      <c r="B481" s="2" t="str">
        <f ca="1">IFERROR(__xludf.DUMMYFUNCTION("""COMPUTED_VALUE"""),"PAPUA")</f>
        <v>PAPUA</v>
      </c>
      <c r="C481" s="2" t="str">
        <f ca="1">IFERROR(__xludf.DUMMYFUNCTION("""COMPUTED_VALUE"""),"Jayapura")</f>
        <v>Jayapura</v>
      </c>
      <c r="D481" s="2">
        <f ca="1">IFERROR(__xludf.DUMMYFUNCTION("""COMPUTED_VALUE"""),9.91)</f>
        <v>9.91</v>
      </c>
      <c r="E481" s="2">
        <f ca="1">IFERROR(__xludf.DUMMYFUNCTION("""COMPUTED_VALUE"""),10.26)</f>
        <v>10.26</v>
      </c>
      <c r="F481" s="2">
        <f ca="1">IFERROR(__xludf.DUMMYFUNCTION("""COMPUTED_VALUE"""),10.33)</f>
        <v>10.33</v>
      </c>
      <c r="G481" s="2">
        <f ca="1">IFERROR(__xludf.DUMMYFUNCTION("""COMPUTED_VALUE"""),7.87)</f>
        <v>7.87</v>
      </c>
      <c r="H481" s="2">
        <f ca="1">IFERROR(__xludf.DUMMYFUNCTION("""COMPUTED_VALUE"""),5.94)</f>
        <v>5.94</v>
      </c>
      <c r="I481" s="2">
        <f ca="1">IFERROR(__xludf.DUMMYFUNCTION("""COMPUTED_VALUE"""),4.07)</f>
        <v>4.07</v>
      </c>
      <c r="J481" s="2"/>
      <c r="K481" s="2">
        <f ca="1">IFERROR(__xludf.DUMMYFUNCTION("""COMPUTED_VALUE"""),69.55)</f>
        <v>69.55</v>
      </c>
      <c r="L481" s="2">
        <f ca="1">IFERROR(__xludf.DUMMYFUNCTION("""COMPUTED_VALUE"""),65.92)</f>
        <v>65.92</v>
      </c>
      <c r="M481" s="2">
        <f ca="1">IFERROR(__xludf.DUMMYFUNCTION("""COMPUTED_VALUE"""),63.68)</f>
        <v>63.68</v>
      </c>
      <c r="N481" s="2">
        <f ca="1">IFERROR(__xludf.DUMMYFUNCTION("""COMPUTED_VALUE"""),67.97)</f>
        <v>67.97</v>
      </c>
      <c r="O481" s="2">
        <f ca="1">IFERROR(__xludf.DUMMYFUNCTION("""COMPUTED_VALUE"""),65.13)</f>
        <v>65.13</v>
      </c>
      <c r="P481" s="2">
        <f ca="1">IFERROR(__xludf.DUMMYFUNCTION("""COMPUTED_VALUE"""),67.69)</f>
        <v>67.69</v>
      </c>
      <c r="Q481" s="2"/>
    </row>
    <row r="482" spans="1:17" ht="15.75" customHeight="1" x14ac:dyDescent="0.25">
      <c r="A482" s="2">
        <v>9408</v>
      </c>
      <c r="B482" s="2" t="str">
        <f ca="1">IFERROR(__xludf.DUMMYFUNCTION("""COMPUTED_VALUE"""),"PAPUA")</f>
        <v>PAPUA</v>
      </c>
      <c r="C482" s="2" t="str">
        <f ca="1">IFERROR(__xludf.DUMMYFUNCTION("""COMPUTED_VALUE"""),"Kepulauan Yapen")</f>
        <v>Kepulauan Yapen</v>
      </c>
      <c r="D482" s="2">
        <f ca="1">IFERROR(__xludf.DUMMYFUNCTION("""COMPUTED_VALUE"""),4.66)</f>
        <v>4.66</v>
      </c>
      <c r="E482" s="2">
        <f ca="1">IFERROR(__xludf.DUMMYFUNCTION("""COMPUTED_VALUE"""),5.36)</f>
        <v>5.36</v>
      </c>
      <c r="F482" s="2">
        <f ca="1">IFERROR(__xludf.DUMMYFUNCTION("""COMPUTED_VALUE"""),5.3)</f>
        <v>5.3</v>
      </c>
      <c r="G482" s="2">
        <f ca="1">IFERROR(__xludf.DUMMYFUNCTION("""COMPUTED_VALUE"""),2.47)</f>
        <v>2.4700000000000002</v>
      </c>
      <c r="H482" s="2">
        <f ca="1">IFERROR(__xludf.DUMMYFUNCTION("""COMPUTED_VALUE"""),3.6)</f>
        <v>3.6</v>
      </c>
      <c r="I482" s="2">
        <f ca="1">IFERROR(__xludf.DUMMYFUNCTION("""COMPUTED_VALUE"""),4.01)</f>
        <v>4.01</v>
      </c>
      <c r="J482" s="2"/>
      <c r="K482" s="2">
        <f ca="1">IFERROR(__xludf.DUMMYFUNCTION("""COMPUTED_VALUE"""),63.38)</f>
        <v>63.38</v>
      </c>
      <c r="L482" s="2">
        <f ca="1">IFERROR(__xludf.DUMMYFUNCTION("""COMPUTED_VALUE"""),70.07)</f>
        <v>70.069999999999993</v>
      </c>
      <c r="M482" s="2">
        <f ca="1">IFERROR(__xludf.DUMMYFUNCTION("""COMPUTED_VALUE"""),60.29)</f>
        <v>60.29</v>
      </c>
      <c r="N482" s="2">
        <f ca="1">IFERROR(__xludf.DUMMYFUNCTION("""COMPUTED_VALUE"""),63.94)</f>
        <v>63.94</v>
      </c>
      <c r="O482" s="2">
        <f ca="1">IFERROR(__xludf.DUMMYFUNCTION("""COMPUTED_VALUE"""),68.36)</f>
        <v>68.36</v>
      </c>
      <c r="P482" s="2">
        <f ca="1">IFERROR(__xludf.DUMMYFUNCTION("""COMPUTED_VALUE"""),61.05)</f>
        <v>61.05</v>
      </c>
      <c r="Q482" s="2"/>
    </row>
    <row r="483" spans="1:17" ht="15.75" customHeight="1" x14ac:dyDescent="0.25">
      <c r="A483" s="2">
        <v>9409</v>
      </c>
      <c r="B483" s="2" t="str">
        <f ca="1">IFERROR(__xludf.DUMMYFUNCTION("""COMPUTED_VALUE"""),"PAPUA")</f>
        <v>PAPUA</v>
      </c>
      <c r="C483" s="2" t="str">
        <f ca="1">IFERROR(__xludf.DUMMYFUNCTION("""COMPUTED_VALUE"""),"Biak Numfor")</f>
        <v>Biak Numfor</v>
      </c>
      <c r="D483" s="2">
        <f ca="1">IFERROR(__xludf.DUMMYFUNCTION("""COMPUTED_VALUE"""),6.51)</f>
        <v>6.51</v>
      </c>
      <c r="E483" s="2">
        <f ca="1">IFERROR(__xludf.DUMMYFUNCTION("""COMPUTED_VALUE"""),10.07)</f>
        <v>10.07</v>
      </c>
      <c r="F483" s="2">
        <f ca="1">IFERROR(__xludf.DUMMYFUNCTION("""COMPUTED_VALUE"""),10.38)</f>
        <v>10.38</v>
      </c>
      <c r="G483" s="2">
        <f ca="1">IFERROR(__xludf.DUMMYFUNCTION("""COMPUTED_VALUE"""),9.49)</f>
        <v>9.49</v>
      </c>
      <c r="H483" s="2">
        <f ca="1">IFERROR(__xludf.DUMMYFUNCTION("""COMPUTED_VALUE"""),7.4)</f>
        <v>7.4</v>
      </c>
      <c r="I483" s="2">
        <f ca="1">IFERROR(__xludf.DUMMYFUNCTION("""COMPUTED_VALUE"""),5.72)</f>
        <v>5.72</v>
      </c>
      <c r="J483" s="2"/>
      <c r="K483" s="2">
        <f ca="1">IFERROR(__xludf.DUMMYFUNCTION("""COMPUTED_VALUE"""),60.79)</f>
        <v>60.79</v>
      </c>
      <c r="L483" s="2">
        <f ca="1">IFERROR(__xludf.DUMMYFUNCTION("""COMPUTED_VALUE"""),59.8)</f>
        <v>59.8</v>
      </c>
      <c r="M483" s="2">
        <f ca="1">IFERROR(__xludf.DUMMYFUNCTION("""COMPUTED_VALUE"""),63.79)</f>
        <v>63.79</v>
      </c>
      <c r="N483" s="2">
        <f ca="1">IFERROR(__xludf.DUMMYFUNCTION("""COMPUTED_VALUE"""),69.47)</f>
        <v>69.47</v>
      </c>
      <c r="O483" s="2">
        <f ca="1">IFERROR(__xludf.DUMMYFUNCTION("""COMPUTED_VALUE"""),72.31)</f>
        <v>72.31</v>
      </c>
      <c r="P483" s="2">
        <f ca="1">IFERROR(__xludf.DUMMYFUNCTION("""COMPUTED_VALUE"""),65.97)</f>
        <v>65.97</v>
      </c>
      <c r="Q483" s="2"/>
    </row>
    <row r="484" spans="1:17" ht="15.75" customHeight="1" x14ac:dyDescent="0.25">
      <c r="A484" s="2">
        <v>9419</v>
      </c>
      <c r="B484" s="2" t="str">
        <f ca="1">IFERROR(__xludf.DUMMYFUNCTION("""COMPUTED_VALUE"""),"PAPUA")</f>
        <v>PAPUA</v>
      </c>
      <c r="C484" s="2" t="str">
        <f ca="1">IFERROR(__xludf.DUMMYFUNCTION("""COMPUTED_VALUE"""),"Sarmi")</f>
        <v>Sarmi</v>
      </c>
      <c r="D484" s="2">
        <f ca="1">IFERROR(__xludf.DUMMYFUNCTION("""COMPUTED_VALUE"""),2.79)</f>
        <v>2.79</v>
      </c>
      <c r="E484" s="2">
        <f ca="1">IFERROR(__xludf.DUMMYFUNCTION("""COMPUTED_VALUE"""),5.03)</f>
        <v>5.03</v>
      </c>
      <c r="F484" s="2">
        <f ca="1">IFERROR(__xludf.DUMMYFUNCTION("""COMPUTED_VALUE"""),4.83)</f>
        <v>4.83</v>
      </c>
      <c r="G484" s="2">
        <f ca="1">IFERROR(__xludf.DUMMYFUNCTION("""COMPUTED_VALUE"""),3.5)</f>
        <v>3.5</v>
      </c>
      <c r="H484" s="2">
        <f ca="1">IFERROR(__xludf.DUMMYFUNCTION("""COMPUTED_VALUE"""),2.09)</f>
        <v>2.09</v>
      </c>
      <c r="I484" s="2">
        <f ca="1">IFERROR(__xludf.DUMMYFUNCTION("""COMPUTED_VALUE"""),3.09)</f>
        <v>3.09</v>
      </c>
      <c r="J484" s="2"/>
      <c r="K484" s="2">
        <f ca="1">IFERROR(__xludf.DUMMYFUNCTION("""COMPUTED_VALUE"""),71.84)</f>
        <v>71.84</v>
      </c>
      <c r="L484" s="2">
        <f ca="1">IFERROR(__xludf.DUMMYFUNCTION("""COMPUTED_VALUE"""),63.09)</f>
        <v>63.09</v>
      </c>
      <c r="M484" s="2">
        <f ca="1">IFERROR(__xludf.DUMMYFUNCTION("""COMPUTED_VALUE"""),67.17)</f>
        <v>67.17</v>
      </c>
      <c r="N484" s="2">
        <f ca="1">IFERROR(__xludf.DUMMYFUNCTION("""COMPUTED_VALUE"""),68.57)</f>
        <v>68.569999999999993</v>
      </c>
      <c r="O484" s="2">
        <f ca="1">IFERROR(__xludf.DUMMYFUNCTION("""COMPUTED_VALUE"""),68.96)</f>
        <v>68.959999999999994</v>
      </c>
      <c r="P484" s="2">
        <f ca="1">IFERROR(__xludf.DUMMYFUNCTION("""COMPUTED_VALUE"""),65.73)</f>
        <v>65.73</v>
      </c>
      <c r="Q484" s="2"/>
    </row>
    <row r="485" spans="1:17" ht="15.75" customHeight="1" x14ac:dyDescent="0.25">
      <c r="A485" s="2">
        <v>9420</v>
      </c>
      <c r="B485" s="2" t="str">
        <f ca="1">IFERROR(__xludf.DUMMYFUNCTION("""COMPUTED_VALUE"""),"PAPUA")</f>
        <v>PAPUA</v>
      </c>
      <c r="C485" s="2" t="str">
        <f ca="1">IFERROR(__xludf.DUMMYFUNCTION("""COMPUTED_VALUE"""),"Keerom")</f>
        <v>Keerom</v>
      </c>
      <c r="D485" s="2">
        <f ca="1">IFERROR(__xludf.DUMMYFUNCTION("""COMPUTED_VALUE"""),5.46)</f>
        <v>5.46</v>
      </c>
      <c r="E485" s="2">
        <f ca="1">IFERROR(__xludf.DUMMYFUNCTION("""COMPUTED_VALUE"""),2.71)</f>
        <v>2.71</v>
      </c>
      <c r="F485" s="2">
        <f ca="1">IFERROR(__xludf.DUMMYFUNCTION("""COMPUTED_VALUE"""),2.56)</f>
        <v>2.56</v>
      </c>
      <c r="G485" s="2">
        <f ca="1">IFERROR(__xludf.DUMMYFUNCTION("""COMPUTED_VALUE"""),1.41)</f>
        <v>1.41</v>
      </c>
      <c r="H485" s="2">
        <f ca="1">IFERROR(__xludf.DUMMYFUNCTION("""COMPUTED_VALUE"""),2.49)</f>
        <v>2.4900000000000002</v>
      </c>
      <c r="I485" s="2">
        <f ca="1">IFERROR(__xludf.DUMMYFUNCTION("""COMPUTED_VALUE"""),1.5)</f>
        <v>1.5</v>
      </c>
      <c r="J485" s="2"/>
      <c r="K485" s="2">
        <f ca="1">IFERROR(__xludf.DUMMYFUNCTION("""COMPUTED_VALUE"""),74.09)</f>
        <v>74.09</v>
      </c>
      <c r="L485" s="2">
        <f ca="1">IFERROR(__xludf.DUMMYFUNCTION("""COMPUTED_VALUE"""),76.4)</f>
        <v>76.400000000000006</v>
      </c>
      <c r="M485" s="2">
        <f ca="1">IFERROR(__xludf.DUMMYFUNCTION("""COMPUTED_VALUE"""),76.84)</f>
        <v>76.84</v>
      </c>
      <c r="N485" s="2">
        <f ca="1">IFERROR(__xludf.DUMMYFUNCTION("""COMPUTED_VALUE"""),76.91)</f>
        <v>76.91</v>
      </c>
      <c r="O485" s="2">
        <f ca="1">IFERROR(__xludf.DUMMYFUNCTION("""COMPUTED_VALUE"""),74.75)</f>
        <v>74.75</v>
      </c>
      <c r="P485" s="2">
        <f ca="1">IFERROR(__xludf.DUMMYFUNCTION("""COMPUTED_VALUE"""),76.79)</f>
        <v>76.790000000000006</v>
      </c>
      <c r="Q485" s="2"/>
    </row>
    <row r="486" spans="1:17" ht="15.75" customHeight="1" x14ac:dyDescent="0.25">
      <c r="A486" s="2">
        <v>9426</v>
      </c>
      <c r="B486" s="2" t="str">
        <f ca="1">IFERROR(__xludf.DUMMYFUNCTION("""COMPUTED_VALUE"""),"PAPUA")</f>
        <v>PAPUA</v>
      </c>
      <c r="C486" s="2" t="str">
        <f ca="1">IFERROR(__xludf.DUMMYFUNCTION("""COMPUTED_VALUE"""),"Waropen")</f>
        <v>Waropen</v>
      </c>
      <c r="D486" s="2">
        <f ca="1">IFERROR(__xludf.DUMMYFUNCTION("""COMPUTED_VALUE"""),2.26)</f>
        <v>2.2599999999999998</v>
      </c>
      <c r="E486" s="2">
        <f ca="1">IFERROR(__xludf.DUMMYFUNCTION("""COMPUTED_VALUE"""),3.19)</f>
        <v>3.19</v>
      </c>
      <c r="F486" s="2">
        <f ca="1">IFERROR(__xludf.DUMMYFUNCTION("""COMPUTED_VALUE"""),4.76)</f>
        <v>4.76</v>
      </c>
      <c r="G486" s="2">
        <f ca="1">IFERROR(__xludf.DUMMYFUNCTION("""COMPUTED_VALUE"""),8.56)</f>
        <v>8.56</v>
      </c>
      <c r="H486" s="2">
        <f ca="1">IFERROR(__xludf.DUMMYFUNCTION("""COMPUTED_VALUE"""),6.64)</f>
        <v>6.64</v>
      </c>
      <c r="I486" s="2">
        <f ca="1">IFERROR(__xludf.DUMMYFUNCTION("""COMPUTED_VALUE"""),4.62)</f>
        <v>4.62</v>
      </c>
      <c r="J486" s="2"/>
      <c r="K486" s="2">
        <f ca="1">IFERROR(__xludf.DUMMYFUNCTION("""COMPUTED_VALUE"""),58.5)</f>
        <v>58.5</v>
      </c>
      <c r="L486" s="2">
        <f ca="1">IFERROR(__xludf.DUMMYFUNCTION("""COMPUTED_VALUE"""),58.5)</f>
        <v>58.5</v>
      </c>
      <c r="M486" s="2">
        <f ca="1">IFERROR(__xludf.DUMMYFUNCTION("""COMPUTED_VALUE"""),60.41)</f>
        <v>60.41</v>
      </c>
      <c r="N486" s="2">
        <f ca="1">IFERROR(__xludf.DUMMYFUNCTION("""COMPUTED_VALUE"""),56.39)</f>
        <v>56.39</v>
      </c>
      <c r="O486" s="2">
        <f ca="1">IFERROR(__xludf.DUMMYFUNCTION("""COMPUTED_VALUE"""),56.98)</f>
        <v>56.98</v>
      </c>
      <c r="P486" s="2">
        <f ca="1">IFERROR(__xludf.DUMMYFUNCTION("""COMPUTED_VALUE"""),66.53)</f>
        <v>66.53</v>
      </c>
      <c r="Q486" s="2"/>
    </row>
    <row r="487" spans="1:17" ht="15.75" customHeight="1" x14ac:dyDescent="0.25">
      <c r="A487" s="2">
        <v>9427</v>
      </c>
      <c r="B487" s="2" t="str">
        <f ca="1">IFERROR(__xludf.DUMMYFUNCTION("""COMPUTED_VALUE"""),"PAPUA")</f>
        <v>PAPUA</v>
      </c>
      <c r="C487" s="2" t="str">
        <f ca="1">IFERROR(__xludf.DUMMYFUNCTION("""COMPUTED_VALUE"""),"Supiori")</f>
        <v>Supiori</v>
      </c>
      <c r="D487" s="2">
        <f ca="1">IFERROR(__xludf.DUMMYFUNCTION("""COMPUTED_VALUE"""),7.02)</f>
        <v>7.02</v>
      </c>
      <c r="E487" s="2">
        <f ca="1">IFERROR(__xludf.DUMMYFUNCTION("""COMPUTED_VALUE"""),4.4)</f>
        <v>4.4000000000000004</v>
      </c>
      <c r="F487" s="2">
        <f ca="1">IFERROR(__xludf.DUMMYFUNCTION("""COMPUTED_VALUE"""),4.12)</f>
        <v>4.12</v>
      </c>
      <c r="G487" s="2">
        <f ca="1">IFERROR(__xludf.DUMMYFUNCTION("""COMPUTED_VALUE"""),2.66)</f>
        <v>2.66</v>
      </c>
      <c r="H487" s="2">
        <f ca="1">IFERROR(__xludf.DUMMYFUNCTION("""COMPUTED_VALUE"""),2.93)</f>
        <v>2.93</v>
      </c>
      <c r="I487" s="2">
        <f ca="1">IFERROR(__xludf.DUMMYFUNCTION("""COMPUTED_VALUE"""),4.81)</f>
        <v>4.8099999999999996</v>
      </c>
      <c r="J487" s="2"/>
      <c r="K487" s="2">
        <f ca="1">IFERROR(__xludf.DUMMYFUNCTION("""COMPUTED_VALUE"""),58.06)</f>
        <v>58.06</v>
      </c>
      <c r="L487" s="2">
        <f ca="1">IFERROR(__xludf.DUMMYFUNCTION("""COMPUTED_VALUE"""),67.04)</f>
        <v>67.040000000000006</v>
      </c>
      <c r="M487" s="2">
        <f ca="1">IFERROR(__xludf.DUMMYFUNCTION("""COMPUTED_VALUE"""),69.32)</f>
        <v>69.319999999999993</v>
      </c>
      <c r="N487" s="2">
        <f ca="1">IFERROR(__xludf.DUMMYFUNCTION("""COMPUTED_VALUE"""),68.56)</f>
        <v>68.56</v>
      </c>
      <c r="O487" s="2">
        <f ca="1">IFERROR(__xludf.DUMMYFUNCTION("""COMPUTED_VALUE"""),61.22)</f>
        <v>61.22</v>
      </c>
      <c r="P487" s="2">
        <f ca="1">IFERROR(__xludf.DUMMYFUNCTION("""COMPUTED_VALUE"""),57.48)</f>
        <v>57.48</v>
      </c>
      <c r="Q487" s="2"/>
    </row>
    <row r="488" spans="1:17" ht="15.75" customHeight="1" x14ac:dyDescent="0.25">
      <c r="A488" s="2">
        <v>9428</v>
      </c>
      <c r="B488" s="2" t="str">
        <f ca="1">IFERROR(__xludf.DUMMYFUNCTION("""COMPUTED_VALUE"""),"PAPUA")</f>
        <v>PAPUA</v>
      </c>
      <c r="C488" s="2" t="str">
        <f ca="1">IFERROR(__xludf.DUMMYFUNCTION("""COMPUTED_VALUE"""),"Mamberamo Raya")</f>
        <v>Mamberamo Raya</v>
      </c>
      <c r="D488" s="2">
        <f ca="1">IFERROR(__xludf.DUMMYFUNCTION("""COMPUTED_VALUE"""),2.53)</f>
        <v>2.5299999999999998</v>
      </c>
      <c r="E488" s="2">
        <f ca="1">IFERROR(__xludf.DUMMYFUNCTION("""COMPUTED_VALUE"""),2.59)</f>
        <v>2.59</v>
      </c>
      <c r="F488" s="2">
        <f ca="1">IFERROR(__xludf.DUMMYFUNCTION("""COMPUTED_VALUE"""),2.55)</f>
        <v>2.5499999999999998</v>
      </c>
      <c r="G488" s="2">
        <f ca="1">IFERROR(__xludf.DUMMYFUNCTION("""COMPUTED_VALUE"""),1.91)</f>
        <v>1.91</v>
      </c>
      <c r="H488" s="2">
        <f ca="1">IFERROR(__xludf.DUMMYFUNCTION("""COMPUTED_VALUE"""),2.32)</f>
        <v>2.3199999999999998</v>
      </c>
      <c r="I488" s="2" t="str">
        <f ca="1">IFERROR(__xludf.DUMMYFUNCTION("""COMPUTED_VALUE"""),"NA")</f>
        <v>NA</v>
      </c>
      <c r="J488" s="2"/>
      <c r="K488" s="2">
        <f ca="1">IFERROR(__xludf.DUMMYFUNCTION("""COMPUTED_VALUE"""),68.53)</f>
        <v>68.53</v>
      </c>
      <c r="L488" s="2">
        <f ca="1">IFERROR(__xludf.DUMMYFUNCTION("""COMPUTED_VALUE"""),70.94)</f>
        <v>70.94</v>
      </c>
      <c r="M488" s="2">
        <f ca="1">IFERROR(__xludf.DUMMYFUNCTION("""COMPUTED_VALUE"""),61.46)</f>
        <v>61.46</v>
      </c>
      <c r="N488" s="2">
        <f ca="1">IFERROR(__xludf.DUMMYFUNCTION("""COMPUTED_VALUE"""),66.84)</f>
        <v>66.84</v>
      </c>
      <c r="O488" s="2">
        <f ca="1">IFERROR(__xludf.DUMMYFUNCTION("""COMPUTED_VALUE"""),63.19)</f>
        <v>63.19</v>
      </c>
      <c r="P488" s="2">
        <f ca="1">IFERROR(__xludf.DUMMYFUNCTION("""COMPUTED_VALUE"""),42.81)</f>
        <v>42.81</v>
      </c>
      <c r="Q488" s="2"/>
    </row>
    <row r="489" spans="1:17" ht="15.75" customHeight="1" x14ac:dyDescent="0.25">
      <c r="A489" s="2">
        <v>9471</v>
      </c>
      <c r="B489" s="2" t="str">
        <f ca="1">IFERROR(__xludf.DUMMYFUNCTION("""COMPUTED_VALUE"""),"PAPUA")</f>
        <v>PAPUA</v>
      </c>
      <c r="C489" s="2" t="str">
        <f ca="1">IFERROR(__xludf.DUMMYFUNCTION("""COMPUTED_VALUE"""),"Kota Jayapura")</f>
        <v>Kota Jayapura</v>
      </c>
      <c r="D489" s="2">
        <f ca="1">IFERROR(__xludf.DUMMYFUNCTION("""COMPUTED_VALUE"""),9.71)</f>
        <v>9.7100000000000009</v>
      </c>
      <c r="E489" s="2">
        <f ca="1">IFERROR(__xludf.DUMMYFUNCTION("""COMPUTED_VALUE"""),11.78)</f>
        <v>11.78</v>
      </c>
      <c r="F489" s="2">
        <f ca="1">IFERROR(__xludf.DUMMYFUNCTION("""COMPUTED_VALUE"""),11.62)</f>
        <v>11.62</v>
      </c>
      <c r="G489" s="2">
        <f ca="1">IFERROR(__xludf.DUMMYFUNCTION("""COMPUTED_VALUE"""),11.67)</f>
        <v>11.67</v>
      </c>
      <c r="H489" s="2">
        <f ca="1">IFERROR(__xludf.DUMMYFUNCTION("""COMPUTED_VALUE"""),9.71)</f>
        <v>9.7100000000000009</v>
      </c>
      <c r="I489" s="2">
        <f ca="1">IFERROR(__xludf.DUMMYFUNCTION("""COMPUTED_VALUE"""),10.76)</f>
        <v>10.76</v>
      </c>
      <c r="J489" s="2"/>
      <c r="K489" s="2">
        <f ca="1">IFERROR(__xludf.DUMMYFUNCTION("""COMPUTED_VALUE"""),63.82)</f>
        <v>63.82</v>
      </c>
      <c r="L489" s="2">
        <f ca="1">IFERROR(__xludf.DUMMYFUNCTION("""COMPUTED_VALUE"""),62.79)</f>
        <v>62.79</v>
      </c>
      <c r="M489" s="2">
        <f ca="1">IFERROR(__xludf.DUMMYFUNCTION("""COMPUTED_VALUE"""),63.09)</f>
        <v>63.09</v>
      </c>
      <c r="N489" s="2">
        <f ca="1">IFERROR(__xludf.DUMMYFUNCTION("""COMPUTED_VALUE"""),63.75)</f>
        <v>63.75</v>
      </c>
      <c r="O489" s="2">
        <f ca="1">IFERROR(__xludf.DUMMYFUNCTION("""COMPUTED_VALUE"""),60.61)</f>
        <v>60.61</v>
      </c>
      <c r="P489" s="2">
        <f ca="1">IFERROR(__xludf.DUMMYFUNCTION("""COMPUTED_VALUE"""),67.37)</f>
        <v>67.37</v>
      </c>
      <c r="Q489" s="2"/>
    </row>
    <row r="490" spans="1:17" ht="15.75" customHeight="1" x14ac:dyDescent="0.25">
      <c r="A490" s="2">
        <v>9501</v>
      </c>
      <c r="B490" s="2" t="str">
        <f ca="1">IFERROR(__xludf.DUMMYFUNCTION("""COMPUTED_VALUE"""),"PAPUA SELATAN")</f>
        <v>PAPUA SELATAN</v>
      </c>
      <c r="C490" s="2" t="str">
        <f ca="1">IFERROR(__xludf.DUMMYFUNCTION("""COMPUTED_VALUE"""),"Merauke")</f>
        <v>Merauke</v>
      </c>
      <c r="D490" s="2">
        <f ca="1">IFERROR(__xludf.DUMMYFUNCTION("""COMPUTED_VALUE"""),1.72)</f>
        <v>1.72</v>
      </c>
      <c r="E490" s="2">
        <f ca="1">IFERROR(__xludf.DUMMYFUNCTION("""COMPUTED_VALUE"""),2.61)</f>
        <v>2.61</v>
      </c>
      <c r="F490" s="2">
        <f ca="1">IFERROR(__xludf.DUMMYFUNCTION("""COMPUTED_VALUE"""),3.43)</f>
        <v>3.43</v>
      </c>
      <c r="G490" s="2">
        <f ca="1">IFERROR(__xludf.DUMMYFUNCTION("""COMPUTED_VALUE"""),2.19)</f>
        <v>2.19</v>
      </c>
      <c r="H490" s="2"/>
      <c r="I490" s="2">
        <f ca="1">IFERROR(__xludf.DUMMYFUNCTION("""COMPUTED_VALUE"""),3.61)</f>
        <v>3.61</v>
      </c>
      <c r="J490" s="2"/>
      <c r="K490" s="2">
        <f ca="1">IFERROR(__xludf.DUMMYFUNCTION("""COMPUTED_VALUE"""),69.58)</f>
        <v>69.58</v>
      </c>
      <c r="L490" s="2">
        <f ca="1">IFERROR(__xludf.DUMMYFUNCTION("""COMPUTED_VALUE"""),68.05)</f>
        <v>68.05</v>
      </c>
      <c r="M490" s="2">
        <f ca="1">IFERROR(__xludf.DUMMYFUNCTION("""COMPUTED_VALUE"""),70.12)</f>
        <v>70.12</v>
      </c>
      <c r="N490" s="2">
        <f ca="1">IFERROR(__xludf.DUMMYFUNCTION("""COMPUTED_VALUE"""),70.69)</f>
        <v>70.69</v>
      </c>
      <c r="O490" s="2"/>
      <c r="P490" s="2"/>
      <c r="Q490" s="2"/>
    </row>
    <row r="491" spans="1:17" ht="15.75" customHeight="1" x14ac:dyDescent="0.25">
      <c r="A491" s="2">
        <v>9502</v>
      </c>
      <c r="B491" s="2" t="str">
        <f ca="1">IFERROR(__xludf.DUMMYFUNCTION("""COMPUTED_VALUE"""),"PAPUA SELATAN")</f>
        <v>PAPUA SELATAN</v>
      </c>
      <c r="C491" s="2" t="str">
        <f ca="1">IFERROR(__xludf.DUMMYFUNCTION("""COMPUTED_VALUE"""),"Boven Digoel")</f>
        <v>Boven Digoel</v>
      </c>
      <c r="D491" s="2">
        <f ca="1">IFERROR(__xludf.DUMMYFUNCTION("""COMPUTED_VALUE"""),3.49)</f>
        <v>3.49</v>
      </c>
      <c r="E491" s="2">
        <f ca="1">IFERROR(__xludf.DUMMYFUNCTION("""COMPUTED_VALUE"""),3.08)</f>
        <v>3.08</v>
      </c>
      <c r="F491" s="2">
        <f ca="1">IFERROR(__xludf.DUMMYFUNCTION("""COMPUTED_VALUE"""),8.09)</f>
        <v>8.09</v>
      </c>
      <c r="G491" s="2">
        <f ca="1">IFERROR(__xludf.DUMMYFUNCTION("""COMPUTED_VALUE"""),6.73)</f>
        <v>6.73</v>
      </c>
      <c r="H491" s="2"/>
      <c r="I491" s="2">
        <f ca="1">IFERROR(__xludf.DUMMYFUNCTION("""COMPUTED_VALUE"""),3.07)</f>
        <v>3.07</v>
      </c>
      <c r="J491" s="2"/>
      <c r="K491" s="2">
        <f ca="1">IFERROR(__xludf.DUMMYFUNCTION("""COMPUTED_VALUE"""),81.08)</f>
        <v>81.08</v>
      </c>
      <c r="L491" s="2">
        <f ca="1">IFERROR(__xludf.DUMMYFUNCTION("""COMPUTED_VALUE"""),74.9)</f>
        <v>74.900000000000006</v>
      </c>
      <c r="M491" s="2">
        <f ca="1">IFERROR(__xludf.DUMMYFUNCTION("""COMPUTED_VALUE"""),75.48)</f>
        <v>75.48</v>
      </c>
      <c r="N491" s="2">
        <f ca="1">IFERROR(__xludf.DUMMYFUNCTION("""COMPUTED_VALUE"""),79.72)</f>
        <v>79.72</v>
      </c>
      <c r="O491" s="2"/>
      <c r="P491" s="2"/>
      <c r="Q491" s="2"/>
    </row>
    <row r="492" spans="1:17" ht="15.75" customHeight="1" x14ac:dyDescent="0.25">
      <c r="A492" s="2">
        <v>9503</v>
      </c>
      <c r="B492" s="2" t="str">
        <f ca="1">IFERROR(__xludf.DUMMYFUNCTION("""COMPUTED_VALUE"""),"PAPUA SELATAN")</f>
        <v>PAPUA SELATAN</v>
      </c>
      <c r="C492" s="2" t="str">
        <f ca="1">IFERROR(__xludf.DUMMYFUNCTION("""COMPUTED_VALUE"""),"Mappi")</f>
        <v>Mappi</v>
      </c>
      <c r="D492" s="2">
        <f ca="1">IFERROR(__xludf.DUMMYFUNCTION("""COMPUTED_VALUE"""),2.88)</f>
        <v>2.88</v>
      </c>
      <c r="E492" s="2">
        <f ca="1">IFERROR(__xludf.DUMMYFUNCTION("""COMPUTED_VALUE"""),4.51)</f>
        <v>4.51</v>
      </c>
      <c r="F492" s="2">
        <f ca="1">IFERROR(__xludf.DUMMYFUNCTION("""COMPUTED_VALUE"""),5.77)</f>
        <v>5.77</v>
      </c>
      <c r="G492" s="2">
        <f ca="1">IFERROR(__xludf.DUMMYFUNCTION("""COMPUTED_VALUE"""),4.11)</f>
        <v>4.1100000000000003</v>
      </c>
      <c r="H492" s="2"/>
      <c r="I492" s="2">
        <f ca="1">IFERROR(__xludf.DUMMYFUNCTION("""COMPUTED_VALUE"""),4.22)</f>
        <v>4.22</v>
      </c>
      <c r="J492" s="2"/>
      <c r="K492" s="2">
        <f ca="1">IFERROR(__xludf.DUMMYFUNCTION("""COMPUTED_VALUE"""),77.67)</f>
        <v>77.67</v>
      </c>
      <c r="L492" s="2">
        <f ca="1">IFERROR(__xludf.DUMMYFUNCTION("""COMPUTED_VALUE"""),68.56)</f>
        <v>68.56</v>
      </c>
      <c r="M492" s="2">
        <f ca="1">IFERROR(__xludf.DUMMYFUNCTION("""COMPUTED_VALUE"""),64.09)</f>
        <v>64.09</v>
      </c>
      <c r="N492" s="2">
        <f ca="1">IFERROR(__xludf.DUMMYFUNCTION("""COMPUTED_VALUE"""),61.6)</f>
        <v>61.6</v>
      </c>
      <c r="O492" s="2"/>
      <c r="P492" s="2"/>
      <c r="Q492" s="2"/>
    </row>
    <row r="493" spans="1:17" ht="15.75" customHeight="1" x14ac:dyDescent="0.25">
      <c r="A493" s="2">
        <v>9504</v>
      </c>
      <c r="B493" s="2" t="str">
        <f ca="1">IFERROR(__xludf.DUMMYFUNCTION("""COMPUTED_VALUE"""),"PAPUA SELATAN")</f>
        <v>PAPUA SELATAN</v>
      </c>
      <c r="C493" s="2" t="str">
        <f ca="1">IFERROR(__xludf.DUMMYFUNCTION("""COMPUTED_VALUE"""),"Asmat")</f>
        <v>Asmat</v>
      </c>
      <c r="D493" s="2">
        <f ca="1">IFERROR(__xludf.DUMMYFUNCTION("""COMPUTED_VALUE"""),0.49)</f>
        <v>0.49</v>
      </c>
      <c r="E493" s="2">
        <f ca="1">IFERROR(__xludf.DUMMYFUNCTION("""COMPUTED_VALUE"""),1.06)</f>
        <v>1.06</v>
      </c>
      <c r="F493" s="2">
        <f ca="1">IFERROR(__xludf.DUMMYFUNCTION("""COMPUTED_VALUE"""),2.38)</f>
        <v>2.38</v>
      </c>
      <c r="G493" s="2">
        <f ca="1">IFERROR(__xludf.DUMMYFUNCTION("""COMPUTED_VALUE"""),0.45)</f>
        <v>0.45</v>
      </c>
      <c r="H493" s="2"/>
      <c r="I493" s="2" t="str">
        <f ca="1">IFERROR(__xludf.DUMMYFUNCTION("""COMPUTED_VALUE"""),"NA")</f>
        <v>NA</v>
      </c>
      <c r="J493" s="2"/>
      <c r="K493" s="2">
        <f ca="1">IFERROR(__xludf.DUMMYFUNCTION("""COMPUTED_VALUE"""),82.84)</f>
        <v>82.84</v>
      </c>
      <c r="L493" s="2">
        <f ca="1">IFERROR(__xludf.DUMMYFUNCTION("""COMPUTED_VALUE"""),83.35)</f>
        <v>83.35</v>
      </c>
      <c r="M493" s="2">
        <f ca="1">IFERROR(__xludf.DUMMYFUNCTION("""COMPUTED_VALUE"""),81.78)</f>
        <v>81.78</v>
      </c>
      <c r="N493" s="2">
        <f ca="1">IFERROR(__xludf.DUMMYFUNCTION("""COMPUTED_VALUE"""),81.16)</f>
        <v>81.16</v>
      </c>
      <c r="O493" s="2"/>
      <c r="P493" s="2"/>
      <c r="Q493" s="2"/>
    </row>
    <row r="494" spans="1:17" ht="15.75" customHeight="1" x14ac:dyDescent="0.25">
      <c r="A494" s="2">
        <v>9601</v>
      </c>
      <c r="B494" s="2" t="str">
        <f ca="1">IFERROR(__xludf.DUMMYFUNCTION("""COMPUTED_VALUE"""),"PAPUA TENGAH")</f>
        <v>PAPUA TENGAH</v>
      </c>
      <c r="C494" s="2" t="str">
        <f ca="1">IFERROR(__xludf.DUMMYFUNCTION("""COMPUTED_VALUE"""),"Nabire")</f>
        <v>Nabire</v>
      </c>
      <c r="D494" s="2">
        <f ca="1">IFERROR(__xludf.DUMMYFUNCTION("""COMPUTED_VALUE"""),7.22)</f>
        <v>7.22</v>
      </c>
      <c r="E494" s="2">
        <f ca="1">IFERROR(__xludf.DUMMYFUNCTION("""COMPUTED_VALUE"""),6.31)</f>
        <v>6.31</v>
      </c>
      <c r="F494" s="2">
        <f ca="1">IFERROR(__xludf.DUMMYFUNCTION("""COMPUTED_VALUE"""),6.65)</f>
        <v>6.65</v>
      </c>
      <c r="G494" s="2">
        <f ca="1">IFERROR(__xludf.DUMMYFUNCTION("""COMPUTED_VALUE"""),3.05)</f>
        <v>3.05</v>
      </c>
      <c r="H494" s="2"/>
      <c r="I494" s="2">
        <f ca="1">IFERROR(__xludf.DUMMYFUNCTION("""COMPUTED_VALUE"""),4)</f>
        <v>4</v>
      </c>
      <c r="J494" s="2"/>
      <c r="K494" s="2">
        <f ca="1">IFERROR(__xludf.DUMMYFUNCTION("""COMPUTED_VALUE"""),72.38)</f>
        <v>72.38</v>
      </c>
      <c r="L494" s="2">
        <f ca="1">IFERROR(__xludf.DUMMYFUNCTION("""COMPUTED_VALUE"""),69.75)</f>
        <v>69.75</v>
      </c>
      <c r="M494" s="2">
        <f ca="1">IFERROR(__xludf.DUMMYFUNCTION("""COMPUTED_VALUE"""),74.15)</f>
        <v>74.150000000000006</v>
      </c>
      <c r="N494" s="2">
        <f ca="1">IFERROR(__xludf.DUMMYFUNCTION("""COMPUTED_VALUE"""),73.09)</f>
        <v>73.09</v>
      </c>
      <c r="O494" s="2"/>
      <c r="P494" s="2"/>
      <c r="Q494" s="2"/>
    </row>
    <row r="495" spans="1:17" ht="15.75" customHeight="1" x14ac:dyDescent="0.25">
      <c r="A495" s="2">
        <v>9602</v>
      </c>
      <c r="B495" s="2" t="str">
        <f ca="1">IFERROR(__xludf.DUMMYFUNCTION("""COMPUTED_VALUE"""),"PAPUA TENGAH")</f>
        <v>PAPUA TENGAH</v>
      </c>
      <c r="C495" s="2" t="str">
        <f ca="1">IFERROR(__xludf.DUMMYFUNCTION("""COMPUTED_VALUE"""),"Paniai")</f>
        <v>Paniai</v>
      </c>
      <c r="D495" s="2">
        <f ca="1">IFERROR(__xludf.DUMMYFUNCTION("""COMPUTED_VALUE"""),0.6)</f>
        <v>0.6</v>
      </c>
      <c r="E495" s="2">
        <f ca="1">IFERROR(__xludf.DUMMYFUNCTION("""COMPUTED_VALUE"""),0.66)</f>
        <v>0.66</v>
      </c>
      <c r="F495" s="2">
        <f ca="1">IFERROR(__xludf.DUMMYFUNCTION("""COMPUTED_VALUE"""),0.83)</f>
        <v>0.83</v>
      </c>
      <c r="G495" s="2">
        <f ca="1">IFERROR(__xludf.DUMMYFUNCTION("""COMPUTED_VALUE"""),0.74)</f>
        <v>0.74</v>
      </c>
      <c r="H495" s="2"/>
      <c r="I495" s="2" t="str">
        <f ca="1">IFERROR(__xludf.DUMMYFUNCTION("""COMPUTED_VALUE"""),"NA")</f>
        <v>NA</v>
      </c>
      <c r="J495" s="2"/>
      <c r="K495" s="2">
        <f ca="1">IFERROR(__xludf.DUMMYFUNCTION("""COMPUTED_VALUE"""),89.17)</f>
        <v>89.17</v>
      </c>
      <c r="L495" s="2">
        <f ca="1">IFERROR(__xludf.DUMMYFUNCTION("""COMPUTED_VALUE"""),87.92)</f>
        <v>87.92</v>
      </c>
      <c r="M495" s="2">
        <f ca="1">IFERROR(__xludf.DUMMYFUNCTION("""COMPUTED_VALUE"""),58.41)</f>
        <v>58.41</v>
      </c>
      <c r="N495" s="2">
        <f ca="1">IFERROR(__xludf.DUMMYFUNCTION("""COMPUTED_VALUE"""),89.26)</f>
        <v>89.26</v>
      </c>
      <c r="O495" s="2"/>
      <c r="P495" s="2"/>
      <c r="Q495" s="2"/>
    </row>
    <row r="496" spans="1:17" ht="15.75" customHeight="1" x14ac:dyDescent="0.25">
      <c r="A496" s="2">
        <v>9603</v>
      </c>
      <c r="B496" s="2" t="str">
        <f ca="1">IFERROR(__xludf.DUMMYFUNCTION("""COMPUTED_VALUE"""),"PAPUA TENGAH")</f>
        <v>PAPUA TENGAH</v>
      </c>
      <c r="C496" s="2" t="str">
        <f ca="1">IFERROR(__xludf.DUMMYFUNCTION("""COMPUTED_VALUE"""),"Puncak Jaya")</f>
        <v>Puncak Jaya</v>
      </c>
      <c r="D496" s="2">
        <f ca="1">IFERROR(__xludf.DUMMYFUNCTION("""COMPUTED_VALUE"""),0.91)</f>
        <v>0.91</v>
      </c>
      <c r="E496" s="2">
        <f ca="1">IFERROR(__xludf.DUMMYFUNCTION("""COMPUTED_VALUE"""),1.78)</f>
        <v>1.78</v>
      </c>
      <c r="F496" s="2">
        <f ca="1">IFERROR(__xludf.DUMMYFUNCTION("""COMPUTED_VALUE"""),1.5)</f>
        <v>1.5</v>
      </c>
      <c r="G496" s="2">
        <f ca="1">IFERROR(__xludf.DUMMYFUNCTION("""COMPUTED_VALUE"""),1.74)</f>
        <v>1.74</v>
      </c>
      <c r="H496" s="2"/>
      <c r="I496" s="2" t="str">
        <f ca="1">IFERROR(__xludf.DUMMYFUNCTION("""COMPUTED_VALUE"""),"NA")</f>
        <v>NA</v>
      </c>
      <c r="J496" s="2"/>
      <c r="K496" s="2">
        <f ca="1">IFERROR(__xludf.DUMMYFUNCTION("""COMPUTED_VALUE"""),94.29)</f>
        <v>94.29</v>
      </c>
      <c r="L496" s="2">
        <f ca="1">IFERROR(__xludf.DUMMYFUNCTION("""COMPUTED_VALUE"""),77.34)</f>
        <v>77.34</v>
      </c>
      <c r="M496" s="2">
        <f ca="1">IFERROR(__xludf.DUMMYFUNCTION("""COMPUTED_VALUE"""),84.81)</f>
        <v>84.81</v>
      </c>
      <c r="N496" s="2">
        <f ca="1">IFERROR(__xludf.DUMMYFUNCTION("""COMPUTED_VALUE"""),91.39)</f>
        <v>91.39</v>
      </c>
      <c r="O496" s="2"/>
      <c r="P496" s="2"/>
      <c r="Q496" s="2"/>
    </row>
    <row r="497" spans="1:17" ht="15.75" customHeight="1" x14ac:dyDescent="0.25">
      <c r="A497" s="2">
        <v>9604</v>
      </c>
      <c r="B497" s="2" t="str">
        <f ca="1">IFERROR(__xludf.DUMMYFUNCTION("""COMPUTED_VALUE"""),"PAPUA TENGAH")</f>
        <v>PAPUA TENGAH</v>
      </c>
      <c r="C497" s="2" t="str">
        <f ca="1">IFERROR(__xludf.DUMMYFUNCTION("""COMPUTED_VALUE"""),"Mimika")</f>
        <v>Mimika</v>
      </c>
      <c r="D497" s="2">
        <f ca="1">IFERROR(__xludf.DUMMYFUNCTION("""COMPUTED_VALUE"""),8.3)</f>
        <v>8.3000000000000007</v>
      </c>
      <c r="E497" s="2">
        <f ca="1">IFERROR(__xludf.DUMMYFUNCTION("""COMPUTED_VALUE"""),7.51)</f>
        <v>7.51</v>
      </c>
      <c r="F497" s="2">
        <f ca="1">IFERROR(__xludf.DUMMYFUNCTION("""COMPUTED_VALUE"""),7.8)</f>
        <v>7.8</v>
      </c>
      <c r="G497" s="2">
        <f ca="1">IFERROR(__xludf.DUMMYFUNCTION("""COMPUTED_VALUE"""),5.37)</f>
        <v>5.37</v>
      </c>
      <c r="H497" s="2"/>
      <c r="I497" s="2">
        <f ca="1">IFERROR(__xludf.DUMMYFUNCTION("""COMPUTED_VALUE"""),4.06)</f>
        <v>4.0599999999999996</v>
      </c>
      <c r="J497" s="2"/>
      <c r="K497" s="2">
        <f ca="1">IFERROR(__xludf.DUMMYFUNCTION("""COMPUTED_VALUE"""),68.88)</f>
        <v>68.88</v>
      </c>
      <c r="L497" s="2">
        <f ca="1">IFERROR(__xludf.DUMMYFUNCTION("""COMPUTED_VALUE"""),64.93)</f>
        <v>64.930000000000007</v>
      </c>
      <c r="M497" s="2">
        <f ca="1">IFERROR(__xludf.DUMMYFUNCTION("""COMPUTED_VALUE"""),63.46)</f>
        <v>63.46</v>
      </c>
      <c r="N497" s="2">
        <f ca="1">IFERROR(__xludf.DUMMYFUNCTION("""COMPUTED_VALUE"""),64.77)</f>
        <v>64.77</v>
      </c>
      <c r="O497" s="2"/>
      <c r="P497" s="2"/>
      <c r="Q497" s="2"/>
    </row>
    <row r="498" spans="1:17" ht="15.75" customHeight="1" x14ac:dyDescent="0.25">
      <c r="A498" s="2">
        <v>9605</v>
      </c>
      <c r="B498" s="2" t="str">
        <f ca="1">IFERROR(__xludf.DUMMYFUNCTION("""COMPUTED_VALUE"""),"PAPUA TENGAH")</f>
        <v>PAPUA TENGAH</v>
      </c>
      <c r="C498" s="2" t="str">
        <f ca="1">IFERROR(__xludf.DUMMYFUNCTION("""COMPUTED_VALUE"""),"Puncak")</f>
        <v>Puncak</v>
      </c>
      <c r="D498" s="2">
        <f ca="1">IFERROR(__xludf.DUMMYFUNCTION("""COMPUTED_VALUE"""),0.9)</f>
        <v>0.9</v>
      </c>
      <c r="E498" s="2">
        <f ca="1">IFERROR(__xludf.DUMMYFUNCTION("""COMPUTED_VALUE"""),0)</f>
        <v>0</v>
      </c>
      <c r="F498" s="2">
        <f ca="1">IFERROR(__xludf.DUMMYFUNCTION("""COMPUTED_VALUE"""),0.56)</f>
        <v>0.56000000000000005</v>
      </c>
      <c r="G498" s="2">
        <f ca="1">IFERROR(__xludf.DUMMYFUNCTION("""COMPUTED_VALUE"""),0.94)</f>
        <v>0.94</v>
      </c>
      <c r="H498" s="2"/>
      <c r="I498" s="2" t="str">
        <f ca="1">IFERROR(__xludf.DUMMYFUNCTION("""COMPUTED_VALUE"""),"NA")</f>
        <v>NA</v>
      </c>
      <c r="J498" s="2"/>
      <c r="K498" s="2">
        <f ca="1">IFERROR(__xludf.DUMMYFUNCTION("""COMPUTED_VALUE"""),94.43)</f>
        <v>94.43</v>
      </c>
      <c r="L498" s="2">
        <f ca="1">IFERROR(__xludf.DUMMYFUNCTION("""COMPUTED_VALUE"""),79.47)</f>
        <v>79.47</v>
      </c>
      <c r="M498" s="2">
        <f ca="1">IFERROR(__xludf.DUMMYFUNCTION("""COMPUTED_VALUE"""),85.95)</f>
        <v>85.95</v>
      </c>
      <c r="N498" s="2">
        <f ca="1">IFERROR(__xludf.DUMMYFUNCTION("""COMPUTED_VALUE"""),89.43)</f>
        <v>89.43</v>
      </c>
      <c r="O498" s="2"/>
      <c r="P498" s="2"/>
      <c r="Q498" s="2"/>
    </row>
    <row r="499" spans="1:17" ht="15.75" customHeight="1" x14ac:dyDescent="0.25">
      <c r="A499" s="2">
        <v>9606</v>
      </c>
      <c r="B499" s="2" t="str">
        <f ca="1">IFERROR(__xludf.DUMMYFUNCTION("""COMPUTED_VALUE"""),"PAPUA TENGAH")</f>
        <v>PAPUA TENGAH</v>
      </c>
      <c r="C499" s="2" t="str">
        <f ca="1">IFERROR(__xludf.DUMMYFUNCTION("""COMPUTED_VALUE"""),"Dogiyai")</f>
        <v>Dogiyai</v>
      </c>
      <c r="D499" s="2">
        <f ca="1">IFERROR(__xludf.DUMMYFUNCTION("""COMPUTED_VALUE"""),1.26)</f>
        <v>1.26</v>
      </c>
      <c r="E499" s="2">
        <f ca="1">IFERROR(__xludf.DUMMYFUNCTION("""COMPUTED_VALUE"""),0.11)</f>
        <v>0.11</v>
      </c>
      <c r="F499" s="2">
        <f ca="1">IFERROR(__xludf.DUMMYFUNCTION("""COMPUTED_VALUE"""),0.21)</f>
        <v>0.21</v>
      </c>
      <c r="G499" s="2">
        <f ca="1">IFERROR(__xludf.DUMMYFUNCTION("""COMPUTED_VALUE"""),5.68)</f>
        <v>5.68</v>
      </c>
      <c r="H499" s="2"/>
      <c r="I499" s="2" t="str">
        <f ca="1">IFERROR(__xludf.DUMMYFUNCTION("""COMPUTED_VALUE"""),"NA")</f>
        <v>NA</v>
      </c>
      <c r="J499" s="2"/>
      <c r="K499" s="2">
        <f ca="1">IFERROR(__xludf.DUMMYFUNCTION("""COMPUTED_VALUE"""),86.18)</f>
        <v>86.18</v>
      </c>
      <c r="L499" s="2">
        <f ca="1">IFERROR(__xludf.DUMMYFUNCTION("""COMPUTED_VALUE"""),90.12)</f>
        <v>90.12</v>
      </c>
      <c r="M499" s="2">
        <f ca="1">IFERROR(__xludf.DUMMYFUNCTION("""COMPUTED_VALUE"""),82.45)</f>
        <v>82.45</v>
      </c>
      <c r="N499" s="2">
        <f ca="1">IFERROR(__xludf.DUMMYFUNCTION("""COMPUTED_VALUE"""),78.2)</f>
        <v>78.2</v>
      </c>
      <c r="O499" s="2"/>
      <c r="P499" s="2"/>
      <c r="Q499" s="2"/>
    </row>
    <row r="500" spans="1:17" ht="15.75" customHeight="1" x14ac:dyDescent="0.25">
      <c r="A500" s="2">
        <v>9607</v>
      </c>
      <c r="B500" s="2" t="str">
        <f ca="1">IFERROR(__xludf.DUMMYFUNCTION("""COMPUTED_VALUE"""),"PAPUA TENGAH")</f>
        <v>PAPUA TENGAH</v>
      </c>
      <c r="C500" s="2" t="str">
        <f ca="1">IFERROR(__xludf.DUMMYFUNCTION("""COMPUTED_VALUE"""),"Intan Jaya")</f>
        <v>Intan Jaya</v>
      </c>
      <c r="D500" s="2">
        <f ca="1">IFERROR(__xludf.DUMMYFUNCTION("""COMPUTED_VALUE"""),0.51)</f>
        <v>0.51</v>
      </c>
      <c r="E500" s="2">
        <f ca="1">IFERROR(__xludf.DUMMYFUNCTION("""COMPUTED_VALUE"""),0)</f>
        <v>0</v>
      </c>
      <c r="F500" s="2">
        <f ca="1">IFERROR(__xludf.DUMMYFUNCTION("""COMPUTED_VALUE"""),1.22)</f>
        <v>1.22</v>
      </c>
      <c r="G500" s="2">
        <f ca="1">IFERROR(__xludf.DUMMYFUNCTION("""COMPUTED_VALUE"""),1.43)</f>
        <v>1.43</v>
      </c>
      <c r="H500" s="2"/>
      <c r="I500" s="2" t="str">
        <f ca="1">IFERROR(__xludf.DUMMYFUNCTION("""COMPUTED_VALUE"""),"NA")</f>
        <v>NA</v>
      </c>
      <c r="J500" s="2"/>
      <c r="K500" s="2">
        <f ca="1">IFERROR(__xludf.DUMMYFUNCTION("""COMPUTED_VALUE"""),73.68)</f>
        <v>73.680000000000007</v>
      </c>
      <c r="L500" s="2">
        <f ca="1">IFERROR(__xludf.DUMMYFUNCTION("""COMPUTED_VALUE"""),82.1)</f>
        <v>82.1</v>
      </c>
      <c r="M500" s="2">
        <f ca="1">IFERROR(__xludf.DUMMYFUNCTION("""COMPUTED_VALUE"""),69.21)</f>
        <v>69.209999999999994</v>
      </c>
      <c r="N500" s="2">
        <f ca="1">IFERROR(__xludf.DUMMYFUNCTION("""COMPUTED_VALUE"""),75.75)</f>
        <v>75.75</v>
      </c>
      <c r="O500" s="2"/>
      <c r="P500" s="2"/>
      <c r="Q500" s="2"/>
    </row>
    <row r="501" spans="1:17" ht="15.75" customHeight="1" x14ac:dyDescent="0.25">
      <c r="A501" s="2">
        <v>9608</v>
      </c>
      <c r="B501" s="2" t="str">
        <f ca="1">IFERROR(__xludf.DUMMYFUNCTION("""COMPUTED_VALUE"""),"PAPUA TENGAH")</f>
        <v>PAPUA TENGAH</v>
      </c>
      <c r="C501" s="2" t="str">
        <f ca="1">IFERROR(__xludf.DUMMYFUNCTION("""COMPUTED_VALUE"""),"Deiyai")</f>
        <v>Deiyai</v>
      </c>
      <c r="D501" s="2">
        <f ca="1">IFERROR(__xludf.DUMMYFUNCTION("""COMPUTED_VALUE"""),0.59)</f>
        <v>0.59</v>
      </c>
      <c r="E501" s="2">
        <f ca="1">IFERROR(__xludf.DUMMYFUNCTION("""COMPUTED_VALUE"""),0.22)</f>
        <v>0.22</v>
      </c>
      <c r="F501" s="2">
        <f ca="1">IFERROR(__xludf.DUMMYFUNCTION("""COMPUTED_VALUE"""),0.41)</f>
        <v>0.41</v>
      </c>
      <c r="G501" s="2">
        <f ca="1">IFERROR(__xludf.DUMMYFUNCTION("""COMPUTED_VALUE"""),0.79)</f>
        <v>0.79</v>
      </c>
      <c r="H501" s="2"/>
      <c r="I501" s="2">
        <f ca="1">IFERROR(__xludf.DUMMYFUNCTION("""COMPUTED_VALUE"""),0.73)</f>
        <v>0.73</v>
      </c>
      <c r="J501" s="2"/>
      <c r="K501" s="2">
        <f ca="1">IFERROR(__xludf.DUMMYFUNCTION("""COMPUTED_VALUE"""),89.45)</f>
        <v>89.45</v>
      </c>
      <c r="L501" s="2">
        <f ca="1">IFERROR(__xludf.DUMMYFUNCTION("""COMPUTED_VALUE"""),92.65)</f>
        <v>92.65</v>
      </c>
      <c r="M501" s="2">
        <f ca="1">IFERROR(__xludf.DUMMYFUNCTION("""COMPUTED_VALUE"""),89.65)</f>
        <v>89.65</v>
      </c>
      <c r="N501" s="2">
        <f ca="1">IFERROR(__xludf.DUMMYFUNCTION("""COMPUTED_VALUE"""),85.01)</f>
        <v>85.01</v>
      </c>
      <c r="O501" s="2"/>
      <c r="P501" s="2"/>
      <c r="Q501" s="2"/>
    </row>
    <row r="502" spans="1:17" ht="15.75" customHeight="1" x14ac:dyDescent="0.25">
      <c r="A502" s="2">
        <v>9701</v>
      </c>
      <c r="B502" s="2" t="str">
        <f ca="1">IFERROR(__xludf.DUMMYFUNCTION("""COMPUTED_VALUE"""),"PAPUA PEGUNUNGAN")</f>
        <v>PAPUA PEGUNUNGAN</v>
      </c>
      <c r="C502" s="2" t="str">
        <f ca="1">IFERROR(__xludf.DUMMYFUNCTION("""COMPUTED_VALUE"""),"Jayawijaya")</f>
        <v>Jayawijaya</v>
      </c>
      <c r="D502" s="2">
        <f ca="1">IFERROR(__xludf.DUMMYFUNCTION("""COMPUTED_VALUE"""),0.65)</f>
        <v>0.65</v>
      </c>
      <c r="E502" s="2">
        <f ca="1">IFERROR(__xludf.DUMMYFUNCTION("""COMPUTED_VALUE"""),2.39)</f>
        <v>2.39</v>
      </c>
      <c r="F502" s="2">
        <f ca="1">IFERROR(__xludf.DUMMYFUNCTION("""COMPUTED_VALUE"""),2.51)</f>
        <v>2.5099999999999998</v>
      </c>
      <c r="G502" s="2">
        <f ca="1">IFERROR(__xludf.DUMMYFUNCTION("""COMPUTED_VALUE"""),1.62)</f>
        <v>1.62</v>
      </c>
      <c r="H502" s="2"/>
      <c r="I502" s="2" t="str">
        <f ca="1">IFERROR(__xludf.DUMMYFUNCTION("""COMPUTED_VALUE"""),"NA")</f>
        <v>NA</v>
      </c>
      <c r="J502" s="2"/>
      <c r="K502" s="2">
        <f ca="1">IFERROR(__xludf.DUMMYFUNCTION("""COMPUTED_VALUE"""),89.5)</f>
        <v>89.5</v>
      </c>
      <c r="L502" s="2">
        <f ca="1">IFERROR(__xludf.DUMMYFUNCTION("""COMPUTED_VALUE"""),85.42)</f>
        <v>85.42</v>
      </c>
      <c r="M502" s="2">
        <f ca="1">IFERROR(__xludf.DUMMYFUNCTION("""COMPUTED_VALUE"""),81.98)</f>
        <v>81.98</v>
      </c>
      <c r="N502" s="2">
        <f ca="1">IFERROR(__xludf.DUMMYFUNCTION("""COMPUTED_VALUE"""),84.14)</f>
        <v>84.14</v>
      </c>
      <c r="O502" s="2"/>
      <c r="P502" s="2"/>
      <c r="Q502" s="2"/>
    </row>
    <row r="503" spans="1:17" ht="15.75" customHeight="1" x14ac:dyDescent="0.25">
      <c r="A503" s="2">
        <v>9702</v>
      </c>
      <c r="B503" s="2" t="str">
        <f ca="1">IFERROR(__xludf.DUMMYFUNCTION("""COMPUTED_VALUE"""),"PAPUA PEGUNUNGAN")</f>
        <v>PAPUA PEGUNUNGAN</v>
      </c>
      <c r="C503" s="2" t="str">
        <f ca="1">IFERROR(__xludf.DUMMYFUNCTION("""COMPUTED_VALUE"""),"Yahukimo")</f>
        <v>Yahukimo</v>
      </c>
      <c r="D503" s="2">
        <f ca="1">IFERROR(__xludf.DUMMYFUNCTION("""COMPUTED_VALUE"""),0.86)</f>
        <v>0.86</v>
      </c>
      <c r="E503" s="2">
        <f ca="1">IFERROR(__xludf.DUMMYFUNCTION("""COMPUTED_VALUE"""),2.01)</f>
        <v>2.0099999999999998</v>
      </c>
      <c r="F503" s="2">
        <f ca="1">IFERROR(__xludf.DUMMYFUNCTION("""COMPUTED_VALUE"""),3.88)</f>
        <v>3.88</v>
      </c>
      <c r="G503" s="2">
        <f ca="1">IFERROR(__xludf.DUMMYFUNCTION("""COMPUTED_VALUE"""),2.25)</f>
        <v>2.25</v>
      </c>
      <c r="H503" s="2"/>
      <c r="I503" s="2" t="str">
        <f ca="1">IFERROR(__xludf.DUMMYFUNCTION("""COMPUTED_VALUE"""),"NA")</f>
        <v>NA</v>
      </c>
      <c r="J503" s="2"/>
      <c r="K503" s="2">
        <f ca="1">IFERROR(__xludf.DUMMYFUNCTION("""COMPUTED_VALUE"""),85.08)</f>
        <v>85.08</v>
      </c>
      <c r="L503" s="2">
        <f ca="1">IFERROR(__xludf.DUMMYFUNCTION("""COMPUTED_VALUE"""),82.16)</f>
        <v>82.16</v>
      </c>
      <c r="M503" s="2">
        <f ca="1">IFERROR(__xludf.DUMMYFUNCTION("""COMPUTED_VALUE"""),85.77)</f>
        <v>85.77</v>
      </c>
      <c r="N503" s="2">
        <f ca="1">IFERROR(__xludf.DUMMYFUNCTION("""COMPUTED_VALUE"""),85.47)</f>
        <v>85.47</v>
      </c>
      <c r="O503" s="2"/>
      <c r="P503" s="2"/>
      <c r="Q503" s="2"/>
    </row>
    <row r="504" spans="1:17" ht="15.75" customHeight="1" x14ac:dyDescent="0.25">
      <c r="A504" s="2">
        <v>9703</v>
      </c>
      <c r="B504" s="2" t="str">
        <f ca="1">IFERROR(__xludf.DUMMYFUNCTION("""COMPUTED_VALUE"""),"PAPUA PEGUNUNGAN")</f>
        <v>PAPUA PEGUNUNGAN</v>
      </c>
      <c r="C504" s="2" t="str">
        <f ca="1">IFERROR(__xludf.DUMMYFUNCTION("""COMPUTED_VALUE"""),"Pegunungan Bintang")</f>
        <v>Pegunungan Bintang</v>
      </c>
      <c r="D504" s="2">
        <f ca="1">IFERROR(__xludf.DUMMYFUNCTION("""COMPUTED_VALUE"""),0.88)</f>
        <v>0.88</v>
      </c>
      <c r="E504" s="2">
        <f ca="1">IFERROR(__xludf.DUMMYFUNCTION("""COMPUTED_VALUE"""),1.63)</f>
        <v>1.63</v>
      </c>
      <c r="F504" s="2">
        <f ca="1">IFERROR(__xludf.DUMMYFUNCTION("""COMPUTED_VALUE"""),4.12)</f>
        <v>4.12</v>
      </c>
      <c r="G504" s="2">
        <f ca="1">IFERROR(__xludf.DUMMYFUNCTION("""COMPUTED_VALUE"""),4.43)</f>
        <v>4.43</v>
      </c>
      <c r="H504" s="2"/>
      <c r="I504" s="2" t="str">
        <f ca="1">IFERROR(__xludf.DUMMYFUNCTION("""COMPUTED_VALUE"""),"NA")</f>
        <v>NA</v>
      </c>
      <c r="J504" s="2"/>
      <c r="K504" s="2">
        <f ca="1">IFERROR(__xludf.DUMMYFUNCTION("""COMPUTED_VALUE"""),87.26)</f>
        <v>87.26</v>
      </c>
      <c r="L504" s="2">
        <f ca="1">IFERROR(__xludf.DUMMYFUNCTION("""COMPUTED_VALUE"""),90.4)</f>
        <v>90.4</v>
      </c>
      <c r="M504" s="2">
        <f ca="1">IFERROR(__xludf.DUMMYFUNCTION("""COMPUTED_VALUE"""),86.47)</f>
        <v>86.47</v>
      </c>
      <c r="N504" s="2">
        <f ca="1">IFERROR(__xludf.DUMMYFUNCTION("""COMPUTED_VALUE"""),87.88)</f>
        <v>87.88</v>
      </c>
      <c r="O504" s="2"/>
      <c r="P504" s="2"/>
      <c r="Q504" s="2"/>
    </row>
    <row r="505" spans="1:17" ht="15.75" customHeight="1" x14ac:dyDescent="0.25">
      <c r="A505" s="2">
        <v>9704</v>
      </c>
      <c r="B505" s="2" t="str">
        <f ca="1">IFERROR(__xludf.DUMMYFUNCTION("""COMPUTED_VALUE"""),"PAPUA PEGUNUNGAN")</f>
        <v>PAPUA PEGUNUNGAN</v>
      </c>
      <c r="C505" s="2" t="str">
        <f ca="1">IFERROR(__xludf.DUMMYFUNCTION("""COMPUTED_VALUE"""),"Tolikara")</f>
        <v>Tolikara</v>
      </c>
      <c r="D505" s="2">
        <f ca="1">IFERROR(__xludf.DUMMYFUNCTION("""COMPUTED_VALUE"""),0.17)</f>
        <v>0.17</v>
      </c>
      <c r="E505" s="2">
        <f ca="1">IFERROR(__xludf.DUMMYFUNCTION("""COMPUTED_VALUE"""),1.3)</f>
        <v>1.3</v>
      </c>
      <c r="F505" s="2">
        <f ca="1">IFERROR(__xludf.DUMMYFUNCTION("""COMPUTED_VALUE"""),1.07)</f>
        <v>1.07</v>
      </c>
      <c r="G505" s="2">
        <f ca="1">IFERROR(__xludf.DUMMYFUNCTION("""COMPUTED_VALUE"""),1.12)</f>
        <v>1.1200000000000001</v>
      </c>
      <c r="H505" s="2"/>
      <c r="I505" s="2" t="str">
        <f ca="1">IFERROR(__xludf.DUMMYFUNCTION("""COMPUTED_VALUE"""),"NA")</f>
        <v>NA</v>
      </c>
      <c r="J505" s="2"/>
      <c r="K505" s="2">
        <f ca="1">IFERROR(__xludf.DUMMYFUNCTION("""COMPUTED_VALUE"""),95.16)</f>
        <v>95.16</v>
      </c>
      <c r="L505" s="2">
        <f ca="1">IFERROR(__xludf.DUMMYFUNCTION("""COMPUTED_VALUE"""),91.98)</f>
        <v>91.98</v>
      </c>
      <c r="M505" s="2">
        <f ca="1">IFERROR(__xludf.DUMMYFUNCTION("""COMPUTED_VALUE"""),92.94)</f>
        <v>92.94</v>
      </c>
      <c r="N505" s="2">
        <f ca="1">IFERROR(__xludf.DUMMYFUNCTION("""COMPUTED_VALUE"""),90.61)</f>
        <v>90.61</v>
      </c>
      <c r="O505" s="2"/>
      <c r="P505" s="2"/>
      <c r="Q505" s="2"/>
    </row>
    <row r="506" spans="1:17" ht="15.75" customHeight="1" x14ac:dyDescent="0.25">
      <c r="A506" s="2">
        <v>9705</v>
      </c>
      <c r="B506" s="2" t="str">
        <f ca="1">IFERROR(__xludf.DUMMYFUNCTION("""COMPUTED_VALUE"""),"PAPUA PEGUNUNGAN")</f>
        <v>PAPUA PEGUNUNGAN</v>
      </c>
      <c r="C506" s="2" t="str">
        <f ca="1">IFERROR(__xludf.DUMMYFUNCTION("""COMPUTED_VALUE"""),"Nduga")</f>
        <v>Nduga</v>
      </c>
      <c r="D506" s="2">
        <f ca="1">IFERROR(__xludf.DUMMYFUNCTION("""COMPUTED_VALUE"""),0.59)</f>
        <v>0.59</v>
      </c>
      <c r="E506" s="2">
        <f ca="1">IFERROR(__xludf.DUMMYFUNCTION("""COMPUTED_VALUE"""),1.03)</f>
        <v>1.03</v>
      </c>
      <c r="F506" s="2">
        <f ca="1">IFERROR(__xludf.DUMMYFUNCTION("""COMPUTED_VALUE"""),0.93)</f>
        <v>0.93</v>
      </c>
      <c r="G506" s="2">
        <f ca="1">IFERROR(__xludf.DUMMYFUNCTION("""COMPUTED_VALUE"""),0)</f>
        <v>0</v>
      </c>
      <c r="H506" s="2"/>
      <c r="I506" s="2">
        <f ca="1">IFERROR(__xludf.DUMMYFUNCTION("""COMPUTED_VALUE"""),0.96)</f>
        <v>0.96</v>
      </c>
      <c r="J506" s="2"/>
      <c r="K506" s="2">
        <f ca="1">IFERROR(__xludf.DUMMYFUNCTION("""COMPUTED_VALUE"""),91.95)</f>
        <v>91.95</v>
      </c>
      <c r="L506" s="2">
        <f ca="1">IFERROR(__xludf.DUMMYFUNCTION("""COMPUTED_VALUE"""),95.21)</f>
        <v>95.21</v>
      </c>
      <c r="M506" s="2">
        <f ca="1">IFERROR(__xludf.DUMMYFUNCTION("""COMPUTED_VALUE"""),96.25)</f>
        <v>96.25</v>
      </c>
      <c r="N506" s="2">
        <f ca="1">IFERROR(__xludf.DUMMYFUNCTION("""COMPUTED_VALUE"""),97.93)</f>
        <v>97.93</v>
      </c>
      <c r="O506" s="2"/>
      <c r="P506" s="2"/>
      <c r="Q506" s="2"/>
    </row>
    <row r="507" spans="1:17" ht="15.75" customHeight="1" x14ac:dyDescent="0.25">
      <c r="A507" s="2">
        <v>9706</v>
      </c>
      <c r="B507" s="2" t="str">
        <f ca="1">IFERROR(__xludf.DUMMYFUNCTION("""COMPUTED_VALUE"""),"PAPUA PEGUNUNGAN")</f>
        <v>PAPUA PEGUNUNGAN</v>
      </c>
      <c r="C507" s="2" t="str">
        <f ca="1">IFERROR(__xludf.DUMMYFUNCTION("""COMPUTED_VALUE"""),"Lanny Jaya")</f>
        <v>Lanny Jaya</v>
      </c>
      <c r="D507" s="2">
        <f ca="1">IFERROR(__xludf.DUMMYFUNCTION("""COMPUTED_VALUE"""),0.69)</f>
        <v>0.69</v>
      </c>
      <c r="E507" s="2">
        <f ca="1">IFERROR(__xludf.DUMMYFUNCTION("""COMPUTED_VALUE"""),0.12)</f>
        <v>0.12</v>
      </c>
      <c r="F507" s="2">
        <f ca="1">IFERROR(__xludf.DUMMYFUNCTION("""COMPUTED_VALUE"""),0.9)</f>
        <v>0.9</v>
      </c>
      <c r="G507" s="2">
        <f ca="1">IFERROR(__xludf.DUMMYFUNCTION("""COMPUTED_VALUE"""),0)</f>
        <v>0</v>
      </c>
      <c r="H507" s="2"/>
      <c r="I507" s="2" t="str">
        <f ca="1">IFERROR(__xludf.DUMMYFUNCTION("""COMPUTED_VALUE"""),"NA")</f>
        <v>NA</v>
      </c>
      <c r="J507" s="2"/>
      <c r="K507" s="2">
        <f ca="1">IFERROR(__xludf.DUMMYFUNCTION("""COMPUTED_VALUE"""),92.49)</f>
        <v>92.49</v>
      </c>
      <c r="L507" s="2">
        <f ca="1">IFERROR(__xludf.DUMMYFUNCTION("""COMPUTED_VALUE"""),92.5)</f>
        <v>92.5</v>
      </c>
      <c r="M507" s="2">
        <f ca="1">IFERROR(__xludf.DUMMYFUNCTION("""COMPUTED_VALUE"""),36.65)</f>
        <v>36.65</v>
      </c>
      <c r="N507" s="2">
        <f ca="1">IFERROR(__xludf.DUMMYFUNCTION("""COMPUTED_VALUE"""),95.66)</f>
        <v>95.66</v>
      </c>
      <c r="O507" s="2"/>
      <c r="P507" s="2"/>
      <c r="Q507" s="2"/>
    </row>
    <row r="508" spans="1:17" ht="15.75" customHeight="1" x14ac:dyDescent="0.25">
      <c r="A508" s="2">
        <v>9707</v>
      </c>
      <c r="B508" s="2" t="str">
        <f ca="1">IFERROR(__xludf.DUMMYFUNCTION("""COMPUTED_VALUE"""),"PAPUA PEGUNUNGAN")</f>
        <v>PAPUA PEGUNUNGAN</v>
      </c>
      <c r="C508" s="2" t="str">
        <f ca="1">IFERROR(__xludf.DUMMYFUNCTION("""COMPUTED_VALUE"""),"Mamberamo Tengah")</f>
        <v>Mamberamo Tengah</v>
      </c>
      <c r="D508" s="2">
        <f ca="1">IFERROR(__xludf.DUMMYFUNCTION("""COMPUTED_VALUE"""),0.31)</f>
        <v>0.31</v>
      </c>
      <c r="E508" s="2">
        <f ca="1">IFERROR(__xludf.DUMMYFUNCTION("""COMPUTED_VALUE"""),0.71)</f>
        <v>0.71</v>
      </c>
      <c r="F508" s="2">
        <f ca="1">IFERROR(__xludf.DUMMYFUNCTION("""COMPUTED_VALUE"""),0.8)</f>
        <v>0.8</v>
      </c>
      <c r="G508" s="2">
        <f ca="1">IFERROR(__xludf.DUMMYFUNCTION("""COMPUTED_VALUE"""),0.9)</f>
        <v>0.9</v>
      </c>
      <c r="H508" s="2"/>
      <c r="I508" s="2">
        <f ca="1">IFERROR(__xludf.DUMMYFUNCTION("""COMPUTED_VALUE"""),2.54)</f>
        <v>2.54</v>
      </c>
      <c r="J508" s="2"/>
      <c r="K508" s="2">
        <f ca="1">IFERROR(__xludf.DUMMYFUNCTION("""COMPUTED_VALUE"""),95.54)</f>
        <v>95.54</v>
      </c>
      <c r="L508" s="2">
        <f ca="1">IFERROR(__xludf.DUMMYFUNCTION("""COMPUTED_VALUE"""),93.45)</f>
        <v>93.45</v>
      </c>
      <c r="M508" s="2">
        <f ca="1">IFERROR(__xludf.DUMMYFUNCTION("""COMPUTED_VALUE"""),80.03)</f>
        <v>80.03</v>
      </c>
      <c r="N508" s="2">
        <f ca="1">IFERROR(__xludf.DUMMYFUNCTION("""COMPUTED_VALUE"""),95.84)</f>
        <v>95.84</v>
      </c>
      <c r="O508" s="2"/>
      <c r="P508" s="2"/>
      <c r="Q508" s="2"/>
    </row>
    <row r="509" spans="1:17" ht="15.75" customHeight="1" x14ac:dyDescent="0.25">
      <c r="A509" s="2">
        <v>9708</v>
      </c>
      <c r="B509" s="2" t="str">
        <f ca="1">IFERROR(__xludf.DUMMYFUNCTION("""COMPUTED_VALUE"""),"PAPUA PEGUNUNGAN")</f>
        <v>PAPUA PEGUNUNGAN</v>
      </c>
      <c r="C509" s="2" t="str">
        <f ca="1">IFERROR(__xludf.DUMMYFUNCTION("""COMPUTED_VALUE"""),"Yalimo")</f>
        <v>Yalimo</v>
      </c>
      <c r="D509" s="2">
        <f ca="1">IFERROR(__xludf.DUMMYFUNCTION("""COMPUTED_VALUE"""),0.84)</f>
        <v>0.84</v>
      </c>
      <c r="E509" s="2">
        <f ca="1">IFERROR(__xludf.DUMMYFUNCTION("""COMPUTED_VALUE"""),0.64)</f>
        <v>0.64</v>
      </c>
      <c r="F509" s="2">
        <f ca="1">IFERROR(__xludf.DUMMYFUNCTION("""COMPUTED_VALUE"""),0.86)</f>
        <v>0.86</v>
      </c>
      <c r="G509" s="2">
        <f ca="1">IFERROR(__xludf.DUMMYFUNCTION("""COMPUTED_VALUE"""),0.41)</f>
        <v>0.41</v>
      </c>
      <c r="H509" s="2"/>
      <c r="I509" s="2">
        <f ca="1">IFERROR(__xludf.DUMMYFUNCTION("""COMPUTED_VALUE"""),1.58)</f>
        <v>1.58</v>
      </c>
      <c r="J509" s="2"/>
      <c r="K509" s="2">
        <f ca="1">IFERROR(__xludf.DUMMYFUNCTION("""COMPUTED_VALUE"""),85.83)</f>
        <v>85.83</v>
      </c>
      <c r="L509" s="2">
        <f ca="1">IFERROR(__xludf.DUMMYFUNCTION("""COMPUTED_VALUE"""),89.43)</f>
        <v>89.43</v>
      </c>
      <c r="M509" s="2">
        <f ca="1">IFERROR(__xludf.DUMMYFUNCTION("""COMPUTED_VALUE"""),89.01)</f>
        <v>89.01</v>
      </c>
      <c r="N509" s="2">
        <f ca="1">IFERROR(__xludf.DUMMYFUNCTION("""COMPUTED_VALUE"""),93.68)</f>
        <v>93.68</v>
      </c>
      <c r="O509" s="2"/>
      <c r="P509" s="2"/>
      <c r="Q509" s="2"/>
    </row>
    <row r="510" spans="1:17" ht="15.75" customHeight="1" x14ac:dyDescent="0.25">
      <c r="A510" s="2">
        <v>9201</v>
      </c>
      <c r="B510" s="2" t="str">
        <f ca="1">IFERROR(__xludf.DUMMYFUNCTION("""COMPUTED_VALUE"""),"PAPUA BARAT DAYA")</f>
        <v>PAPUA BARAT DAYA</v>
      </c>
      <c r="C510" s="2" t="str">
        <f ca="1">IFERROR(__xludf.DUMMYFUNCTION("""COMPUTED_VALUE"""),"Sorong Selatan")</f>
        <v>Sorong Selatan</v>
      </c>
      <c r="D510" s="2">
        <f ca="1">IFERROR(__xludf.DUMMYFUNCTION("""COMPUTED_VALUE"""),4.89)</f>
        <v>4.8899999999999997</v>
      </c>
      <c r="E510" s="2">
        <f ca="1">IFERROR(__xludf.DUMMYFUNCTION("""COMPUTED_VALUE"""),3.82)</f>
        <v>3.82</v>
      </c>
      <c r="F510" s="2">
        <f ca="1">IFERROR(__xludf.DUMMYFUNCTION("""COMPUTED_VALUE"""),3.69)</f>
        <v>3.69</v>
      </c>
      <c r="G510" s="2">
        <f ca="1">IFERROR(__xludf.DUMMYFUNCTION("""COMPUTED_VALUE"""),3.55)</f>
        <v>3.55</v>
      </c>
      <c r="H510" s="2">
        <f ca="1">IFERROR(__xludf.DUMMYFUNCTION("""COMPUTED_VALUE"""),3.05)</f>
        <v>3.05</v>
      </c>
      <c r="I510" s="2">
        <f ca="1">IFERROR(__xludf.DUMMYFUNCTION("""COMPUTED_VALUE"""),3.97)</f>
        <v>3.97</v>
      </c>
      <c r="J510" s="2"/>
      <c r="K510" s="2">
        <f ca="1">IFERROR(__xludf.DUMMYFUNCTION("""COMPUTED_VALUE"""),68.61)</f>
        <v>68.61</v>
      </c>
      <c r="L510" s="2">
        <f ca="1">IFERROR(__xludf.DUMMYFUNCTION("""COMPUTED_VALUE"""),77.45)</f>
        <v>77.45</v>
      </c>
      <c r="M510" s="2">
        <f ca="1">IFERROR(__xludf.DUMMYFUNCTION("""COMPUTED_VALUE"""),70.44)</f>
        <v>70.44</v>
      </c>
      <c r="N510" s="2">
        <f ca="1">IFERROR(__xludf.DUMMYFUNCTION("""COMPUTED_VALUE"""),80.07)</f>
        <v>80.069999999999993</v>
      </c>
      <c r="O510" s="2">
        <f ca="1">IFERROR(__xludf.DUMMYFUNCTION("""COMPUTED_VALUE"""),78.37)</f>
        <v>78.37</v>
      </c>
      <c r="P510" s="2"/>
      <c r="Q510" s="2"/>
    </row>
    <row r="511" spans="1:17" ht="15.75" customHeight="1" x14ac:dyDescent="0.25">
      <c r="A511" s="2">
        <v>9202</v>
      </c>
      <c r="B511" s="2" t="str">
        <f ca="1">IFERROR(__xludf.DUMMYFUNCTION("""COMPUTED_VALUE"""),"PAPUA BARAT DAYA")</f>
        <v>PAPUA BARAT DAYA</v>
      </c>
      <c r="C511" s="2" t="str">
        <f ca="1">IFERROR(__xludf.DUMMYFUNCTION("""COMPUTED_VALUE"""),"Sorong")</f>
        <v>Sorong</v>
      </c>
      <c r="D511" s="2">
        <f ca="1">IFERROR(__xludf.DUMMYFUNCTION("""COMPUTED_VALUE"""),3.08)</f>
        <v>3.08</v>
      </c>
      <c r="E511" s="2">
        <f ca="1">IFERROR(__xludf.DUMMYFUNCTION("""COMPUTED_VALUE"""),2.94)</f>
        <v>2.94</v>
      </c>
      <c r="F511" s="2">
        <f ca="1">IFERROR(__xludf.DUMMYFUNCTION("""COMPUTED_VALUE"""),3.29)</f>
        <v>3.29</v>
      </c>
      <c r="G511" s="2">
        <f ca="1">IFERROR(__xludf.DUMMYFUNCTION("""COMPUTED_VALUE"""),3.36)</f>
        <v>3.36</v>
      </c>
      <c r="H511" s="2">
        <f ca="1">IFERROR(__xludf.DUMMYFUNCTION("""COMPUTED_VALUE"""),3.38)</f>
        <v>3.38</v>
      </c>
      <c r="I511" s="2">
        <f ca="1">IFERROR(__xludf.DUMMYFUNCTION("""COMPUTED_VALUE"""),4.58)</f>
        <v>4.58</v>
      </c>
      <c r="J511" s="2"/>
      <c r="K511" s="2">
        <f ca="1">IFERROR(__xludf.DUMMYFUNCTION("""COMPUTED_VALUE"""),65.93)</f>
        <v>65.930000000000007</v>
      </c>
      <c r="L511" s="2">
        <f ca="1">IFERROR(__xludf.DUMMYFUNCTION("""COMPUTED_VALUE"""),67.32)</f>
        <v>67.319999999999993</v>
      </c>
      <c r="M511" s="2">
        <f ca="1">IFERROR(__xludf.DUMMYFUNCTION("""COMPUTED_VALUE"""),64.21)</f>
        <v>64.209999999999994</v>
      </c>
      <c r="N511" s="2">
        <f ca="1">IFERROR(__xludf.DUMMYFUNCTION("""COMPUTED_VALUE"""),68.89)</f>
        <v>68.89</v>
      </c>
      <c r="O511" s="2">
        <f ca="1">IFERROR(__xludf.DUMMYFUNCTION("""COMPUTED_VALUE"""),67.13)</f>
        <v>67.13</v>
      </c>
      <c r="P511" s="2"/>
      <c r="Q511" s="2"/>
    </row>
    <row r="512" spans="1:17" ht="15.75" customHeight="1" x14ac:dyDescent="0.25">
      <c r="A512" s="2">
        <v>9203</v>
      </c>
      <c r="B512" s="2" t="str">
        <f ca="1">IFERROR(__xludf.DUMMYFUNCTION("""COMPUTED_VALUE"""),"PAPUA BARAT DAYA")</f>
        <v>PAPUA BARAT DAYA</v>
      </c>
      <c r="C512" s="2" t="str">
        <f ca="1">IFERROR(__xludf.DUMMYFUNCTION("""COMPUTED_VALUE"""),"Raja Ampat")</f>
        <v>Raja Ampat</v>
      </c>
      <c r="D512" s="2">
        <f ca="1">IFERROR(__xludf.DUMMYFUNCTION("""COMPUTED_VALUE"""),3.32)</f>
        <v>3.32</v>
      </c>
      <c r="E512" s="2">
        <f ca="1">IFERROR(__xludf.DUMMYFUNCTION("""COMPUTED_VALUE"""),2.16)</f>
        <v>2.16</v>
      </c>
      <c r="F512" s="2">
        <f ca="1">IFERROR(__xludf.DUMMYFUNCTION("""COMPUTED_VALUE"""),2.73)</f>
        <v>2.73</v>
      </c>
      <c r="G512" s="2">
        <f ca="1">IFERROR(__xludf.DUMMYFUNCTION("""COMPUTED_VALUE"""),3.81)</f>
        <v>3.81</v>
      </c>
      <c r="H512" s="2">
        <f ca="1">IFERROR(__xludf.DUMMYFUNCTION("""COMPUTED_VALUE"""),3.91)</f>
        <v>3.91</v>
      </c>
      <c r="I512" s="2">
        <f ca="1">IFERROR(__xludf.DUMMYFUNCTION("""COMPUTED_VALUE"""),3.01)</f>
        <v>3.01</v>
      </c>
      <c r="J512" s="2"/>
      <c r="K512" s="2">
        <f ca="1">IFERROR(__xludf.DUMMYFUNCTION("""COMPUTED_VALUE"""),66.78)</f>
        <v>66.78</v>
      </c>
      <c r="L512" s="2">
        <f ca="1">IFERROR(__xludf.DUMMYFUNCTION("""COMPUTED_VALUE"""),67.45)</f>
        <v>67.45</v>
      </c>
      <c r="M512" s="2">
        <f ca="1">IFERROR(__xludf.DUMMYFUNCTION("""COMPUTED_VALUE"""),71.83)</f>
        <v>71.83</v>
      </c>
      <c r="N512" s="2">
        <f ca="1">IFERROR(__xludf.DUMMYFUNCTION("""COMPUTED_VALUE"""),66.43)</f>
        <v>66.430000000000007</v>
      </c>
      <c r="O512" s="2">
        <f ca="1">IFERROR(__xludf.DUMMYFUNCTION("""COMPUTED_VALUE"""),61.95)</f>
        <v>61.95</v>
      </c>
      <c r="P512" s="2"/>
      <c r="Q512" s="2"/>
    </row>
    <row r="513" spans="1:17" ht="15.75" customHeight="1" x14ac:dyDescent="0.25">
      <c r="A513" s="2">
        <v>9204</v>
      </c>
      <c r="B513" s="2" t="str">
        <f ca="1">IFERROR(__xludf.DUMMYFUNCTION("""COMPUTED_VALUE"""),"PAPUA BARAT DAYA")</f>
        <v>PAPUA BARAT DAYA</v>
      </c>
      <c r="C513" s="2" t="str">
        <f ca="1">IFERROR(__xludf.DUMMYFUNCTION("""COMPUTED_VALUE"""),"Tambrauw")</f>
        <v>Tambrauw</v>
      </c>
      <c r="D513" s="2">
        <f ca="1">IFERROR(__xludf.DUMMYFUNCTION("""COMPUTED_VALUE"""),3.07)</f>
        <v>3.07</v>
      </c>
      <c r="E513" s="2">
        <f ca="1">IFERROR(__xludf.DUMMYFUNCTION("""COMPUTED_VALUE"""),2.13)</f>
        <v>2.13</v>
      </c>
      <c r="F513" s="2">
        <f ca="1">IFERROR(__xludf.DUMMYFUNCTION("""COMPUTED_VALUE"""),2.46)</f>
        <v>2.46</v>
      </c>
      <c r="G513" s="2">
        <f ca="1">IFERROR(__xludf.DUMMYFUNCTION("""COMPUTED_VALUE"""),1.49)</f>
        <v>1.49</v>
      </c>
      <c r="H513" s="2">
        <f ca="1">IFERROR(__xludf.DUMMYFUNCTION("""COMPUTED_VALUE"""),1.46)</f>
        <v>1.46</v>
      </c>
      <c r="I513" s="2">
        <f ca="1">IFERROR(__xludf.DUMMYFUNCTION("""COMPUTED_VALUE"""),4.24)</f>
        <v>4.24</v>
      </c>
      <c r="J513" s="2"/>
      <c r="K513" s="2">
        <f ca="1">IFERROR(__xludf.DUMMYFUNCTION("""COMPUTED_VALUE"""),82.24)</f>
        <v>82.24</v>
      </c>
      <c r="L513" s="2">
        <f ca="1">IFERROR(__xludf.DUMMYFUNCTION("""COMPUTED_VALUE"""),75.71)</f>
        <v>75.709999999999994</v>
      </c>
      <c r="M513" s="2">
        <f ca="1">IFERROR(__xludf.DUMMYFUNCTION("""COMPUTED_VALUE"""),73.43)</f>
        <v>73.430000000000007</v>
      </c>
      <c r="N513" s="2">
        <f ca="1">IFERROR(__xludf.DUMMYFUNCTION("""COMPUTED_VALUE"""),75.61)</f>
        <v>75.61</v>
      </c>
      <c r="O513" s="2">
        <f ca="1">IFERROR(__xludf.DUMMYFUNCTION("""COMPUTED_VALUE"""),78.78)</f>
        <v>78.78</v>
      </c>
      <c r="P513" s="2"/>
      <c r="Q513" s="2"/>
    </row>
    <row r="514" spans="1:17" ht="15.75" customHeight="1" x14ac:dyDescent="0.25">
      <c r="A514" s="2">
        <v>9205</v>
      </c>
      <c r="B514" s="2" t="str">
        <f ca="1">IFERROR(__xludf.DUMMYFUNCTION("""COMPUTED_VALUE"""),"PAPUA BARAT DAYA")</f>
        <v>PAPUA BARAT DAYA</v>
      </c>
      <c r="C514" s="2" t="str">
        <f ca="1">IFERROR(__xludf.DUMMYFUNCTION("""COMPUTED_VALUE"""),"Maybrat")</f>
        <v>Maybrat</v>
      </c>
      <c r="D514" s="2">
        <f ca="1">IFERROR(__xludf.DUMMYFUNCTION("""COMPUTED_VALUE"""),1.65)</f>
        <v>1.65</v>
      </c>
      <c r="E514" s="2">
        <f ca="1">IFERROR(__xludf.DUMMYFUNCTION("""COMPUTED_VALUE"""),0.5)</f>
        <v>0.5</v>
      </c>
      <c r="F514" s="2">
        <f ca="1">IFERROR(__xludf.DUMMYFUNCTION("""COMPUTED_VALUE"""),2.26)</f>
        <v>2.2599999999999998</v>
      </c>
      <c r="G514" s="2">
        <f ca="1">IFERROR(__xludf.DUMMYFUNCTION("""COMPUTED_VALUE"""),1.89)</f>
        <v>1.89</v>
      </c>
      <c r="H514" s="2">
        <f ca="1">IFERROR(__xludf.DUMMYFUNCTION("""COMPUTED_VALUE"""),2.09)</f>
        <v>2.09</v>
      </c>
      <c r="I514" s="2">
        <f ca="1">IFERROR(__xludf.DUMMYFUNCTION("""COMPUTED_VALUE"""),1.3)</f>
        <v>1.3</v>
      </c>
      <c r="J514" s="2"/>
      <c r="K514" s="2">
        <f ca="1">IFERROR(__xludf.DUMMYFUNCTION("""COMPUTED_VALUE"""),71.12)</f>
        <v>71.12</v>
      </c>
      <c r="L514" s="2">
        <f ca="1">IFERROR(__xludf.DUMMYFUNCTION("""COMPUTED_VALUE"""),72.38)</f>
        <v>72.38</v>
      </c>
      <c r="M514" s="2">
        <f ca="1">IFERROR(__xludf.DUMMYFUNCTION("""COMPUTED_VALUE"""),78.24)</f>
        <v>78.239999999999995</v>
      </c>
      <c r="N514" s="2">
        <f ca="1">IFERROR(__xludf.DUMMYFUNCTION("""COMPUTED_VALUE"""),81.51)</f>
        <v>81.510000000000005</v>
      </c>
      <c r="O514" s="2">
        <f ca="1">IFERROR(__xludf.DUMMYFUNCTION("""COMPUTED_VALUE"""),81.38)</f>
        <v>81.38</v>
      </c>
      <c r="P514" s="2"/>
      <c r="Q514" s="2"/>
    </row>
    <row r="515" spans="1:17" ht="15.75" customHeight="1" x14ac:dyDescent="0.25">
      <c r="A515" s="2">
        <v>9271</v>
      </c>
      <c r="B515" s="2" t="str">
        <f ca="1">IFERROR(__xludf.DUMMYFUNCTION("""COMPUTED_VALUE"""),"PAPUA BARAT DAYA")</f>
        <v>PAPUA BARAT DAYA</v>
      </c>
      <c r="C515" s="2" t="str">
        <f ca="1">IFERROR(__xludf.DUMMYFUNCTION("""COMPUTED_VALUE"""),"Kota Sorong")</f>
        <v>Kota Sorong</v>
      </c>
      <c r="D515" s="2">
        <f ca="1">IFERROR(__xludf.DUMMYFUNCTION("""COMPUTED_VALUE"""),11.41)</f>
        <v>11.41</v>
      </c>
      <c r="E515" s="2">
        <f ca="1">IFERROR(__xludf.DUMMYFUNCTION("""COMPUTED_VALUE"""),9.87)</f>
        <v>9.8699999999999992</v>
      </c>
      <c r="F515" s="2">
        <f ca="1">IFERROR(__xludf.DUMMYFUNCTION("""COMPUTED_VALUE"""),9.93)</f>
        <v>9.93</v>
      </c>
      <c r="G515" s="2">
        <f ca="1">IFERROR(__xludf.DUMMYFUNCTION("""COMPUTED_VALUE"""),9.95)</f>
        <v>9.9499999999999993</v>
      </c>
      <c r="H515" s="2">
        <f ca="1">IFERROR(__xludf.DUMMYFUNCTION("""COMPUTED_VALUE"""),10.09)</f>
        <v>10.09</v>
      </c>
      <c r="I515" s="2" t="str">
        <f ca="1">IFERROR(__xludf.DUMMYFUNCTION("""COMPUTED_VALUE"""),"NA")</f>
        <v>NA</v>
      </c>
      <c r="J515" s="2"/>
      <c r="K515" s="2">
        <f ca="1">IFERROR(__xludf.DUMMYFUNCTION("""COMPUTED_VALUE"""),67.38)</f>
        <v>67.38</v>
      </c>
      <c r="L515" s="2">
        <f ca="1">IFERROR(__xludf.DUMMYFUNCTION("""COMPUTED_VALUE"""),61.02)</f>
        <v>61.02</v>
      </c>
      <c r="M515" s="2">
        <f ca="1">IFERROR(__xludf.DUMMYFUNCTION("""COMPUTED_VALUE"""),62.77)</f>
        <v>62.77</v>
      </c>
      <c r="N515" s="2">
        <f ca="1">IFERROR(__xludf.DUMMYFUNCTION("""COMPUTED_VALUE"""),61.4)</f>
        <v>61.4</v>
      </c>
      <c r="O515" s="2">
        <f ca="1">IFERROR(__xludf.DUMMYFUNCTION("""COMPUTED_VALUE"""),63.45)</f>
        <v>63.45</v>
      </c>
      <c r="P515" s="2"/>
      <c r="Q515" s="2"/>
    </row>
    <row r="516" spans="1:17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customHeight="1" x14ac:dyDescent="0.25"/>
    <row r="717" spans="1:17" ht="15.75" customHeight="1" x14ac:dyDescent="0.25"/>
    <row r="718" spans="1:17" ht="15.75" customHeight="1" x14ac:dyDescent="0.25"/>
    <row r="719" spans="1:17" ht="15.75" customHeight="1" x14ac:dyDescent="0.25"/>
    <row r="720" spans="1:17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E57F-1160-4F75-9795-9BADF2FC7FDE}">
  <dimension ref="A1"/>
  <sheetViews>
    <sheetView workbookViewId="0">
      <selection sqref="A1:A1048576"/>
    </sheetView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topLeftCell="L1" workbookViewId="0">
      <selection activeCell="I1" sqref="I1:Q5"/>
    </sheetView>
  </sheetViews>
  <sheetFormatPr defaultColWidth="12.6640625" defaultRowHeight="15" customHeight="1" x14ac:dyDescent="0.25"/>
  <cols>
    <col min="1" max="1" width="3.21875" customWidth="1"/>
    <col min="3" max="3" width="17.21875" bestFit="1" customWidth="1"/>
  </cols>
  <sheetData>
    <row r="1" spans="1:7" ht="15" customHeigh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" customHeight="1" x14ac:dyDescent="0.3">
      <c r="A2" s="2">
        <v>1</v>
      </c>
      <c r="B2" s="5" t="s">
        <v>7</v>
      </c>
      <c r="C2" s="6" t="s">
        <v>8</v>
      </c>
      <c r="D2" s="7">
        <v>10.52</v>
      </c>
      <c r="E2" s="7">
        <v>8.9700000000000006</v>
      </c>
      <c r="F2" s="7">
        <v>68.430000000000007</v>
      </c>
      <c r="G2" s="7">
        <v>66.52</v>
      </c>
    </row>
    <row r="3" spans="1:7" ht="15" customHeight="1" x14ac:dyDescent="0.3">
      <c r="A3" s="2">
        <v>2</v>
      </c>
      <c r="B3" s="5" t="s">
        <v>9</v>
      </c>
      <c r="C3" s="9" t="s">
        <v>80</v>
      </c>
      <c r="D3" s="7">
        <v>2.72</v>
      </c>
      <c r="E3" s="7">
        <v>1.83</v>
      </c>
      <c r="F3" s="7">
        <v>73.790000000000006</v>
      </c>
      <c r="G3" s="7">
        <v>75.59</v>
      </c>
    </row>
    <row r="4" spans="1:7" ht="15" customHeight="1" x14ac:dyDescent="0.3">
      <c r="A4" s="2">
        <v>3</v>
      </c>
      <c r="B4" s="5" t="s">
        <v>10</v>
      </c>
      <c r="C4" s="6" t="s">
        <v>11</v>
      </c>
      <c r="D4" s="7">
        <v>2.35</v>
      </c>
      <c r="E4" s="7">
        <v>2.5</v>
      </c>
      <c r="F4" s="7">
        <v>78.45</v>
      </c>
      <c r="G4" s="7">
        <v>75.75</v>
      </c>
    </row>
    <row r="5" spans="1:7" ht="15" customHeight="1" x14ac:dyDescent="0.3">
      <c r="A5" s="2">
        <v>4</v>
      </c>
      <c r="B5" s="5" t="s">
        <v>12</v>
      </c>
      <c r="C5" s="6" t="s">
        <v>13</v>
      </c>
      <c r="D5" s="7">
        <v>6.2</v>
      </c>
      <c r="E5" s="8"/>
      <c r="F5" s="7">
        <v>66.040000000000006</v>
      </c>
      <c r="G5" s="8"/>
    </row>
    <row r="6" spans="1:7" ht="15" customHeight="1" x14ac:dyDescent="0.3">
      <c r="A6" s="2">
        <v>5</v>
      </c>
      <c r="B6" s="5" t="s">
        <v>14</v>
      </c>
      <c r="C6" s="6" t="s">
        <v>15</v>
      </c>
      <c r="D6" s="7">
        <v>8.11</v>
      </c>
      <c r="E6" s="7">
        <v>7.93</v>
      </c>
      <c r="F6" s="7">
        <v>73.7</v>
      </c>
      <c r="G6" s="7">
        <v>72.58</v>
      </c>
    </row>
    <row r="7" spans="1:7" ht="15" customHeight="1" x14ac:dyDescent="0.3">
      <c r="A7" s="2">
        <v>6</v>
      </c>
      <c r="B7" s="5" t="s">
        <v>16</v>
      </c>
      <c r="C7" s="6" t="s">
        <v>17</v>
      </c>
      <c r="D7" s="7">
        <v>1.71</v>
      </c>
      <c r="E7" s="7">
        <v>1.69</v>
      </c>
      <c r="F7" s="7">
        <v>78.86</v>
      </c>
      <c r="G7" s="7">
        <v>78.16</v>
      </c>
    </row>
    <row r="8" spans="1:7" ht="15" customHeight="1" x14ac:dyDescent="0.3">
      <c r="A8" s="2">
        <v>7</v>
      </c>
      <c r="B8" s="5" t="s">
        <v>9</v>
      </c>
      <c r="C8" s="9" t="s">
        <v>81</v>
      </c>
      <c r="D8" s="7">
        <v>0.75</v>
      </c>
      <c r="E8" s="7">
        <v>0.74</v>
      </c>
      <c r="F8" s="7">
        <v>83.04</v>
      </c>
      <c r="G8" s="7">
        <v>82.27</v>
      </c>
    </row>
    <row r="9" spans="1:7" ht="15" customHeight="1" x14ac:dyDescent="0.3">
      <c r="A9" s="2">
        <v>8</v>
      </c>
      <c r="B9" s="5" t="s">
        <v>18</v>
      </c>
      <c r="C9" s="6" t="s">
        <v>19</v>
      </c>
      <c r="D9" s="7">
        <v>1.96</v>
      </c>
      <c r="E9" s="7">
        <v>1.82</v>
      </c>
      <c r="F9" s="7">
        <v>75.739999999999995</v>
      </c>
      <c r="G9" s="7">
        <v>82.66</v>
      </c>
    </row>
    <row r="10" spans="1:7" ht="15" customHeight="1" x14ac:dyDescent="0.3">
      <c r="A10" s="2">
        <v>9</v>
      </c>
      <c r="B10" s="5" t="s">
        <v>20</v>
      </c>
      <c r="C10" s="9" t="s">
        <v>50</v>
      </c>
      <c r="D10" s="7">
        <v>9.94</v>
      </c>
      <c r="E10" s="7">
        <v>9.18</v>
      </c>
      <c r="F10" s="7">
        <v>63.22</v>
      </c>
      <c r="G10" s="7">
        <v>67.77</v>
      </c>
    </row>
    <row r="11" spans="1:7" ht="15" customHeight="1" x14ac:dyDescent="0.3">
      <c r="A11" s="2">
        <v>10</v>
      </c>
      <c r="B11" s="5" t="s">
        <v>21</v>
      </c>
      <c r="C11" s="6" t="s">
        <v>22</v>
      </c>
      <c r="D11" s="7">
        <v>8.92</v>
      </c>
      <c r="E11" s="7">
        <v>8.2899999999999991</v>
      </c>
      <c r="F11" s="7">
        <v>63.47</v>
      </c>
      <c r="G11" s="7">
        <v>64.53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Populasi</vt:lpstr>
      <vt:lpstr>Sheet1</vt:lpstr>
      <vt:lpstr>Sampel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HO</cp:lastModifiedBy>
  <dcterms:modified xsi:type="dcterms:W3CDTF">2025-10-26T19:12:23Z</dcterms:modified>
</cp:coreProperties>
</file>