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h\Desktop\Dimacofi\Post_levantamiento\"/>
    </mc:Choice>
  </mc:AlternateContent>
  <xr:revisionPtr revIDLastSave="0" documentId="13_ncr:1_{D633F655-F9C7-48BD-A7F0-C7301791C544}" xr6:coauthVersionLast="47" xr6:coauthVersionMax="47" xr10:uidLastSave="{00000000-0000-0000-0000-000000000000}"/>
  <bookViews>
    <workbookView xWindow="-108" yWindow="-108" windowWidth="23256" windowHeight="12576" tabRatio="582" xr2:uid="{7D52E0DA-064D-48A6-8770-DA8109F5AC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3" i="1" l="1"/>
  <c r="Q53" i="1"/>
  <c r="P53" i="1"/>
  <c r="L53" i="1"/>
  <c r="K53" i="1"/>
  <c r="J53" i="1"/>
  <c r="D56" i="1"/>
  <c r="D58" i="1"/>
  <c r="D57" i="1" l="1"/>
  <c r="K42" i="1" s="1"/>
  <c r="L42" i="1" l="1"/>
  <c r="J42" i="1"/>
  <c r="D65" i="1"/>
  <c r="D64" i="1" l="1"/>
  <c r="P42" i="1" l="1"/>
  <c r="R42" i="1"/>
  <c r="Q42" i="1"/>
  <c r="E15" i="1"/>
  <c r="R40" i="1" l="1"/>
  <c r="Q40" i="1"/>
  <c r="P40" i="1"/>
  <c r="R34" i="1"/>
  <c r="Q34" i="1"/>
  <c r="P34" i="1"/>
  <c r="R14" i="1"/>
  <c r="R20" i="1" s="1"/>
  <c r="Q14" i="1"/>
  <c r="Q20" i="1" s="1"/>
  <c r="P14" i="1"/>
  <c r="L40" i="1"/>
  <c r="K40" i="1"/>
  <c r="J40" i="1"/>
  <c r="L14" i="1"/>
  <c r="L20" i="1" s="1"/>
  <c r="J14" i="1"/>
  <c r="J20" i="1" s="1"/>
  <c r="K14" i="1"/>
  <c r="K20" i="1" s="1"/>
  <c r="L34" i="1"/>
  <c r="K34" i="1"/>
  <c r="J34" i="1"/>
  <c r="F21" i="1"/>
  <c r="D14" i="1"/>
  <c r="D13" i="1" s="1"/>
  <c r="E14" i="1"/>
  <c r="E13" i="1" s="1"/>
  <c r="F14" i="1"/>
  <c r="F13" i="1" s="1"/>
  <c r="F40" i="1"/>
  <c r="F34" i="1"/>
  <c r="F27" i="1"/>
  <c r="F22" i="1"/>
  <c r="E34" i="1"/>
  <c r="E21" i="1"/>
  <c r="D22" i="1"/>
  <c r="D21" i="1"/>
  <c r="E40" i="1"/>
  <c r="D40" i="1"/>
  <c r="E27" i="1"/>
  <c r="E22" i="1"/>
  <c r="D34" i="1"/>
  <c r="D27" i="1"/>
  <c r="Q15" i="1" l="1"/>
  <c r="Q16" i="1" s="1"/>
  <c r="K15" i="1"/>
  <c r="K16" i="1" s="1"/>
  <c r="J15" i="1"/>
  <c r="J21" i="1" s="1"/>
  <c r="L15" i="1"/>
  <c r="L21" i="1" s="1"/>
  <c r="F28" i="1"/>
  <c r="E28" i="1"/>
  <c r="D28" i="1"/>
  <c r="R15" i="1"/>
  <c r="R21" i="1" s="1"/>
  <c r="R28" i="1" s="1"/>
  <c r="P20" i="1"/>
  <c r="D16" i="1"/>
  <c r="F23" i="1"/>
  <c r="D23" i="1"/>
  <c r="F15" i="1"/>
  <c r="D44" i="1" l="1"/>
  <c r="D48" i="1" s="1"/>
  <c r="D49" i="1" s="1"/>
  <c r="F44" i="1"/>
  <c r="F47" i="1"/>
  <c r="F45" i="1"/>
  <c r="F46" i="1" s="1"/>
  <c r="F48" i="1"/>
  <c r="F49" i="1" s="1"/>
  <c r="R59" i="1"/>
  <c r="Q21" i="1"/>
  <c r="R16" i="1"/>
  <c r="R23" i="1"/>
  <c r="R45" i="1" s="1"/>
  <c r="P15" i="1"/>
  <c r="J23" i="1"/>
  <c r="J28" i="1"/>
  <c r="L28" i="1"/>
  <c r="L45" i="1" s="1"/>
  <c r="L23" i="1"/>
  <c r="L16" i="1"/>
  <c r="J16" i="1"/>
  <c r="K21" i="1"/>
  <c r="D47" i="1" l="1"/>
  <c r="D45" i="1"/>
  <c r="D46" i="1" s="1"/>
  <c r="F50" i="1"/>
  <c r="D50" i="1"/>
  <c r="J45" i="1"/>
  <c r="J46" i="1" s="1"/>
  <c r="D68" i="1" s="1"/>
  <c r="Q23" i="1"/>
  <c r="Q59" i="1"/>
  <c r="L46" i="1"/>
  <c r="F68" i="1" s="1"/>
  <c r="Q28" i="1"/>
  <c r="P21" i="1"/>
  <c r="P59" i="1" s="1"/>
  <c r="P16" i="1"/>
  <c r="R46" i="1"/>
  <c r="R47" i="1" s="1"/>
  <c r="R48" i="1"/>
  <c r="R49" i="1" s="1"/>
  <c r="K23" i="1"/>
  <c r="K28" i="1"/>
  <c r="E23" i="1"/>
  <c r="E44" i="1" s="1"/>
  <c r="E16" i="1"/>
  <c r="E45" i="1" l="1"/>
  <c r="E46" i="1" s="1"/>
  <c r="E47" i="1"/>
  <c r="E48" i="1"/>
  <c r="E49" i="1" s="1"/>
  <c r="Q45" i="1"/>
  <c r="Q46" i="1" s="1"/>
  <c r="Q47" i="1" s="1"/>
  <c r="K45" i="1"/>
  <c r="K46" i="1" s="1"/>
  <c r="L47" i="1"/>
  <c r="L48" i="1"/>
  <c r="L49" i="1" s="1"/>
  <c r="J48" i="1"/>
  <c r="J49" i="1" s="1"/>
  <c r="J47" i="1"/>
  <c r="P23" i="1"/>
  <c r="P28" i="1"/>
  <c r="P45" i="1" s="1"/>
  <c r="F16" i="1"/>
  <c r="E50" i="1" l="1"/>
  <c r="E68" i="1"/>
  <c r="Q48" i="1"/>
  <c r="Q49" i="1" s="1"/>
  <c r="K47" i="1"/>
  <c r="K48" i="1"/>
  <c r="K49" i="1" s="1"/>
  <c r="P48" i="1" l="1"/>
  <c r="P46" i="1"/>
  <c r="P47" i="1" s="1"/>
  <c r="P49" i="1" l="1"/>
</calcChain>
</file>

<file path=xl/sharedStrings.xml><?xml version="1.0" encoding="utf-8"?>
<sst xmlns="http://schemas.openxmlformats.org/spreadsheetml/2006/main" count="300" uniqueCount="78">
  <si>
    <t>Tiempo de indexación promedio por campo</t>
  </si>
  <si>
    <t>N° de documentos</t>
  </si>
  <si>
    <t>Horas totales indexación y validación</t>
  </si>
  <si>
    <t>Tiempo de indexación total</t>
  </si>
  <si>
    <t>Costo computador por día</t>
  </si>
  <si>
    <t>Subtotal computador</t>
  </si>
  <si>
    <t>Horas de trabajo efectivas por día</t>
  </si>
  <si>
    <t>Subtotal rentas</t>
  </si>
  <si>
    <t>Costo disco duro</t>
  </si>
  <si>
    <t>N° de discos duros por página</t>
  </si>
  <si>
    <t>N° de páginas</t>
  </si>
  <si>
    <t>N° de discos duros total</t>
  </si>
  <si>
    <t>N° de computadores</t>
  </si>
  <si>
    <t>Costo renta diaria operario</t>
  </si>
  <si>
    <t>N° de campos de indexación</t>
  </si>
  <si>
    <t>Subtotal disco duro</t>
  </si>
  <si>
    <t>Ingeniería TECBOLT S.A.</t>
  </si>
  <si>
    <t>N° operarios validación</t>
  </si>
  <si>
    <t>N° operarios indexación</t>
  </si>
  <si>
    <t>Tiempo de validación  y cierre total</t>
  </si>
  <si>
    <t>-</t>
  </si>
  <si>
    <t>Renta mensual capacitador</t>
  </si>
  <si>
    <t>USD</t>
  </si>
  <si>
    <t>CLP</t>
  </si>
  <si>
    <t>ULTRAPORT</t>
  </si>
  <si>
    <t>Caso de uso</t>
  </si>
  <si>
    <t xml:space="preserve">Gastos adicionales </t>
  </si>
  <si>
    <t>Días hábiles de indexación total</t>
  </si>
  <si>
    <t>Días hábiles de validación total</t>
  </si>
  <si>
    <t xml:space="preserve">Días de capacitación </t>
  </si>
  <si>
    <t>CRS Cordillera (Egreso)</t>
  </si>
  <si>
    <t>Subtotal capacitación</t>
  </si>
  <si>
    <t>Subtotal</t>
  </si>
  <si>
    <t>Costo por página</t>
  </si>
  <si>
    <t>Total con recargo</t>
  </si>
  <si>
    <t>Unidad de medida</t>
  </si>
  <si>
    <t>Magnitud</t>
  </si>
  <si>
    <t>Página</t>
  </si>
  <si>
    <t>Documento</t>
  </si>
  <si>
    <t>Campo de indexación</t>
  </si>
  <si>
    <t>S</t>
  </si>
  <si>
    <t>Hr</t>
  </si>
  <si>
    <t>Persona</t>
  </si>
  <si>
    <t>Días</t>
  </si>
  <si>
    <t>Pesos</t>
  </si>
  <si>
    <t/>
  </si>
  <si>
    <t>Computador</t>
  </si>
  <si>
    <t>Disco duro</t>
  </si>
  <si>
    <t>Subtotal configuración</t>
  </si>
  <si>
    <t>Días de configuración</t>
  </si>
  <si>
    <t>Renta diaria configurador</t>
  </si>
  <si>
    <t>Renta diaria encargado</t>
  </si>
  <si>
    <t>Costo SmartDI</t>
  </si>
  <si>
    <t>Total con Costo SmartDI</t>
  </si>
  <si>
    <t>Smart-DI</t>
  </si>
  <si>
    <t>Pesos/Página</t>
  </si>
  <si>
    <t>Observación</t>
  </si>
  <si>
    <t>Costo por usuario (incluidos)</t>
  </si>
  <si>
    <t>Actual</t>
  </si>
  <si>
    <t>Podemos generar un portal para visualizar documentos, con la funcionalidad multi tenant, y agregarle valor a nuestro servicio.</t>
  </si>
  <si>
    <t>USD/Página</t>
  </si>
  <si>
    <t>Disco duro/Página</t>
  </si>
  <si>
    <t>Margen de eficiencia</t>
  </si>
  <si>
    <t>Supuesto Smartker</t>
  </si>
  <si>
    <t>Supuesto Docuware</t>
  </si>
  <si>
    <t>Docuware</t>
  </si>
  <si>
    <t>------------------------------------------------------------------------------RESUMEN------------------------------------------------------------------------------</t>
  </si>
  <si>
    <t>Costo Docuware</t>
  </si>
  <si>
    <t>Total con Costo Docuware</t>
  </si>
  <si>
    <t>Si realizamos 350.000 páginas mensuales, el costo por página llega a 1.8 pesos (asumiendo ~500 KB por página).</t>
  </si>
  <si>
    <t>Costo por tenant adicional</t>
  </si>
  <si>
    <t>Costo por usuario adicional (6 extra)</t>
  </si>
  <si>
    <t>Costo Anual</t>
  </si>
  <si>
    <t>Recargo (5%)</t>
  </si>
  <si>
    <t>Costo por página con recargo</t>
  </si>
  <si>
    <t>Diferencia costo por página simulado y costo por página actual (pesos)</t>
  </si>
  <si>
    <t>Situación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</si>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</sst>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0.0"/>
    <numFmt numFmtId="165" formatCode="_ &quot;$&quot;* #,##0.0_ ;_ &quot;$&quot;* \-#,##0.0_ ;_ &quot;$&quot;* &quot;-&quot;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2" borderId="6" xfId="0" applyFill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2" borderId="2" xfId="0" applyFill="1" applyBorder="1"/>
    <xf numFmtId="0" fontId="0" fillId="2" borderId="3" xfId="0" applyFill="1" applyBorder="1"/>
    <xf numFmtId="0" fontId="0" fillId="2" borderId="8" xfId="0" applyFill="1" applyBorder="1"/>
    <xf numFmtId="0" fontId="0" fillId="0" borderId="8" xfId="0" applyFill="1" applyBorder="1"/>
    <xf numFmtId="0" fontId="0" fillId="2" borderId="15" xfId="0" applyFill="1" applyBorder="1"/>
    <xf numFmtId="0" fontId="0" fillId="0" borderId="2" xfId="0" applyBorder="1"/>
    <xf numFmtId="0" fontId="0" fillId="2" borderId="16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164" fontId="0" fillId="0" borderId="0" xfId="0" applyNumberFormat="1"/>
    <xf numFmtId="0" fontId="0" fillId="0" borderId="28" xfId="0" applyBorder="1"/>
    <xf numFmtId="41" fontId="0" fillId="0" borderId="4" xfId="0" applyNumberFormat="1" applyBorder="1" applyAlignment="1">
      <alignment horizontal="right"/>
    </xf>
    <xf numFmtId="41" fontId="0" fillId="0" borderId="5" xfId="0" applyNumberFormat="1" applyBorder="1" applyAlignment="1">
      <alignment horizontal="right"/>
    </xf>
    <xf numFmtId="41" fontId="0" fillId="0" borderId="9" xfId="0" applyNumberFormat="1" applyBorder="1" applyAlignment="1">
      <alignment horizontal="right"/>
    </xf>
    <xf numFmtId="41" fontId="0" fillId="0" borderId="10" xfId="0" applyNumberFormat="1" applyBorder="1" applyAlignment="1">
      <alignment horizontal="right"/>
    </xf>
    <xf numFmtId="41" fontId="0" fillId="2" borderId="4" xfId="0" applyNumberFormat="1" applyFill="1" applyBorder="1" applyAlignment="1">
      <alignment horizontal="right"/>
    </xf>
    <xf numFmtId="41" fontId="0" fillId="2" borderId="5" xfId="0" applyNumberFormat="1" applyFill="1" applyBorder="1" applyAlignment="1">
      <alignment horizontal="right"/>
    </xf>
    <xf numFmtId="41" fontId="0" fillId="0" borderId="1" xfId="0" applyNumberFormat="1" applyBorder="1" applyAlignment="1">
      <alignment horizontal="right"/>
    </xf>
    <xf numFmtId="41" fontId="0" fillId="0" borderId="7" xfId="0" applyNumberFormat="1" applyBorder="1" applyAlignment="1">
      <alignment horizontal="right"/>
    </xf>
    <xf numFmtId="41" fontId="0" fillId="2" borderId="1" xfId="0" applyNumberFormat="1" applyFill="1" applyBorder="1" applyAlignment="1">
      <alignment horizontal="right"/>
    </xf>
    <xf numFmtId="41" fontId="0" fillId="2" borderId="7" xfId="0" applyNumberFormat="1" applyFill="1" applyBorder="1" applyAlignment="1">
      <alignment horizontal="right"/>
    </xf>
    <xf numFmtId="41" fontId="0" fillId="2" borderId="9" xfId="0" applyNumberFormat="1" applyFill="1" applyBorder="1" applyAlignment="1">
      <alignment horizontal="right"/>
    </xf>
    <xf numFmtId="41" fontId="0" fillId="2" borderId="10" xfId="0" applyNumberFormat="1" applyFill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4" xfId="0" applyNumberFormat="1" applyBorder="1"/>
    <xf numFmtId="41" fontId="0" fillId="0" borderId="5" xfId="0" applyNumberFormat="1" applyBorder="1"/>
    <xf numFmtId="41" fontId="0" fillId="0" borderId="1" xfId="0" applyNumberFormat="1" applyBorder="1"/>
    <xf numFmtId="41" fontId="0" fillId="0" borderId="7" xfId="0" applyNumberFormat="1" applyBorder="1"/>
    <xf numFmtId="41" fontId="0" fillId="0" borderId="25" xfId="0" applyNumberFormat="1" applyBorder="1"/>
    <xf numFmtId="41" fontId="0" fillId="0" borderId="26" xfId="0" applyNumberFormat="1" applyBorder="1"/>
    <xf numFmtId="41" fontId="0" fillId="2" borderId="25" xfId="0" applyNumberFormat="1" applyFill="1" applyBorder="1" applyAlignment="1">
      <alignment horizontal="right"/>
    </xf>
    <xf numFmtId="41" fontId="0" fillId="2" borderId="26" xfId="0" applyNumberFormat="1" applyFill="1" applyBorder="1" applyAlignment="1">
      <alignment horizontal="right"/>
    </xf>
    <xf numFmtId="16" fontId="0" fillId="0" borderId="0" xfId="0" applyNumberFormat="1"/>
    <xf numFmtId="42" fontId="0" fillId="0" borderId="13" xfId="0" applyNumberFormat="1" applyBorder="1"/>
    <xf numFmtId="42" fontId="0" fillId="0" borderId="14" xfId="0" applyNumberFormat="1" applyBorder="1"/>
    <xf numFmtId="0" fontId="0" fillId="0" borderId="6" xfId="0" applyFill="1" applyBorder="1"/>
    <xf numFmtId="43" fontId="0" fillId="0" borderId="1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0" fontId="0" fillId="0" borderId="1" xfId="0" applyFill="1" applyBorder="1"/>
    <xf numFmtId="0" fontId="0" fillId="3" borderId="36" xfId="0" applyFill="1" applyBorder="1"/>
    <xf numFmtId="0" fontId="0" fillId="3" borderId="39" xfId="0" applyFill="1" applyBorder="1"/>
    <xf numFmtId="42" fontId="0" fillId="3" borderId="40" xfId="0" applyNumberFormat="1" applyFill="1" applyBorder="1"/>
    <xf numFmtId="0" fontId="0" fillId="0" borderId="0" xfId="0" applyFill="1" applyBorder="1"/>
    <xf numFmtId="0" fontId="0" fillId="3" borderId="41" xfId="0" applyFill="1" applyBorder="1"/>
    <xf numFmtId="42" fontId="0" fillId="0" borderId="0" xfId="0" applyNumberFormat="1" applyBorder="1"/>
    <xf numFmtId="0" fontId="0" fillId="3" borderId="42" xfId="0" applyFill="1" applyBorder="1"/>
    <xf numFmtId="0" fontId="0" fillId="3" borderId="43" xfId="0" applyFill="1" applyBorder="1"/>
    <xf numFmtId="42" fontId="0" fillId="3" borderId="44" xfId="0" applyNumberFormat="1" applyFill="1" applyBorder="1"/>
    <xf numFmtId="0" fontId="0" fillId="3" borderId="45" xfId="0" applyFill="1" applyBorder="1"/>
    <xf numFmtId="0" fontId="0" fillId="4" borderId="3" xfId="0" applyFill="1" applyBorder="1"/>
    <xf numFmtId="0" fontId="0" fillId="4" borderId="5" xfId="0" applyFill="1" applyBorder="1"/>
    <xf numFmtId="0" fontId="1" fillId="4" borderId="13" xfId="0" applyFont="1" applyFill="1" applyBorder="1" applyAlignment="1">
      <alignment horizontal="right"/>
    </xf>
    <xf numFmtId="0" fontId="1" fillId="4" borderId="14" xfId="0" applyFont="1" applyFill="1" applyBorder="1" applyAlignment="1">
      <alignment horizontal="right"/>
    </xf>
    <xf numFmtId="0" fontId="0" fillId="4" borderId="17" xfId="0" applyFill="1" applyBorder="1"/>
    <xf numFmtId="0" fontId="0" fillId="4" borderId="23" xfId="0" applyFill="1" applyBorder="1"/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" fillId="4" borderId="20" xfId="0" applyFont="1" applyFill="1" applyBorder="1"/>
    <xf numFmtId="0" fontId="1" fillId="4" borderId="24" xfId="0" applyFont="1" applyFill="1" applyBorder="1"/>
    <xf numFmtId="41" fontId="0" fillId="4" borderId="21" xfId="0" applyNumberFormat="1" applyFill="1" applyBorder="1" applyAlignment="1">
      <alignment horizontal="right"/>
    </xf>
    <xf numFmtId="41" fontId="0" fillId="4" borderId="22" xfId="0" applyNumberFormat="1" applyFill="1" applyBorder="1" applyAlignment="1">
      <alignment horizontal="right"/>
    </xf>
    <xf numFmtId="0" fontId="1" fillId="4" borderId="29" xfId="0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1" fontId="0" fillId="4" borderId="13" xfId="0" applyNumberFormat="1" applyFill="1" applyBorder="1" applyAlignment="1">
      <alignment horizontal="right"/>
    </xf>
    <xf numFmtId="41" fontId="0" fillId="4" borderId="14" xfId="0" applyNumberFormat="1" applyFill="1" applyBorder="1" applyAlignment="1">
      <alignment horizontal="right"/>
    </xf>
    <xf numFmtId="0" fontId="1" fillId="4" borderId="17" xfId="0" applyFont="1" applyFill="1" applyBorder="1"/>
    <xf numFmtId="0" fontId="1" fillId="4" borderId="23" xfId="0" applyFont="1" applyFill="1" applyBorder="1"/>
    <xf numFmtId="41" fontId="1" fillId="4" borderId="18" xfId="0" applyNumberFormat="1" applyFont="1" applyFill="1" applyBorder="1" applyAlignment="1">
      <alignment horizontal="right"/>
    </xf>
    <xf numFmtId="41" fontId="1" fillId="4" borderId="19" xfId="0" applyNumberFormat="1" applyFont="1" applyFill="1" applyBorder="1" applyAlignment="1">
      <alignment horizontal="right"/>
    </xf>
    <xf numFmtId="0" fontId="0" fillId="4" borderId="29" xfId="0" applyFill="1" applyBorder="1"/>
    <xf numFmtId="41" fontId="0" fillId="4" borderId="13" xfId="0" applyNumberFormat="1" applyFill="1" applyBorder="1"/>
    <xf numFmtId="41" fontId="0" fillId="4" borderId="14" xfId="0" applyNumberFormat="1" applyFill="1" applyBorder="1"/>
    <xf numFmtId="0" fontId="1" fillId="4" borderId="3" xfId="0" applyFont="1" applyFill="1" applyBorder="1"/>
    <xf numFmtId="41" fontId="1" fillId="4" borderId="4" xfId="0" applyNumberFormat="1" applyFont="1" applyFill="1" applyBorder="1" applyAlignment="1">
      <alignment horizontal="right"/>
    </xf>
    <xf numFmtId="41" fontId="1" fillId="4" borderId="5" xfId="0" applyNumberFormat="1" applyFont="1" applyFill="1" applyBorder="1" applyAlignment="1">
      <alignment horizontal="right"/>
    </xf>
    <xf numFmtId="41" fontId="1" fillId="4" borderId="21" xfId="0" applyNumberFormat="1" applyFont="1" applyFill="1" applyBorder="1" applyAlignment="1">
      <alignment horizontal="center"/>
    </xf>
    <xf numFmtId="41" fontId="1" fillId="4" borderId="22" xfId="0" applyNumberFormat="1" applyFont="1" applyFill="1" applyBorder="1" applyAlignment="1">
      <alignment horizontal="center"/>
    </xf>
    <xf numFmtId="0" fontId="0" fillId="0" borderId="46" xfId="0" applyBorder="1"/>
    <xf numFmtId="0" fontId="0" fillId="4" borderId="12" xfId="0" applyFill="1" applyBorder="1"/>
    <xf numFmtId="0" fontId="1" fillId="4" borderId="15" xfId="0" applyFont="1" applyFill="1" applyBorder="1"/>
    <xf numFmtId="0" fontId="0" fillId="0" borderId="2" xfId="0" applyFill="1" applyBorder="1"/>
    <xf numFmtId="9" fontId="0" fillId="0" borderId="13" xfId="1" applyFont="1" applyBorder="1"/>
    <xf numFmtId="9" fontId="0" fillId="0" borderId="14" xfId="1" applyFont="1" applyBorder="1"/>
    <xf numFmtId="41" fontId="0" fillId="0" borderId="0" xfId="0" applyNumberFormat="1"/>
    <xf numFmtId="41" fontId="0" fillId="0" borderId="0" xfId="0" applyNumberFormat="1" applyFill="1" applyBorder="1" applyAlignment="1">
      <alignment horizontal="right"/>
    </xf>
    <xf numFmtId="4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165" fontId="0" fillId="3" borderId="40" xfId="0" applyNumberFormat="1" applyFill="1" applyBorder="1"/>
    <xf numFmtId="0" fontId="0" fillId="4" borderId="11" xfId="0" applyFill="1" applyBorder="1"/>
    <xf numFmtId="42" fontId="0" fillId="0" borderId="0" xfId="0" applyNumberFormat="1" applyFill="1" applyBorder="1"/>
    <xf numFmtId="0" fontId="0" fillId="0" borderId="0" xfId="0" applyFill="1" applyBorder="1" applyAlignment="1">
      <alignment vertical="center" wrapText="1"/>
    </xf>
    <xf numFmtId="41" fontId="0" fillId="2" borderId="2" xfId="0" applyNumberFormat="1" applyFill="1" applyBorder="1" applyAlignment="1">
      <alignment horizontal="right"/>
    </xf>
    <xf numFmtId="41" fontId="0" fillId="0" borderId="2" xfId="0" applyNumberFormat="1" applyBorder="1" applyAlignment="1">
      <alignment horizontal="right"/>
    </xf>
    <xf numFmtId="41" fontId="0" fillId="2" borderId="46" xfId="0" applyNumberFormat="1" applyFill="1" applyBorder="1" applyAlignment="1">
      <alignment horizontal="right"/>
    </xf>
    <xf numFmtId="41" fontId="0" fillId="0" borderId="15" xfId="0" applyNumberFormat="1" applyBorder="1" applyAlignment="1">
      <alignment horizontal="right"/>
    </xf>
    <xf numFmtId="41" fontId="0" fillId="0" borderId="16" xfId="0" applyNumberFormat="1" applyBorder="1" applyAlignment="1">
      <alignment horizontal="right"/>
    </xf>
    <xf numFmtId="41" fontId="0" fillId="4" borderId="12" xfId="0" applyNumberFormat="1" applyFill="1" applyBorder="1" applyAlignment="1">
      <alignment horizontal="right"/>
    </xf>
    <xf numFmtId="41" fontId="0" fillId="4" borderId="24" xfId="0" applyNumberFormat="1" applyFill="1" applyBorder="1" applyAlignment="1">
      <alignment horizontal="right"/>
    </xf>
    <xf numFmtId="0" fontId="0" fillId="4" borderId="15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9" xfId="0" applyFill="1" applyBorder="1"/>
    <xf numFmtId="0" fontId="0" fillId="0" borderId="4" xfId="0" applyBorder="1"/>
    <xf numFmtId="0" fontId="0" fillId="0" borderId="9" xfId="0" applyBorder="1"/>
    <xf numFmtId="0" fontId="1" fillId="4" borderId="21" xfId="0" applyFont="1" applyFill="1" applyBorder="1"/>
    <xf numFmtId="0" fontId="0" fillId="0" borderId="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4" borderId="4" xfId="0" applyFill="1" applyBorder="1"/>
    <xf numFmtId="0" fontId="1" fillId="4" borderId="2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47" xfId="0" quotePrefix="1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0" borderId="25" xfId="0" applyBorder="1"/>
    <xf numFmtId="0" fontId="1" fillId="4" borderId="29" xfId="0" applyFont="1" applyFill="1" applyBorder="1"/>
    <xf numFmtId="0" fontId="1" fillId="4" borderId="12" xfId="0" applyFont="1" applyFill="1" applyBorder="1"/>
    <xf numFmtId="41" fontId="1" fillId="4" borderId="13" xfId="0" applyNumberFormat="1" applyFont="1" applyFill="1" applyBorder="1" applyAlignment="1">
      <alignment horizontal="center"/>
    </xf>
    <xf numFmtId="41" fontId="1" fillId="4" borderId="14" xfId="0" applyNumberFormat="1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1" fontId="0" fillId="0" borderId="18" xfId="0" applyNumberFormat="1" applyBorder="1"/>
    <xf numFmtId="1" fontId="0" fillId="0" borderId="19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41" fontId="0" fillId="0" borderId="13" xfId="0" applyNumberFormat="1" applyBorder="1" applyAlignment="1">
      <alignment vertical="center"/>
    </xf>
    <xf numFmtId="0" fontId="0" fillId="0" borderId="0" xfId="0" applyAlignment="1">
      <alignment wrapText="1"/>
    </xf>
    <xf numFmtId="41" fontId="0" fillId="0" borderId="0" xfId="0" applyNumberFormat="1" applyAlignment="1">
      <alignment vertical="center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1" fontId="0" fillId="0" borderId="1" xfId="0" applyNumberFormat="1" applyBorder="1"/>
    <xf numFmtId="1" fontId="0" fillId="0" borderId="7" xfId="0" applyNumberFormat="1" applyBorder="1"/>
    <xf numFmtId="9" fontId="0" fillId="0" borderId="1" xfId="1" applyFont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0" fillId="0" borderId="6" xfId="0" applyFill="1" applyBorder="1" applyAlignment="1"/>
    <xf numFmtId="9" fontId="0" fillId="0" borderId="7" xfId="1" applyFont="1" applyBorder="1"/>
    <xf numFmtId="9" fontId="0" fillId="0" borderId="9" xfId="1" applyFont="1" applyBorder="1"/>
    <xf numFmtId="9" fontId="0" fillId="0" borderId="10" xfId="1" applyFont="1" applyBorder="1"/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7E7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8164-D617-4CB2-973D-B2878CF93C7D}">
  <dimension ref="B1:R82"/>
  <sheetViews>
    <sheetView tabSelected="1" topLeftCell="A43" zoomScaleNormal="100" zoomScalePageLayoutView="60" workbookViewId="0">
      <selection activeCell="B62" sqref="B62:F65"/>
    </sheetView>
  </sheetViews>
  <sheetFormatPr baseColWidth="10" defaultRowHeight="14.4" x14ac:dyDescent="0.3"/>
  <cols>
    <col min="2" max="2" width="39.44140625" customWidth="1"/>
    <col min="3" max="3" width="19.77734375" customWidth="1"/>
    <col min="4" max="6" width="21.21875" customWidth="1"/>
    <col min="8" max="8" width="38.88671875" bestFit="1" customWidth="1"/>
    <col min="9" max="9" width="19.44140625" customWidth="1"/>
    <col min="10" max="10" width="21.33203125" customWidth="1"/>
    <col min="11" max="11" width="16.5546875" bestFit="1" customWidth="1"/>
    <col min="12" max="12" width="20.77734375" customWidth="1"/>
    <col min="13" max="13" width="9.88671875" customWidth="1"/>
    <col min="14" max="14" width="38.88671875" bestFit="1" customWidth="1"/>
    <col min="15" max="15" width="19.44140625" bestFit="1" customWidth="1"/>
    <col min="16" max="16" width="21.5546875" bestFit="1" customWidth="1"/>
    <col min="17" max="17" width="16.5546875" bestFit="1" customWidth="1"/>
    <col min="18" max="19" width="20.77734375" bestFit="1" customWidth="1"/>
  </cols>
  <sheetData>
    <row r="1" spans="2:18" ht="15" thickBot="1" x14ac:dyDescent="0.35"/>
    <row r="2" spans="2:18" x14ac:dyDescent="0.3">
      <c r="B2" s="59" t="s">
        <v>22</v>
      </c>
      <c r="C2" s="60" t="s">
        <v>23</v>
      </c>
    </row>
    <row r="3" spans="2:18" ht="15" thickBot="1" x14ac:dyDescent="0.35">
      <c r="B3" s="6">
        <v>1</v>
      </c>
      <c r="C3" s="7">
        <v>800</v>
      </c>
    </row>
    <row r="4" spans="2:18" ht="15" thickBot="1" x14ac:dyDescent="0.35">
      <c r="H4" s="42"/>
      <c r="I4" s="42"/>
    </row>
    <row r="5" spans="2:18" ht="15" thickBot="1" x14ac:dyDescent="0.35">
      <c r="B5" s="121" t="s">
        <v>58</v>
      </c>
      <c r="H5" s="121" t="s">
        <v>63</v>
      </c>
      <c r="I5" s="42"/>
      <c r="N5" s="121" t="s">
        <v>64</v>
      </c>
      <c r="O5" s="42"/>
    </row>
    <row r="6" spans="2:18" ht="15" thickBot="1" x14ac:dyDescent="0.35">
      <c r="H6" s="42"/>
      <c r="I6" s="42"/>
      <c r="N6" s="42"/>
      <c r="O6" s="42"/>
    </row>
    <row r="7" spans="2:18" ht="13.8" customHeight="1" thickBot="1" x14ac:dyDescent="0.35">
      <c r="B7" s="122" t="s">
        <v>25</v>
      </c>
      <c r="C7" s="123"/>
      <c r="D7" s="61" t="s">
        <v>16</v>
      </c>
      <c r="E7" s="61" t="s">
        <v>24</v>
      </c>
      <c r="F7" s="62" t="s">
        <v>30</v>
      </c>
      <c r="H7" s="122" t="s">
        <v>25</v>
      </c>
      <c r="I7" s="123"/>
      <c r="J7" s="71" t="s">
        <v>16</v>
      </c>
      <c r="K7" s="61" t="s">
        <v>24</v>
      </c>
      <c r="L7" s="62" t="s">
        <v>30</v>
      </c>
      <c r="N7" s="122" t="s">
        <v>25</v>
      </c>
      <c r="O7" s="123"/>
      <c r="P7" s="71" t="s">
        <v>16</v>
      </c>
      <c r="Q7" s="61" t="s">
        <v>24</v>
      </c>
      <c r="R7" s="62" t="s">
        <v>30</v>
      </c>
    </row>
    <row r="8" spans="2:18" ht="13.8" customHeight="1" thickBot="1" x14ac:dyDescent="0.35">
      <c r="B8" s="2"/>
    </row>
    <row r="9" spans="2:18" ht="15" thickBot="1" x14ac:dyDescent="0.35">
      <c r="B9" s="63"/>
      <c r="C9" s="64" t="s">
        <v>35</v>
      </c>
      <c r="D9" s="65" t="s">
        <v>36</v>
      </c>
      <c r="E9" s="65" t="s">
        <v>36</v>
      </c>
      <c r="F9" s="66" t="s">
        <v>36</v>
      </c>
      <c r="H9" s="59"/>
      <c r="I9" s="120" t="s">
        <v>35</v>
      </c>
      <c r="J9" s="110" t="s">
        <v>36</v>
      </c>
      <c r="K9" s="72" t="s">
        <v>36</v>
      </c>
      <c r="L9" s="73" t="s">
        <v>36</v>
      </c>
      <c r="N9" s="59"/>
      <c r="O9" s="120" t="s">
        <v>35</v>
      </c>
      <c r="P9" s="110" t="s">
        <v>36</v>
      </c>
      <c r="Q9" s="72" t="s">
        <v>36</v>
      </c>
      <c r="R9" s="73" t="s">
        <v>36</v>
      </c>
    </row>
    <row r="10" spans="2:18" x14ac:dyDescent="0.3">
      <c r="B10" s="9" t="s">
        <v>10</v>
      </c>
      <c r="C10" s="12" t="s">
        <v>37</v>
      </c>
      <c r="D10" s="24">
        <v>11334</v>
      </c>
      <c r="E10" s="24">
        <v>72000</v>
      </c>
      <c r="F10" s="25">
        <v>215000</v>
      </c>
      <c r="H10" s="118" t="s">
        <v>10</v>
      </c>
      <c r="I10" s="119" t="s">
        <v>37</v>
      </c>
      <c r="J10" s="103">
        <v>11334</v>
      </c>
      <c r="K10" s="28">
        <v>72000</v>
      </c>
      <c r="L10" s="29">
        <v>215000</v>
      </c>
      <c r="N10" s="118" t="s">
        <v>10</v>
      </c>
      <c r="O10" s="119" t="s">
        <v>37</v>
      </c>
      <c r="P10" s="103">
        <v>11334</v>
      </c>
      <c r="Q10" s="28">
        <v>72000</v>
      </c>
      <c r="R10" s="29">
        <v>215000</v>
      </c>
    </row>
    <row r="11" spans="2:18" x14ac:dyDescent="0.3">
      <c r="B11" s="5" t="s">
        <v>1</v>
      </c>
      <c r="C11" s="13" t="s">
        <v>38</v>
      </c>
      <c r="D11" s="26">
        <v>2801</v>
      </c>
      <c r="E11" s="26">
        <v>68000</v>
      </c>
      <c r="F11" s="27">
        <v>19000</v>
      </c>
      <c r="H11" s="5" t="s">
        <v>1</v>
      </c>
      <c r="I11" s="111" t="s">
        <v>38</v>
      </c>
      <c r="J11" s="104">
        <v>2801</v>
      </c>
      <c r="K11" s="26">
        <v>68000</v>
      </c>
      <c r="L11" s="27">
        <v>19000</v>
      </c>
      <c r="N11" s="5" t="s">
        <v>1</v>
      </c>
      <c r="O11" s="111" t="s">
        <v>38</v>
      </c>
      <c r="P11" s="104">
        <v>2801</v>
      </c>
      <c r="Q11" s="26">
        <v>68000</v>
      </c>
      <c r="R11" s="27">
        <v>19000</v>
      </c>
    </row>
    <row r="12" spans="2:18" x14ac:dyDescent="0.3">
      <c r="B12" s="4" t="s">
        <v>14</v>
      </c>
      <c r="C12" s="8" t="s">
        <v>39</v>
      </c>
      <c r="D12" s="28">
        <v>5</v>
      </c>
      <c r="E12" s="28">
        <v>3</v>
      </c>
      <c r="F12" s="29">
        <v>3</v>
      </c>
      <c r="H12" s="4" t="s">
        <v>14</v>
      </c>
      <c r="I12" s="112" t="s">
        <v>39</v>
      </c>
      <c r="J12" s="103">
        <v>5</v>
      </c>
      <c r="K12" s="28">
        <v>3</v>
      </c>
      <c r="L12" s="29">
        <v>3</v>
      </c>
      <c r="N12" s="4" t="s">
        <v>14</v>
      </c>
      <c r="O12" s="112" t="s">
        <v>39</v>
      </c>
      <c r="P12" s="103">
        <v>5</v>
      </c>
      <c r="Q12" s="28">
        <v>3</v>
      </c>
      <c r="R12" s="29">
        <v>3</v>
      </c>
    </row>
    <row r="13" spans="2:18" x14ac:dyDescent="0.3">
      <c r="B13" s="5" t="s">
        <v>0</v>
      </c>
      <c r="C13" s="13" t="s">
        <v>40</v>
      </c>
      <c r="D13" s="26">
        <f>(D14/(D12*D11))*3600*D17</f>
        <v>10.796144234202069</v>
      </c>
      <c r="E13" s="26">
        <f>(E14/(E12*E11))*3600*E17</f>
        <v>8.1529411764705877</v>
      </c>
      <c r="F13" s="27">
        <f>(F14/(F12*F11))*3600*F17</f>
        <v>13.263157894736842</v>
      </c>
      <c r="G13" s="18"/>
      <c r="H13" s="5" t="s">
        <v>0</v>
      </c>
      <c r="I13" s="111" t="s">
        <v>40</v>
      </c>
      <c r="J13" s="104">
        <v>5</v>
      </c>
      <c r="K13" s="26">
        <v>5</v>
      </c>
      <c r="L13" s="27">
        <v>5</v>
      </c>
      <c r="N13" s="5" t="s">
        <v>0</v>
      </c>
      <c r="O13" s="111" t="s">
        <v>40</v>
      </c>
      <c r="P13" s="104">
        <v>5</v>
      </c>
      <c r="Q13" s="26">
        <v>5</v>
      </c>
      <c r="R13" s="27">
        <v>5</v>
      </c>
    </row>
    <row r="14" spans="2:18" x14ac:dyDescent="0.3">
      <c r="B14" s="4" t="s">
        <v>3</v>
      </c>
      <c r="C14" s="8" t="s">
        <v>41</v>
      </c>
      <c r="D14" s="28">
        <f>D20*D19</f>
        <v>42</v>
      </c>
      <c r="E14" s="28">
        <f>E20*E19</f>
        <v>231</v>
      </c>
      <c r="F14" s="29">
        <f>F20*F19</f>
        <v>140</v>
      </c>
      <c r="G14" s="18"/>
      <c r="H14" s="4" t="s">
        <v>3</v>
      </c>
      <c r="I14" s="112" t="s">
        <v>41</v>
      </c>
      <c r="J14" s="103">
        <f>J13*J12*J11/(3600*J17)</f>
        <v>19.451388888888889</v>
      </c>
      <c r="K14" s="28">
        <f>K13*K12*K11/(3600*K17)</f>
        <v>141.66666666666666</v>
      </c>
      <c r="L14" s="29">
        <f>L13*L12*L11/(3600*L17)</f>
        <v>52.777777777777779</v>
      </c>
      <c r="N14" s="4" t="s">
        <v>3</v>
      </c>
      <c r="O14" s="112" t="s">
        <v>41</v>
      </c>
      <c r="P14" s="103">
        <f>P13*P12*P11/(3600*P17)</f>
        <v>19.451388888888889</v>
      </c>
      <c r="Q14" s="28">
        <f>Q13*Q12*Q11/(3600*Q17)</f>
        <v>141.66666666666666</v>
      </c>
      <c r="R14" s="29">
        <f>R13*R12*R11/(3600*R17)</f>
        <v>52.777777777777779</v>
      </c>
    </row>
    <row r="15" spans="2:18" x14ac:dyDescent="0.3">
      <c r="B15" s="5" t="s">
        <v>19</v>
      </c>
      <c r="C15" s="13" t="s">
        <v>41</v>
      </c>
      <c r="D15" s="26">
        <v>7</v>
      </c>
      <c r="E15" s="26">
        <f>(0.5*33) + 5*6</f>
        <v>46.5</v>
      </c>
      <c r="F15" s="27">
        <f>F21*F19</f>
        <v>30</v>
      </c>
      <c r="H15" s="5" t="s">
        <v>19</v>
      </c>
      <c r="I15" s="111" t="s">
        <v>41</v>
      </c>
      <c r="J15" s="104">
        <f>(J20/2) + ((((J11/10)*(J12*2)) + J11)/3600)</f>
        <v>2.9454960317460319</v>
      </c>
      <c r="K15" s="26">
        <f>(K20/2) + ((((K11/10)*(K12*2)) + K11)/3600)</f>
        <v>40.341269841269842</v>
      </c>
      <c r="L15" s="27">
        <f>(L20/2) + ((((L11/10)*(L12*2)) + L11)/3600)</f>
        <v>12.214285714285715</v>
      </c>
      <c r="N15" s="5" t="s">
        <v>19</v>
      </c>
      <c r="O15" s="111" t="s">
        <v>41</v>
      </c>
      <c r="P15" s="104">
        <f>(P20/2) + ((((P11/10)*(P12*2)) + P11)/3600)</f>
        <v>2.9454960317460319</v>
      </c>
      <c r="Q15" s="26">
        <f>(Q20/2) + ((((Q11/10)*(Q12*2)) + Q11)/3600)</f>
        <v>40.341269841269842</v>
      </c>
      <c r="R15" s="27">
        <f>(R20/2) + ((((R11/10)*(R12*2)) + R11)/3600)</f>
        <v>12.214285714285715</v>
      </c>
    </row>
    <row r="16" spans="2:18" x14ac:dyDescent="0.3">
      <c r="B16" s="4" t="s">
        <v>2</v>
      </c>
      <c r="C16" s="8" t="s">
        <v>41</v>
      </c>
      <c r="D16" s="28">
        <f>SUM(D14,D15)</f>
        <v>49</v>
      </c>
      <c r="E16" s="28">
        <f>SUM(E14,E15)</f>
        <v>277.5</v>
      </c>
      <c r="F16" s="29">
        <f>SUM(F14,F15)</f>
        <v>170</v>
      </c>
      <c r="H16" s="4" t="s">
        <v>2</v>
      </c>
      <c r="I16" s="112" t="s">
        <v>41</v>
      </c>
      <c r="J16" s="103">
        <f t="shared" ref="J16:L16" si="0">SUM(J14,J15)</f>
        <v>22.396884920634921</v>
      </c>
      <c r="K16" s="28">
        <f t="shared" si="0"/>
        <v>182.00793650793651</v>
      </c>
      <c r="L16" s="29">
        <f t="shared" si="0"/>
        <v>64.992063492063494</v>
      </c>
      <c r="N16" s="4" t="s">
        <v>2</v>
      </c>
      <c r="O16" s="112" t="s">
        <v>41</v>
      </c>
      <c r="P16" s="103">
        <f t="shared" ref="P16:R16" si="1">SUM(P14,P15)</f>
        <v>22.396884920634921</v>
      </c>
      <c r="Q16" s="28">
        <f t="shared" si="1"/>
        <v>182.00793650793651</v>
      </c>
      <c r="R16" s="29">
        <f t="shared" si="1"/>
        <v>64.992063492063494</v>
      </c>
    </row>
    <row r="17" spans="2:18" x14ac:dyDescent="0.3">
      <c r="B17" s="5" t="s">
        <v>18</v>
      </c>
      <c r="C17" s="13" t="s">
        <v>42</v>
      </c>
      <c r="D17" s="26">
        <v>1</v>
      </c>
      <c r="E17" s="26">
        <v>2</v>
      </c>
      <c r="F17" s="27">
        <v>1.5</v>
      </c>
      <c r="H17" s="5" t="s">
        <v>18</v>
      </c>
      <c r="I17" s="111" t="s">
        <v>42</v>
      </c>
      <c r="J17" s="104">
        <v>1</v>
      </c>
      <c r="K17" s="26">
        <v>2</v>
      </c>
      <c r="L17" s="27">
        <v>1.5</v>
      </c>
      <c r="N17" s="5" t="s">
        <v>18</v>
      </c>
      <c r="O17" s="111" t="s">
        <v>42</v>
      </c>
      <c r="P17" s="104">
        <v>1</v>
      </c>
      <c r="Q17" s="26">
        <v>2</v>
      </c>
      <c r="R17" s="27">
        <v>1.5</v>
      </c>
    </row>
    <row r="18" spans="2:18" x14ac:dyDescent="0.3">
      <c r="B18" s="4" t="s">
        <v>17</v>
      </c>
      <c r="C18" s="8" t="s">
        <v>42</v>
      </c>
      <c r="D18" s="28">
        <v>1</v>
      </c>
      <c r="E18" s="28">
        <v>1</v>
      </c>
      <c r="F18" s="29">
        <v>1</v>
      </c>
      <c r="H18" s="4" t="s">
        <v>17</v>
      </c>
      <c r="I18" s="112" t="s">
        <v>42</v>
      </c>
      <c r="J18" s="103">
        <v>1</v>
      </c>
      <c r="K18" s="28">
        <v>1</v>
      </c>
      <c r="L18" s="29">
        <v>1</v>
      </c>
      <c r="N18" s="4" t="s">
        <v>17</v>
      </c>
      <c r="O18" s="112" t="s">
        <v>42</v>
      </c>
      <c r="P18" s="103">
        <v>1</v>
      </c>
      <c r="Q18" s="28">
        <v>1</v>
      </c>
      <c r="R18" s="29">
        <v>1</v>
      </c>
    </row>
    <row r="19" spans="2:18" x14ac:dyDescent="0.3">
      <c r="B19" s="5" t="s">
        <v>6</v>
      </c>
      <c r="C19" s="13" t="s">
        <v>41</v>
      </c>
      <c r="D19" s="26">
        <v>7</v>
      </c>
      <c r="E19" s="26">
        <v>7</v>
      </c>
      <c r="F19" s="27">
        <v>7</v>
      </c>
      <c r="H19" s="5" t="s">
        <v>6</v>
      </c>
      <c r="I19" s="111" t="s">
        <v>41</v>
      </c>
      <c r="J19" s="104">
        <v>7</v>
      </c>
      <c r="K19" s="26">
        <v>7</v>
      </c>
      <c r="L19" s="27">
        <v>7</v>
      </c>
      <c r="N19" s="5" t="s">
        <v>6</v>
      </c>
      <c r="O19" s="111" t="s">
        <v>41</v>
      </c>
      <c r="P19" s="104">
        <v>7</v>
      </c>
      <c r="Q19" s="26">
        <v>7</v>
      </c>
      <c r="R19" s="27">
        <v>7</v>
      </c>
    </row>
    <row r="20" spans="2:18" x14ac:dyDescent="0.3">
      <c r="B20" s="4" t="s">
        <v>27</v>
      </c>
      <c r="C20" s="8" t="s">
        <v>43</v>
      </c>
      <c r="D20" s="28">
        <v>6</v>
      </c>
      <c r="E20" s="28">
        <v>33</v>
      </c>
      <c r="F20" s="29">
        <v>20</v>
      </c>
      <c r="H20" s="4" t="s">
        <v>27</v>
      </c>
      <c r="I20" s="112" t="s">
        <v>43</v>
      </c>
      <c r="J20" s="103">
        <f>J14/J19</f>
        <v>2.7787698412698414</v>
      </c>
      <c r="K20" s="28">
        <f>K14/K19</f>
        <v>20.238095238095237</v>
      </c>
      <c r="L20" s="29">
        <f>L14/L19</f>
        <v>7.5396825396825395</v>
      </c>
      <c r="N20" s="4" t="s">
        <v>27</v>
      </c>
      <c r="O20" s="112" t="s">
        <v>43</v>
      </c>
      <c r="P20" s="103">
        <f>P14/P19</f>
        <v>2.7787698412698414</v>
      </c>
      <c r="Q20" s="28">
        <f>Q14/Q19</f>
        <v>20.238095238095237</v>
      </c>
      <c r="R20" s="29">
        <f>R14/R19</f>
        <v>7.5396825396825395</v>
      </c>
    </row>
    <row r="21" spans="2:18" x14ac:dyDescent="0.3">
      <c r="B21" s="5" t="s">
        <v>28</v>
      </c>
      <c r="C21" s="13" t="s">
        <v>43</v>
      </c>
      <c r="D21" s="26">
        <f>QUOTIENT(D15,D19)</f>
        <v>1</v>
      </c>
      <c r="E21" s="26">
        <f>QUOTIENT(E15,E19)</f>
        <v>6</v>
      </c>
      <c r="F21" s="27">
        <f>(F20*0.5 + (F20/5)*5)/F19</f>
        <v>4.2857142857142856</v>
      </c>
      <c r="H21" s="5" t="s">
        <v>28</v>
      </c>
      <c r="I21" s="111" t="s">
        <v>43</v>
      </c>
      <c r="J21" s="104">
        <f>J15/J19</f>
        <v>0.42078514739229028</v>
      </c>
      <c r="K21" s="26">
        <f>K15/K19</f>
        <v>5.7630385487528342</v>
      </c>
      <c r="L21" s="27">
        <f>L15/L19</f>
        <v>1.7448979591836735</v>
      </c>
      <c r="N21" s="5" t="s">
        <v>28</v>
      </c>
      <c r="O21" s="111" t="s">
        <v>43</v>
      </c>
      <c r="P21" s="104">
        <f>P15/P19</f>
        <v>0.42078514739229028</v>
      </c>
      <c r="Q21" s="26">
        <f>Q15/Q19</f>
        <v>5.7630385487528342</v>
      </c>
      <c r="R21" s="27">
        <f>R15/R19</f>
        <v>1.7448979591836735</v>
      </c>
    </row>
    <row r="22" spans="2:18" ht="15" thickBot="1" x14ac:dyDescent="0.35">
      <c r="B22" s="10" t="s">
        <v>13</v>
      </c>
      <c r="C22" s="14" t="s">
        <v>44</v>
      </c>
      <c r="D22" s="30">
        <f>800000/22</f>
        <v>36363.63636363636</v>
      </c>
      <c r="E22" s="30">
        <f>800000/22</f>
        <v>36363.63636363636</v>
      </c>
      <c r="F22" s="31">
        <f>800000/22</f>
        <v>36363.63636363636</v>
      </c>
      <c r="H22" s="10" t="s">
        <v>13</v>
      </c>
      <c r="I22" s="113" t="s">
        <v>44</v>
      </c>
      <c r="J22" s="105">
        <v>36363.63636363636</v>
      </c>
      <c r="K22" s="40">
        <v>36363.63636363636</v>
      </c>
      <c r="L22" s="41">
        <v>36363.63636363636</v>
      </c>
      <c r="N22" s="10" t="s">
        <v>13</v>
      </c>
      <c r="O22" s="113" t="s">
        <v>44</v>
      </c>
      <c r="P22" s="105">
        <v>36363.63636363636</v>
      </c>
      <c r="Q22" s="40">
        <v>36363.63636363636</v>
      </c>
      <c r="R22" s="41">
        <v>36363.63636363636</v>
      </c>
    </row>
    <row r="23" spans="2:18" ht="15" thickBot="1" x14ac:dyDescent="0.35">
      <c r="B23" s="67" t="s">
        <v>7</v>
      </c>
      <c r="C23" s="68" t="s">
        <v>44</v>
      </c>
      <c r="D23" s="69">
        <f>((D17*D20)+(D18*D21))*D22</f>
        <v>254545.45454545453</v>
      </c>
      <c r="E23" s="69">
        <f>((E17*E20)+(E18*E21))*E22</f>
        <v>2618181.8181818179</v>
      </c>
      <c r="F23" s="70">
        <f>((F17*F20)+(F18*F21))*F22</f>
        <v>1246753.2467532465</v>
      </c>
      <c r="H23" s="67" t="s">
        <v>7</v>
      </c>
      <c r="I23" s="116" t="s">
        <v>44</v>
      </c>
      <c r="J23" s="108">
        <f>((J20*J17)+(J18*J21))*J22</f>
        <v>116347.45413316842</v>
      </c>
      <c r="K23" s="74">
        <f>((K20*K17)+(K18*K21))*K22</f>
        <v>1681426.5099979383</v>
      </c>
      <c r="L23" s="75">
        <f>((L20*L17)+(L18*L21))*L22</f>
        <v>474706.24613481754</v>
      </c>
      <c r="N23" s="67" t="s">
        <v>7</v>
      </c>
      <c r="O23" s="116" t="s">
        <v>44</v>
      </c>
      <c r="P23" s="108">
        <f>((P20*P17)+(P18*P21))*P22</f>
        <v>116347.45413316842</v>
      </c>
      <c r="Q23" s="74">
        <f>((Q20*Q17)+(Q18*Q21))*Q22</f>
        <v>1681426.5099979383</v>
      </c>
      <c r="R23" s="75">
        <f>((R20*R17)+(R18*R21))*R22</f>
        <v>474706.24613481754</v>
      </c>
    </row>
    <row r="24" spans="2:18" x14ac:dyDescent="0.3">
      <c r="B24" s="1"/>
      <c r="C24" s="1" t="s">
        <v>45</v>
      </c>
      <c r="D24" s="32"/>
      <c r="E24" s="33"/>
      <c r="F24" s="33"/>
      <c r="H24" s="1"/>
      <c r="I24" s="1" t="s">
        <v>45</v>
      </c>
      <c r="J24" s="32"/>
      <c r="K24" s="33"/>
      <c r="L24" s="33"/>
      <c r="N24" s="1"/>
      <c r="O24" s="1" t="s">
        <v>45</v>
      </c>
      <c r="P24" s="32"/>
      <c r="Q24" s="33"/>
      <c r="R24" s="33"/>
    </row>
    <row r="25" spans="2:18" ht="15" thickBot="1" x14ac:dyDescent="0.35">
      <c r="B25" s="1"/>
      <c r="C25" s="1" t="s">
        <v>45</v>
      </c>
      <c r="D25" s="32"/>
      <c r="E25" s="33"/>
      <c r="F25" s="33"/>
      <c r="H25" s="1"/>
      <c r="I25" s="1" t="s">
        <v>45</v>
      </c>
      <c r="J25" s="32"/>
      <c r="K25" s="33"/>
      <c r="L25" s="33"/>
      <c r="N25" s="1"/>
      <c r="O25" s="1" t="s">
        <v>45</v>
      </c>
      <c r="P25" s="32"/>
      <c r="Q25" s="33"/>
      <c r="R25" s="33"/>
    </row>
    <row r="26" spans="2:18" x14ac:dyDescent="0.3">
      <c r="B26" s="3" t="s">
        <v>12</v>
      </c>
      <c r="C26" s="15" t="s">
        <v>46</v>
      </c>
      <c r="D26" s="20">
        <v>1</v>
      </c>
      <c r="E26" s="20">
        <v>2</v>
      </c>
      <c r="F26" s="21">
        <v>2</v>
      </c>
      <c r="H26" s="3" t="s">
        <v>12</v>
      </c>
      <c r="I26" s="114" t="s">
        <v>46</v>
      </c>
      <c r="J26" s="106">
        <v>1</v>
      </c>
      <c r="K26" s="20">
        <v>2</v>
      </c>
      <c r="L26" s="21">
        <v>2</v>
      </c>
      <c r="N26" s="3" t="s">
        <v>12</v>
      </c>
      <c r="O26" s="114" t="s">
        <v>46</v>
      </c>
      <c r="P26" s="106">
        <v>1</v>
      </c>
      <c r="Q26" s="20">
        <v>2</v>
      </c>
      <c r="R26" s="21">
        <v>2</v>
      </c>
    </row>
    <row r="27" spans="2:18" ht="15" thickBot="1" x14ac:dyDescent="0.35">
      <c r="B27" s="6" t="s">
        <v>4</v>
      </c>
      <c r="C27" s="16" t="s">
        <v>44</v>
      </c>
      <c r="D27" s="22">
        <f>80000/22</f>
        <v>3636.3636363636365</v>
      </c>
      <c r="E27" s="22">
        <f>80000/22</f>
        <v>3636.3636363636365</v>
      </c>
      <c r="F27" s="23">
        <f>80000/22</f>
        <v>3636.3636363636365</v>
      </c>
      <c r="H27" s="6" t="s">
        <v>4</v>
      </c>
      <c r="I27" s="115" t="s">
        <v>44</v>
      </c>
      <c r="J27" s="107">
        <v>3636.3636363636365</v>
      </c>
      <c r="K27" s="22">
        <v>3636.3636363636365</v>
      </c>
      <c r="L27" s="23">
        <v>3636.3636363636365</v>
      </c>
      <c r="N27" s="6" t="s">
        <v>4</v>
      </c>
      <c r="O27" s="115" t="s">
        <v>44</v>
      </c>
      <c r="P27" s="107">
        <v>3636.3636363636365</v>
      </c>
      <c r="Q27" s="22">
        <v>3636.3636363636365</v>
      </c>
      <c r="R27" s="23">
        <v>3636.3636363636365</v>
      </c>
    </row>
    <row r="28" spans="2:18" ht="15" thickBot="1" x14ac:dyDescent="0.35">
      <c r="B28" s="67" t="s">
        <v>5</v>
      </c>
      <c r="C28" s="68" t="s">
        <v>44</v>
      </c>
      <c r="D28" s="69">
        <f>D26*D27*(D20+D21)</f>
        <v>25454.545454545456</v>
      </c>
      <c r="E28" s="69">
        <f>E26*E27*(E20+E21)</f>
        <v>283636.36363636365</v>
      </c>
      <c r="F28" s="70">
        <f>F26*F27*(F20+F21)</f>
        <v>176623.37662337662</v>
      </c>
      <c r="H28" s="67" t="s">
        <v>5</v>
      </c>
      <c r="I28" s="116" t="s">
        <v>44</v>
      </c>
      <c r="J28" s="109">
        <f>J26*J27*(J20+J21)</f>
        <v>11634.745413316843</v>
      </c>
      <c r="K28" s="69">
        <f>K26*K27*(K20+K21)</f>
        <v>189099.15481344055</v>
      </c>
      <c r="L28" s="70">
        <f>L26*L27*(L20+L21)</f>
        <v>67524.221809936091</v>
      </c>
      <c r="N28" s="67" t="s">
        <v>5</v>
      </c>
      <c r="O28" s="116" t="s">
        <v>44</v>
      </c>
      <c r="P28" s="109">
        <f>P26*P27*(P20+P21)</f>
        <v>11634.745413316843</v>
      </c>
      <c r="Q28" s="69">
        <f>Q26*Q27*(Q20+Q21)</f>
        <v>189099.15481344055</v>
      </c>
      <c r="R28" s="70">
        <f>R26*R27*(R20+R21)</f>
        <v>67524.221809936091</v>
      </c>
    </row>
    <row r="29" spans="2:18" x14ac:dyDescent="0.3">
      <c r="B29" s="1"/>
      <c r="C29" s="1" t="s">
        <v>45</v>
      </c>
      <c r="D29" s="32"/>
      <c r="E29" s="33"/>
      <c r="F29" s="33"/>
      <c r="H29" s="1"/>
      <c r="I29" s="1" t="s">
        <v>45</v>
      </c>
      <c r="J29" s="32"/>
      <c r="K29" s="33"/>
      <c r="L29" s="33"/>
      <c r="N29" s="1"/>
      <c r="O29" s="1" t="s">
        <v>45</v>
      </c>
      <c r="P29" s="32"/>
      <c r="Q29" s="33"/>
      <c r="R29" s="33"/>
    </row>
    <row r="30" spans="2:18" ht="15" thickBot="1" x14ac:dyDescent="0.35">
      <c r="C30" t="s">
        <v>45</v>
      </c>
      <c r="D30" s="33"/>
      <c r="E30" s="33"/>
      <c r="F30" s="33"/>
      <c r="I30" t="s">
        <v>45</v>
      </c>
      <c r="J30" s="33"/>
      <c r="K30" s="33"/>
      <c r="L30" s="33"/>
      <c r="O30" t="s">
        <v>45</v>
      </c>
      <c r="P30" s="33"/>
      <c r="Q30" s="33"/>
      <c r="R30" s="33"/>
    </row>
    <row r="31" spans="2:18" x14ac:dyDescent="0.3">
      <c r="B31" s="3" t="s">
        <v>8</v>
      </c>
      <c r="C31" s="15" t="s">
        <v>44</v>
      </c>
      <c r="D31" s="20">
        <v>50000</v>
      </c>
      <c r="E31" s="20">
        <v>50000</v>
      </c>
      <c r="F31" s="21">
        <v>50000</v>
      </c>
      <c r="H31" s="3" t="s">
        <v>29</v>
      </c>
      <c r="I31" s="114" t="s">
        <v>43</v>
      </c>
      <c r="J31" s="106">
        <v>1</v>
      </c>
      <c r="K31" s="20">
        <v>2</v>
      </c>
      <c r="L31" s="21">
        <v>1</v>
      </c>
      <c r="N31" s="3" t="s">
        <v>29</v>
      </c>
      <c r="O31" s="114" t="s">
        <v>43</v>
      </c>
      <c r="P31" s="106">
        <v>1</v>
      </c>
      <c r="Q31" s="20">
        <v>2</v>
      </c>
      <c r="R31" s="21">
        <v>1</v>
      </c>
    </row>
    <row r="32" spans="2:18" x14ac:dyDescent="0.3">
      <c r="B32" s="5" t="s">
        <v>9</v>
      </c>
      <c r="C32" s="13" t="s">
        <v>61</v>
      </c>
      <c r="D32" s="26" t="s">
        <v>20</v>
      </c>
      <c r="E32" s="26"/>
      <c r="F32" s="27"/>
      <c r="H32" s="5" t="s">
        <v>26</v>
      </c>
      <c r="I32" s="111" t="s">
        <v>44</v>
      </c>
      <c r="J32" s="104">
        <v>0</v>
      </c>
      <c r="K32" s="26">
        <v>350000</v>
      </c>
      <c r="L32" s="27">
        <v>0</v>
      </c>
      <c r="N32" s="5" t="s">
        <v>26</v>
      </c>
      <c r="O32" s="111" t="s">
        <v>44</v>
      </c>
      <c r="P32" s="104">
        <v>0</v>
      </c>
      <c r="Q32" s="26">
        <v>350000</v>
      </c>
      <c r="R32" s="27">
        <v>0</v>
      </c>
    </row>
    <row r="33" spans="2:18" ht="15" thickBot="1" x14ac:dyDescent="0.35">
      <c r="B33" s="6" t="s">
        <v>11</v>
      </c>
      <c r="C33" s="16" t="s">
        <v>47</v>
      </c>
      <c r="D33" s="22">
        <v>1</v>
      </c>
      <c r="E33" s="22">
        <v>1</v>
      </c>
      <c r="F33" s="23">
        <v>1</v>
      </c>
      <c r="H33" s="11" t="s">
        <v>21</v>
      </c>
      <c r="I33" s="117" t="s">
        <v>44</v>
      </c>
      <c r="J33" s="107">
        <v>1700000</v>
      </c>
      <c r="K33" s="22">
        <v>1700000</v>
      </c>
      <c r="L33" s="23">
        <v>1700000</v>
      </c>
      <c r="N33" s="11" t="s">
        <v>21</v>
      </c>
      <c r="O33" s="117" t="s">
        <v>44</v>
      </c>
      <c r="P33" s="107">
        <v>1700000</v>
      </c>
      <c r="Q33" s="22">
        <v>1700000</v>
      </c>
      <c r="R33" s="23">
        <v>1700000</v>
      </c>
    </row>
    <row r="34" spans="2:18" ht="15" thickBot="1" x14ac:dyDescent="0.35">
      <c r="B34" s="67" t="s">
        <v>15</v>
      </c>
      <c r="C34" s="68" t="s">
        <v>44</v>
      </c>
      <c r="D34" s="69">
        <f>PRODUCT(D31,D33)</f>
        <v>50000</v>
      </c>
      <c r="E34" s="69">
        <f>PRODUCT(E31,E33)</f>
        <v>50000</v>
      </c>
      <c r="F34" s="70">
        <f>PRODUCT(F31,F33)</f>
        <v>50000</v>
      </c>
      <c r="H34" s="67" t="s">
        <v>31</v>
      </c>
      <c r="I34" s="116" t="s">
        <v>44</v>
      </c>
      <c r="J34" s="109">
        <f>PRODUCT(J31,(J33/22))+J32</f>
        <v>77272.727272727279</v>
      </c>
      <c r="K34" s="69">
        <f>PRODUCT(K31,(K33/22))+K32</f>
        <v>504545.45454545459</v>
      </c>
      <c r="L34" s="70">
        <f>PRODUCT(L31,(L33/22))+L32</f>
        <v>77272.727272727279</v>
      </c>
      <c r="N34" s="67" t="s">
        <v>31</v>
      </c>
      <c r="O34" s="116" t="s">
        <v>44</v>
      </c>
      <c r="P34" s="109">
        <f>PRODUCT(P31,(P33/22))+P32</f>
        <v>77272.727272727279</v>
      </c>
      <c r="Q34" s="69">
        <f>PRODUCT(Q31,(Q33/22))+Q32</f>
        <v>504545.45454545459</v>
      </c>
      <c r="R34" s="70">
        <f>PRODUCT(R31,(R33/22))+R32</f>
        <v>77272.727272727279</v>
      </c>
    </row>
    <row r="35" spans="2:18" x14ac:dyDescent="0.3">
      <c r="C35" t="s">
        <v>45</v>
      </c>
      <c r="D35" s="33"/>
      <c r="E35" s="33"/>
      <c r="F35" s="33"/>
      <c r="J35" s="33"/>
      <c r="K35" s="33"/>
      <c r="L35" s="33"/>
      <c r="P35" s="33"/>
      <c r="Q35" s="33"/>
      <c r="R35" s="33"/>
    </row>
    <row r="36" spans="2:18" ht="15" thickBot="1" x14ac:dyDescent="0.35">
      <c r="B36" s="1"/>
      <c r="C36" s="1" t="s">
        <v>45</v>
      </c>
      <c r="D36" s="32"/>
      <c r="E36" s="33"/>
      <c r="F36" s="33"/>
      <c r="J36" s="33"/>
      <c r="K36" s="33"/>
      <c r="L36" s="33"/>
      <c r="P36" s="33"/>
      <c r="Q36" s="33"/>
      <c r="R36" s="33"/>
    </row>
    <row r="37" spans="2:18" x14ac:dyDescent="0.3">
      <c r="B37" s="3" t="s">
        <v>29</v>
      </c>
      <c r="C37" s="15" t="s">
        <v>43</v>
      </c>
      <c r="D37" s="20">
        <v>2</v>
      </c>
      <c r="E37" s="20">
        <v>4</v>
      </c>
      <c r="F37" s="21">
        <v>2</v>
      </c>
      <c r="H37" s="3" t="s">
        <v>49</v>
      </c>
      <c r="I37" s="15" t="s">
        <v>43</v>
      </c>
      <c r="J37" s="34">
        <v>1</v>
      </c>
      <c r="K37" s="34">
        <v>2</v>
      </c>
      <c r="L37" s="35">
        <v>2</v>
      </c>
      <c r="N37" s="3" t="s">
        <v>49</v>
      </c>
      <c r="O37" s="15" t="s">
        <v>43</v>
      </c>
      <c r="P37" s="34">
        <v>1</v>
      </c>
      <c r="Q37" s="34">
        <v>2</v>
      </c>
      <c r="R37" s="35">
        <v>2</v>
      </c>
    </row>
    <row r="38" spans="2:18" x14ac:dyDescent="0.3">
      <c r="B38" s="5" t="s">
        <v>26</v>
      </c>
      <c r="C38" s="13" t="s">
        <v>44</v>
      </c>
      <c r="D38" s="26">
        <v>0</v>
      </c>
      <c r="E38" s="26">
        <v>700000</v>
      </c>
      <c r="F38" s="27">
        <v>0</v>
      </c>
      <c r="H38" s="5" t="s">
        <v>50</v>
      </c>
      <c r="I38" s="13" t="s">
        <v>44</v>
      </c>
      <c r="J38" s="36">
        <v>50000</v>
      </c>
      <c r="K38" s="36">
        <v>50000</v>
      </c>
      <c r="L38" s="37">
        <v>50000</v>
      </c>
      <c r="N38" s="5" t="s">
        <v>50</v>
      </c>
      <c r="O38" s="13" t="s">
        <v>44</v>
      </c>
      <c r="P38" s="36">
        <v>50000</v>
      </c>
      <c r="Q38" s="36">
        <v>50000</v>
      </c>
      <c r="R38" s="37">
        <v>50000</v>
      </c>
    </row>
    <row r="39" spans="2:18" ht="15" thickBot="1" x14ac:dyDescent="0.35">
      <c r="B39" s="11" t="s">
        <v>21</v>
      </c>
      <c r="C39" s="17" t="s">
        <v>44</v>
      </c>
      <c r="D39" s="22">
        <v>1700000</v>
      </c>
      <c r="E39" s="22">
        <v>1700000</v>
      </c>
      <c r="F39" s="23">
        <v>1700000</v>
      </c>
      <c r="H39" s="19" t="s">
        <v>51</v>
      </c>
      <c r="I39" s="88" t="s">
        <v>44</v>
      </c>
      <c r="J39" s="38">
        <v>60000</v>
      </c>
      <c r="K39" s="38">
        <v>60000</v>
      </c>
      <c r="L39" s="39">
        <v>60000</v>
      </c>
      <c r="N39" s="19" t="s">
        <v>51</v>
      </c>
      <c r="O39" s="88" t="s">
        <v>44</v>
      </c>
      <c r="P39" s="38">
        <v>60000</v>
      </c>
      <c r="Q39" s="38">
        <v>60000</v>
      </c>
      <c r="R39" s="39">
        <v>60000</v>
      </c>
    </row>
    <row r="40" spans="2:18" ht="15" thickBot="1" x14ac:dyDescent="0.35">
      <c r="B40" s="67" t="s">
        <v>31</v>
      </c>
      <c r="C40" s="68" t="s">
        <v>44</v>
      </c>
      <c r="D40" s="69">
        <f>PRODUCT(D37,(D39/22))+D38</f>
        <v>154545.45454545456</v>
      </c>
      <c r="E40" s="69">
        <f>PRODUCT(E37,(E39/22))+E38</f>
        <v>1009090.9090909092</v>
      </c>
      <c r="F40" s="70">
        <f>PRODUCT(F37,(F39/22))+F38</f>
        <v>154545.45454545456</v>
      </c>
      <c r="H40" s="80" t="s">
        <v>48</v>
      </c>
      <c r="I40" s="89" t="s">
        <v>44</v>
      </c>
      <c r="J40" s="81">
        <f>J38*J37 +J39/2</f>
        <v>80000</v>
      </c>
      <c r="K40" s="81">
        <f>K38*K37 +K39/2</f>
        <v>130000</v>
      </c>
      <c r="L40" s="82">
        <f>L38*L37 +L39/2</f>
        <v>130000</v>
      </c>
      <c r="N40" s="80" t="s">
        <v>48</v>
      </c>
      <c r="O40" s="89" t="s">
        <v>44</v>
      </c>
      <c r="P40" s="81">
        <f>P38*P37 +P39/2</f>
        <v>80000</v>
      </c>
      <c r="Q40" s="81">
        <f>Q38*Q37 +Q39/2</f>
        <v>130000</v>
      </c>
      <c r="R40" s="82">
        <f>R38*R37 +R39/2</f>
        <v>130000</v>
      </c>
    </row>
    <row r="41" spans="2:18" ht="15" thickBot="1" x14ac:dyDescent="0.35">
      <c r="C41" t="s">
        <v>45</v>
      </c>
      <c r="D41" s="33"/>
      <c r="E41" s="33"/>
      <c r="F41" s="33"/>
    </row>
    <row r="42" spans="2:18" ht="15" thickBot="1" x14ac:dyDescent="0.35">
      <c r="C42" t="s">
        <v>45</v>
      </c>
      <c r="D42" s="33"/>
      <c r="E42" s="33"/>
      <c r="F42" s="33"/>
      <c r="H42" s="80" t="s">
        <v>52</v>
      </c>
      <c r="I42" s="89" t="s">
        <v>44</v>
      </c>
      <c r="J42" s="43">
        <f>$D$57*J10</f>
        <v>150619.7928</v>
      </c>
      <c r="K42" s="43">
        <f>$D$57*K10</f>
        <v>956822.39999999991</v>
      </c>
      <c r="L42" s="44">
        <f>$D$57*L10</f>
        <v>2857178</v>
      </c>
      <c r="N42" s="100" t="s">
        <v>67</v>
      </c>
      <c r="O42" s="80" t="s">
        <v>44</v>
      </c>
      <c r="P42" s="43">
        <f>$D$64*P10</f>
        <v>43391.085599999999</v>
      </c>
      <c r="Q42" s="43">
        <f>$D$64*Q10</f>
        <v>275644.79999999999</v>
      </c>
      <c r="R42" s="44">
        <f>$D$64*R10</f>
        <v>823106</v>
      </c>
    </row>
    <row r="43" spans="2:18" ht="15" thickBot="1" x14ac:dyDescent="0.35">
      <c r="B43" s="122" t="s">
        <v>25</v>
      </c>
      <c r="C43" s="123"/>
      <c r="D43" s="61" t="s">
        <v>16</v>
      </c>
      <c r="E43" s="61" t="s">
        <v>24</v>
      </c>
      <c r="F43" s="62" t="s">
        <v>30</v>
      </c>
    </row>
    <row r="44" spans="2:18" ht="15" thickBot="1" x14ac:dyDescent="0.35">
      <c r="B44" s="76" t="s">
        <v>32</v>
      </c>
      <c r="C44" s="77" t="s">
        <v>44</v>
      </c>
      <c r="D44" s="78">
        <f>SUM(D40,D34,D28,D23)</f>
        <v>484545.45454545453</v>
      </c>
      <c r="E44" s="78">
        <f>SUM(E40,E34,E28,E23)</f>
        <v>3960909.0909090908</v>
      </c>
      <c r="F44" s="79">
        <f>SUM(F40,F34,F28,F23)</f>
        <v>1627922.0779220778</v>
      </c>
      <c r="H44" s="122" t="s">
        <v>25</v>
      </c>
      <c r="I44" s="123"/>
      <c r="J44" s="61" t="s">
        <v>16</v>
      </c>
      <c r="K44" s="61" t="s">
        <v>24</v>
      </c>
      <c r="L44" s="62" t="s">
        <v>30</v>
      </c>
      <c r="N44" s="122" t="s">
        <v>25</v>
      </c>
      <c r="O44" s="123"/>
      <c r="P44" s="61" t="s">
        <v>16</v>
      </c>
      <c r="Q44" s="61" t="s">
        <v>24</v>
      </c>
      <c r="R44" s="62" t="s">
        <v>30</v>
      </c>
    </row>
    <row r="45" spans="2:18" ht="15.6" customHeight="1" x14ac:dyDescent="0.3">
      <c r="B45" s="3" t="s">
        <v>33</v>
      </c>
      <c r="C45" s="15" t="s">
        <v>55</v>
      </c>
      <c r="D45" s="20">
        <f>D44/D10</f>
        <v>42.751495901310619</v>
      </c>
      <c r="E45" s="20">
        <f>E44/E10</f>
        <v>55.012626262626263</v>
      </c>
      <c r="F45" s="21">
        <f>F44/F10</f>
        <v>7.5717305949864082</v>
      </c>
      <c r="H45" s="83" t="s">
        <v>32</v>
      </c>
      <c r="I45" s="90" t="s">
        <v>44</v>
      </c>
      <c r="J45" s="84">
        <f>SUM(J34,J28,J23,J40)</f>
        <v>285254.9268192125</v>
      </c>
      <c r="K45" s="84">
        <f>SUM(K34,K28,K23,K40)</f>
        <v>2505071.1193568334</v>
      </c>
      <c r="L45" s="85">
        <f>SUM(L34,L28,L23,L40)</f>
        <v>749503.19521748088</v>
      </c>
      <c r="N45" s="83" t="s">
        <v>32</v>
      </c>
      <c r="O45" s="90" t="s">
        <v>44</v>
      </c>
      <c r="P45" s="84">
        <f>SUM(P34,P28,P23,P40)</f>
        <v>285254.9268192125</v>
      </c>
      <c r="Q45" s="84">
        <f>SUM(Q34,Q28,Q23,Q40)</f>
        <v>2505071.1193568334</v>
      </c>
      <c r="R45" s="85">
        <f>SUM(R34,R28,R23,R40)</f>
        <v>749503.19521748088</v>
      </c>
    </row>
    <row r="46" spans="2:18" ht="15.6" customHeight="1" x14ac:dyDescent="0.3">
      <c r="B46" s="5" t="s">
        <v>33</v>
      </c>
      <c r="C46" s="111" t="s">
        <v>60</v>
      </c>
      <c r="D46" s="46">
        <f>D45/$C$3</f>
        <v>5.3439369876638276E-2</v>
      </c>
      <c r="E46" s="46">
        <f>E45/$C$3</f>
        <v>6.8765782828282829E-2</v>
      </c>
      <c r="F46" s="47">
        <f>F45/$C$3</f>
        <v>9.4646632437330111E-3</v>
      </c>
      <c r="H46" s="45" t="s">
        <v>33</v>
      </c>
      <c r="I46" s="91" t="s">
        <v>55</v>
      </c>
      <c r="J46" s="26">
        <f>J45/$J$10</f>
        <v>25.168071891583953</v>
      </c>
      <c r="K46" s="26">
        <f>K45/$K$10</f>
        <v>34.792654435511572</v>
      </c>
      <c r="L46" s="27">
        <f>L45/$L$10</f>
        <v>3.4860613731045622</v>
      </c>
      <c r="N46" s="45" t="s">
        <v>33</v>
      </c>
      <c r="O46" s="91" t="s">
        <v>55</v>
      </c>
      <c r="P46" s="26">
        <f>P45/P10</f>
        <v>25.168071891583953</v>
      </c>
      <c r="Q46" s="26">
        <f>Q45/Q10</f>
        <v>34.792654435511572</v>
      </c>
      <c r="R46" s="27">
        <f>R45/R10</f>
        <v>3.4860613731045622</v>
      </c>
    </row>
    <row r="47" spans="2:18" ht="15.6" customHeight="1" thickBot="1" x14ac:dyDescent="0.35">
      <c r="B47" s="19" t="s">
        <v>73</v>
      </c>
      <c r="C47" s="138" t="s">
        <v>44</v>
      </c>
      <c r="D47" s="38">
        <f>D44*0.05</f>
        <v>24227.272727272728</v>
      </c>
      <c r="E47" s="38">
        <f t="shared" ref="E47:F47" si="2">E44*0.05</f>
        <v>198045.45454545456</v>
      </c>
      <c r="F47" s="39">
        <f t="shared" si="2"/>
        <v>81396.103896103901</v>
      </c>
      <c r="H47" s="45" t="s">
        <v>33</v>
      </c>
      <c r="I47" s="91" t="s">
        <v>60</v>
      </c>
      <c r="J47" s="46">
        <f>J46/$C$3</f>
        <v>3.1460089864479943E-2</v>
      </c>
      <c r="K47" s="46">
        <f>K46/$C$3</f>
        <v>4.3490818044389465E-2</v>
      </c>
      <c r="L47" s="47">
        <f>L46/$C$3</f>
        <v>4.3575767163807032E-3</v>
      </c>
      <c r="N47" s="45" t="s">
        <v>33</v>
      </c>
      <c r="O47" s="91" t="s">
        <v>60</v>
      </c>
      <c r="P47" s="46">
        <f>P46/$C$3</f>
        <v>3.1460089864479943E-2</v>
      </c>
      <c r="Q47" s="46">
        <f>Q46/$C$3</f>
        <v>4.3490818044389465E-2</v>
      </c>
      <c r="R47" s="47">
        <f>R46/$C$3</f>
        <v>4.3575767163807032E-3</v>
      </c>
    </row>
    <row r="48" spans="2:18" ht="15" thickBot="1" x14ac:dyDescent="0.35">
      <c r="B48" s="139" t="s">
        <v>34</v>
      </c>
      <c r="C48" s="140" t="s">
        <v>44</v>
      </c>
      <c r="D48" s="141">
        <f>D44*1.05</f>
        <v>508772.72727272729</v>
      </c>
      <c r="E48" s="141">
        <f>E44*1.05</f>
        <v>4158954.5454545454</v>
      </c>
      <c r="F48" s="142">
        <f>F44*1.05</f>
        <v>1709318.1818181819</v>
      </c>
      <c r="H48" s="67" t="s">
        <v>53</v>
      </c>
      <c r="I48" s="68" t="s">
        <v>44</v>
      </c>
      <c r="J48" s="86">
        <f>J45+J42</f>
        <v>435874.7196192125</v>
      </c>
      <c r="K48" s="86">
        <f>K45+K42</f>
        <v>3461893.5193568333</v>
      </c>
      <c r="L48" s="87">
        <f>L45+L42</f>
        <v>3606681.1952174809</v>
      </c>
      <c r="N48" s="67" t="s">
        <v>68</v>
      </c>
      <c r="O48" s="68" t="s">
        <v>44</v>
      </c>
      <c r="P48" s="86">
        <f>P45+P42</f>
        <v>328646.01241921249</v>
      </c>
      <c r="Q48" s="86">
        <f>Q45+Q42</f>
        <v>2780715.9193568332</v>
      </c>
      <c r="R48" s="87">
        <f>R45+R42</f>
        <v>1572609.1952174809</v>
      </c>
    </row>
    <row r="49" spans="2:18" ht="15" thickBot="1" x14ac:dyDescent="0.35">
      <c r="B49" s="143" t="s">
        <v>74</v>
      </c>
      <c r="C49" s="144" t="s">
        <v>55</v>
      </c>
      <c r="D49" s="145">
        <f>D48/D10</f>
        <v>44.889070696376152</v>
      </c>
      <c r="E49" s="145">
        <f>E48/E10</f>
        <v>57.763257575757578</v>
      </c>
      <c r="F49" s="146">
        <f>F48/F10</f>
        <v>7.9503171247357294</v>
      </c>
      <c r="H49" s="11" t="s">
        <v>33</v>
      </c>
      <c r="I49" s="17" t="s">
        <v>55</v>
      </c>
      <c r="J49" s="22">
        <f>J48/J10</f>
        <v>38.45727189158395</v>
      </c>
      <c r="K49" s="22">
        <f>K48/K10</f>
        <v>48.081854435511573</v>
      </c>
      <c r="L49" s="23">
        <f>L48/L10</f>
        <v>16.775261373104563</v>
      </c>
      <c r="N49" s="11" t="s">
        <v>33</v>
      </c>
      <c r="O49" s="17" t="s">
        <v>55</v>
      </c>
      <c r="P49" s="22">
        <f>P48/P10</f>
        <v>28.996471891583951</v>
      </c>
      <c r="Q49" s="22">
        <f>Q48/Q10</f>
        <v>38.621054435511574</v>
      </c>
      <c r="R49" s="23">
        <f>R48/R10</f>
        <v>7.314461373104562</v>
      </c>
    </row>
    <row r="50" spans="2:18" ht="15" thickBot="1" x14ac:dyDescent="0.35">
      <c r="B50" s="6" t="s">
        <v>74</v>
      </c>
      <c r="C50" s="115" t="s">
        <v>60</v>
      </c>
      <c r="D50" s="147">
        <f>D49/$C$3</f>
        <v>5.6111338370470193E-2</v>
      </c>
      <c r="E50" s="147">
        <f t="shared" ref="E50:F50" si="3">E49/$C$3</f>
        <v>7.220407196969697E-2</v>
      </c>
      <c r="F50" s="148">
        <f t="shared" si="3"/>
        <v>9.9378964059196623E-3</v>
      </c>
    </row>
    <row r="51" spans="2:18" ht="15" thickBot="1" x14ac:dyDescent="0.35">
      <c r="B51" s="1"/>
      <c r="C51" s="1"/>
      <c r="D51" s="149"/>
      <c r="E51" s="149"/>
      <c r="F51" s="149"/>
    </row>
    <row r="52" spans="2:18" ht="15.6" thickTop="1" thickBot="1" x14ac:dyDescent="0.35">
      <c r="B52" s="129" t="s">
        <v>66</v>
      </c>
      <c r="C52" s="130"/>
      <c r="D52" s="130"/>
      <c r="E52" s="130"/>
      <c r="F52" s="131"/>
      <c r="H52" s="122" t="s">
        <v>25</v>
      </c>
      <c r="I52" s="123"/>
      <c r="J52" s="61" t="s">
        <v>16</v>
      </c>
      <c r="K52" s="61" t="s">
        <v>24</v>
      </c>
      <c r="L52" s="62" t="s">
        <v>30</v>
      </c>
      <c r="N52" s="122" t="s">
        <v>25</v>
      </c>
      <c r="O52" s="123"/>
      <c r="P52" s="61" t="s">
        <v>16</v>
      </c>
      <c r="Q52" s="61" t="s">
        <v>24</v>
      </c>
      <c r="R52" s="62" t="s">
        <v>30</v>
      </c>
    </row>
    <row r="53" spans="2:18" ht="14.4" customHeight="1" thickTop="1" thickBot="1" x14ac:dyDescent="0.35">
      <c r="H53" s="127" t="s">
        <v>62</v>
      </c>
      <c r="I53" s="128"/>
      <c r="J53" s="92">
        <f>(D49-J49)/D49</f>
        <v>0.14328206632514301</v>
      </c>
      <c r="K53" s="92">
        <f t="shared" ref="K53:L53" si="4">(E49-K49)/E49</f>
        <v>0.16760486763664023</v>
      </c>
      <c r="L53" s="93">
        <f t="shared" si="4"/>
        <v>-1.1100116020418715</v>
      </c>
      <c r="N53" s="127" t="s">
        <v>62</v>
      </c>
      <c r="O53" s="128"/>
      <c r="P53" s="92">
        <f>(D49-P49)/D49</f>
        <v>0.35404160875344637</v>
      </c>
      <c r="Q53" s="92">
        <f t="shared" ref="Q53:R53" si="5">(E49-Q49)/E49</f>
        <v>0.331390644219479</v>
      </c>
      <c r="R53" s="93">
        <f t="shared" si="5"/>
        <v>7.9978665209823732E-2</v>
      </c>
    </row>
    <row r="54" spans="2:18" ht="15" thickBot="1" x14ac:dyDescent="0.35"/>
    <row r="55" spans="2:18" ht="18.600000000000001" thickBot="1" x14ac:dyDescent="0.4">
      <c r="B55" s="124" t="s">
        <v>54</v>
      </c>
      <c r="C55" s="125"/>
      <c r="D55" s="126"/>
      <c r="E55" s="124" t="s">
        <v>56</v>
      </c>
      <c r="F55" s="126"/>
    </row>
    <row r="56" spans="2:18" ht="14.4" customHeight="1" x14ac:dyDescent="0.3">
      <c r="B56" s="53" t="s">
        <v>72</v>
      </c>
      <c r="C56" s="49" t="s">
        <v>22</v>
      </c>
      <c r="D56" s="54">
        <f>4850 + 28373</f>
        <v>33223</v>
      </c>
      <c r="E56" s="132" t="s">
        <v>59</v>
      </c>
      <c r="F56" s="133"/>
    </row>
    <row r="57" spans="2:18" ht="14.4" customHeight="1" x14ac:dyDescent="0.3">
      <c r="B57" s="58" t="s">
        <v>33</v>
      </c>
      <c r="C57" s="50" t="s">
        <v>55</v>
      </c>
      <c r="D57" s="51">
        <f>D56*$C$3/2000000</f>
        <v>13.289199999999999</v>
      </c>
      <c r="E57" s="134"/>
      <c r="F57" s="135"/>
    </row>
    <row r="58" spans="2:18" x14ac:dyDescent="0.3">
      <c r="B58" s="58" t="s">
        <v>57</v>
      </c>
      <c r="C58" s="50" t="s">
        <v>22</v>
      </c>
      <c r="D58" s="51">
        <f>4850/48</f>
        <v>101.04166666666667</v>
      </c>
      <c r="E58" s="134"/>
      <c r="F58" s="135"/>
    </row>
    <row r="59" spans="2:18" ht="14.4" customHeight="1" thickBot="1" x14ac:dyDescent="0.35">
      <c r="B59" s="55" t="s">
        <v>70</v>
      </c>
      <c r="C59" s="56" t="s">
        <v>22</v>
      </c>
      <c r="D59" s="57">
        <v>500</v>
      </c>
      <c r="E59" s="136"/>
      <c r="F59" s="137"/>
      <c r="P59" s="94">
        <f>($D$63*$C$3/12)*(P10/350000)*((P20+P21)/5 + 4)/4</f>
        <v>23967.94943797489</v>
      </c>
      <c r="Q59" s="94">
        <f>($D$63*$C$3/12)*(Q10/350000)*((Q20+Q21)/5 + 4)/4</f>
        <v>301904.12672497565</v>
      </c>
      <c r="R59" s="94">
        <f>($D$63*$C$3/12)*(R10/350000)*((R20+R21)/5 + 4)/4</f>
        <v>573912.23609761358</v>
      </c>
    </row>
    <row r="60" spans="2:18" ht="15" customHeight="1" x14ac:dyDescent="0.3">
      <c r="B60" s="98"/>
      <c r="C60" s="98"/>
      <c r="D60" s="95"/>
      <c r="E60" s="95"/>
      <c r="F60" s="95"/>
    </row>
    <row r="61" spans="2:18" ht="15" thickBot="1" x14ac:dyDescent="0.35"/>
    <row r="62" spans="2:18" ht="14.4" customHeight="1" thickBot="1" x14ac:dyDescent="0.4">
      <c r="B62" s="124" t="s">
        <v>65</v>
      </c>
      <c r="C62" s="125"/>
      <c r="D62" s="126"/>
      <c r="E62" s="124" t="s">
        <v>56</v>
      </c>
      <c r="F62" s="126"/>
    </row>
    <row r="63" spans="2:18" ht="14.4" customHeight="1" x14ac:dyDescent="0.3">
      <c r="B63" s="53" t="s">
        <v>72</v>
      </c>
      <c r="C63" s="49" t="s">
        <v>22</v>
      </c>
      <c r="D63" s="54">
        <v>9571</v>
      </c>
      <c r="E63" s="132" t="s">
        <v>69</v>
      </c>
      <c r="F63" s="133"/>
    </row>
    <row r="64" spans="2:18" ht="14.4" customHeight="1" x14ac:dyDescent="0.3">
      <c r="B64" s="58" t="s">
        <v>33</v>
      </c>
      <c r="C64" s="50" t="s">
        <v>55</v>
      </c>
      <c r="D64" s="99">
        <f>(D63*$C$3)/(2000000)</f>
        <v>3.8283999999999998</v>
      </c>
      <c r="E64" s="134"/>
      <c r="F64" s="135"/>
    </row>
    <row r="65" spans="2:6" ht="15" thickBot="1" x14ac:dyDescent="0.35">
      <c r="B65" s="55" t="s">
        <v>71</v>
      </c>
      <c r="C65" s="56" t="s">
        <v>22</v>
      </c>
      <c r="D65" s="57">
        <f>702</f>
        <v>702</v>
      </c>
      <c r="E65" s="136"/>
      <c r="F65" s="137"/>
    </row>
    <row r="66" spans="2:6" ht="15" thickBot="1" x14ac:dyDescent="0.35">
      <c r="B66" s="52"/>
      <c r="C66" s="52"/>
      <c r="D66" s="101"/>
      <c r="E66" s="102"/>
      <c r="F66" s="102"/>
    </row>
    <row r="67" spans="2:6" ht="15" thickBot="1" x14ac:dyDescent="0.35">
      <c r="B67" s="122" t="s">
        <v>25</v>
      </c>
      <c r="C67" s="123"/>
      <c r="D67" s="61" t="s">
        <v>16</v>
      </c>
      <c r="E67" s="61" t="s">
        <v>24</v>
      </c>
      <c r="F67" s="62" t="s">
        <v>30</v>
      </c>
    </row>
    <row r="68" spans="2:6" ht="14.4" customHeight="1" thickBot="1" x14ac:dyDescent="0.35">
      <c r="B68" s="153" t="s">
        <v>75</v>
      </c>
      <c r="C68" s="154"/>
      <c r="D68" s="150">
        <f>D49-J46</f>
        <v>19.720998804792199</v>
      </c>
      <c r="E68" s="150">
        <f t="shared" ref="E68:F68" si="6">E49-K46</f>
        <v>22.970603140246006</v>
      </c>
      <c r="F68" s="150">
        <f t="shared" si="6"/>
        <v>4.4642557516311676</v>
      </c>
    </row>
    <row r="69" spans="2:6" x14ac:dyDescent="0.3">
      <c r="B69" s="151"/>
      <c r="C69" s="151"/>
      <c r="D69" s="152"/>
      <c r="E69" s="152"/>
      <c r="F69" s="152"/>
    </row>
    <row r="70" spans="2:6" ht="14.4" customHeight="1" x14ac:dyDescent="0.3">
      <c r="B70" s="96"/>
      <c r="C70" s="52"/>
      <c r="D70" s="97"/>
      <c r="E70" s="97"/>
      <c r="F70" s="97"/>
    </row>
    <row r="71" spans="2:6" ht="15" thickBot="1" x14ac:dyDescent="0.35"/>
    <row r="72" spans="2:6" x14ac:dyDescent="0.3">
      <c r="B72" s="63" t="s">
        <v>76</v>
      </c>
      <c r="C72" s="64" t="s">
        <v>35</v>
      </c>
      <c r="D72" s="65" t="s">
        <v>33</v>
      </c>
      <c r="E72" s="65" t="s">
        <v>33</v>
      </c>
      <c r="F72" s="66" t="s">
        <v>33</v>
      </c>
    </row>
    <row r="73" spans="2:6" x14ac:dyDescent="0.3">
      <c r="B73" s="5" t="s">
        <v>58</v>
      </c>
      <c r="C73" s="111" t="s">
        <v>55</v>
      </c>
      <c r="D73" s="155">
        <v>44.889070696376152</v>
      </c>
      <c r="E73" s="155">
        <v>57.763257575757578</v>
      </c>
      <c r="F73" s="156">
        <v>7.9503171247357294</v>
      </c>
    </row>
    <row r="74" spans="2:6" x14ac:dyDescent="0.3">
      <c r="B74" s="45" t="s">
        <v>54</v>
      </c>
      <c r="C74" s="48" t="s">
        <v>55</v>
      </c>
      <c r="D74" s="26">
        <v>38.45727189158395</v>
      </c>
      <c r="E74" s="26">
        <v>48.081854435511573</v>
      </c>
      <c r="F74" s="27">
        <v>16.775261373104563</v>
      </c>
    </row>
    <row r="75" spans="2:6" ht="15" thickBot="1" x14ac:dyDescent="0.35">
      <c r="B75" s="11" t="s">
        <v>65</v>
      </c>
      <c r="C75" s="117" t="s">
        <v>55</v>
      </c>
      <c r="D75" s="22">
        <v>28.996471891583951</v>
      </c>
      <c r="E75" s="22">
        <v>38.621054435511574</v>
      </c>
      <c r="F75" s="23">
        <v>7.314461373104562</v>
      </c>
    </row>
    <row r="76" spans="2:6" ht="15" thickBot="1" x14ac:dyDescent="0.35"/>
    <row r="77" spans="2:6" ht="15" thickBot="1" x14ac:dyDescent="0.35">
      <c r="C77" s="127" t="s">
        <v>62</v>
      </c>
      <c r="D77" s="167"/>
      <c r="E77" s="167"/>
      <c r="F77" s="168"/>
    </row>
    <row r="78" spans="2:6" x14ac:dyDescent="0.3">
      <c r="B78" s="158"/>
      <c r="C78" s="160" t="s">
        <v>77</v>
      </c>
      <c r="D78" s="161" t="s">
        <v>16</v>
      </c>
      <c r="E78" s="161" t="s">
        <v>24</v>
      </c>
      <c r="F78" s="162" t="s">
        <v>30</v>
      </c>
    </row>
    <row r="79" spans="2:6" x14ac:dyDescent="0.3">
      <c r="B79" s="159"/>
      <c r="C79" s="163" t="s">
        <v>54</v>
      </c>
      <c r="D79" s="157">
        <v>0.14328206632514301</v>
      </c>
      <c r="E79" s="157">
        <v>0.16760486763664023</v>
      </c>
      <c r="F79" s="164">
        <v>-1.1100116020418715</v>
      </c>
    </row>
    <row r="80" spans="2:6" ht="15" thickBot="1" x14ac:dyDescent="0.35">
      <c r="B80" s="52"/>
      <c r="C80" s="6" t="s">
        <v>65</v>
      </c>
      <c r="D80" s="165">
        <v>0.35404160875344637</v>
      </c>
      <c r="E80" s="165">
        <v>0.331390644219479</v>
      </c>
      <c r="F80" s="166">
        <v>7.9978665209823732E-2</v>
      </c>
    </row>
    <row r="82" ht="14.4" customHeight="1" x14ac:dyDescent="0.3"/>
  </sheetData>
  <mergeCells count="20">
    <mergeCell ref="B67:C67"/>
    <mergeCell ref="B68:C68"/>
    <mergeCell ref="C77:F77"/>
    <mergeCell ref="N52:O52"/>
    <mergeCell ref="E56:F59"/>
    <mergeCell ref="B55:D55"/>
    <mergeCell ref="E55:F55"/>
    <mergeCell ref="H52:I52"/>
    <mergeCell ref="N7:O7"/>
    <mergeCell ref="B62:D62"/>
    <mergeCell ref="H53:I53"/>
    <mergeCell ref="N53:O53"/>
    <mergeCell ref="H44:I44"/>
    <mergeCell ref="N44:O44"/>
    <mergeCell ref="B52:F52"/>
    <mergeCell ref="B7:C7"/>
    <mergeCell ref="B43:C43"/>
    <mergeCell ref="H7:I7"/>
    <mergeCell ref="E62:F62"/>
    <mergeCell ref="E63:F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Gajardo</dc:creator>
  <cp:lastModifiedBy>Jessica Gajardo</cp:lastModifiedBy>
  <dcterms:created xsi:type="dcterms:W3CDTF">2022-02-23T14:53:01Z</dcterms:created>
  <dcterms:modified xsi:type="dcterms:W3CDTF">2022-03-04T16:36:57Z</dcterms:modified>
</cp:coreProperties>
</file>