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filterPrivacy="1" defaultThemeVersion="124226"/>
  <bookViews>
    <workbookView xWindow="240" yWindow="105" windowWidth="14805" windowHeight="8010"/>
  </bookViews>
  <sheets>
    <sheet name="Monthly Budget" sheetId="1" r:id="rId1"/>
    <sheet name="Factor Ledger" sheetId="8" r:id="rId2"/>
    <sheet name="Factor Aggregation" sheetId="9" r:id="rId3"/>
    <sheet name="Stock Budget" sheetId="3" r:id="rId4"/>
    <sheet name="Yearly Budget" sheetId="2" r:id="rId5"/>
    <sheet name="Savings Plan" sheetId="5" r:id="rId6"/>
    <sheet name="Events Plan" sheetId="6" r:id="rId7"/>
    <sheet name="Incentives Plan" sheetId="7" r:id="rId8"/>
  </sheets>
  <calcPr calcId="171027"/>
</workbook>
</file>

<file path=xl/calcChain.xml><?xml version="1.0" encoding="utf-8"?>
<calcChain xmlns="http://schemas.openxmlformats.org/spreadsheetml/2006/main">
  <c r="R18" i="1" l="1"/>
  <c r="G3" i="1"/>
  <c r="F3" i="1"/>
  <c r="F4" i="1"/>
  <c r="G4" i="1" s="1"/>
  <c r="F8" i="1"/>
  <c r="D69" i="1" l="1"/>
  <c r="C66" i="1"/>
  <c r="G31" i="1"/>
  <c r="J4" i="5" l="1"/>
  <c r="J5" i="5"/>
  <c r="J6" i="5"/>
  <c r="J7" i="5"/>
  <c r="J8" i="5"/>
  <c r="J9" i="5"/>
  <c r="J10" i="5"/>
  <c r="J11" i="5"/>
  <c r="I3" i="5"/>
  <c r="J3" i="5" s="1"/>
  <c r="I4" i="5"/>
  <c r="I5" i="5"/>
  <c r="I6" i="5"/>
  <c r="I7" i="5"/>
  <c r="I8" i="5"/>
  <c r="I9" i="5"/>
  <c r="I10" i="5"/>
  <c r="I11" i="5"/>
  <c r="I12" i="5"/>
  <c r="J12" i="5" s="1"/>
  <c r="I13" i="5"/>
  <c r="J13" i="5" s="1"/>
  <c r="I2" i="5"/>
  <c r="J2" i="5" s="1"/>
  <c r="G3" i="5"/>
  <c r="G4" i="5"/>
  <c r="G5" i="5"/>
  <c r="G6" i="5"/>
  <c r="H6" i="5" s="1"/>
  <c r="G7" i="5"/>
  <c r="G8" i="5"/>
  <c r="G9" i="5"/>
  <c r="G10" i="5"/>
  <c r="H10" i="5" s="1"/>
  <c r="G11" i="5"/>
  <c r="G12" i="5"/>
  <c r="G13" i="5"/>
  <c r="H13" i="5" s="1"/>
  <c r="H5" i="5"/>
  <c r="H9" i="5"/>
  <c r="F13" i="5"/>
  <c r="H12" i="5" l="1"/>
  <c r="H8" i="5"/>
  <c r="H4" i="5"/>
  <c r="H11" i="5"/>
  <c r="H7" i="5"/>
  <c r="H3" i="5"/>
  <c r="E14" i="5"/>
  <c r="G2" i="5"/>
  <c r="H2" i="5" s="1"/>
  <c r="C69" i="1" l="1"/>
  <c r="F2" i="5"/>
  <c r="F2" i="1"/>
  <c r="G21" i="1" l="1"/>
  <c r="D41" i="1" l="1"/>
  <c r="D43" i="1" s="1"/>
  <c r="E42" i="1"/>
  <c r="E48" i="1"/>
  <c r="E45" i="1"/>
  <c r="E44" i="1"/>
  <c r="E41" i="1"/>
  <c r="D42" i="1" l="1"/>
  <c r="G36" i="1"/>
  <c r="G37" i="1"/>
  <c r="G11" i="1" l="1"/>
  <c r="F5" i="1"/>
  <c r="G5" i="1" s="1"/>
  <c r="F6" i="1"/>
  <c r="G6" i="1" s="1"/>
  <c r="G7" i="1"/>
  <c r="F10" i="1"/>
  <c r="G2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2" i="1"/>
  <c r="G33" i="1"/>
  <c r="G34" i="1"/>
  <c r="G35" i="1"/>
  <c r="G38" i="1"/>
  <c r="G39" i="1"/>
  <c r="G40" i="1"/>
  <c r="F12" i="5"/>
  <c r="F48" i="1" l="1"/>
  <c r="F41" i="1"/>
  <c r="I48" i="1"/>
  <c r="F44" i="1" l="1"/>
  <c r="F43" i="1"/>
  <c r="F42" i="1"/>
  <c r="F45" i="1"/>
  <c r="D45" i="1"/>
  <c r="G41" i="1"/>
  <c r="D44" i="1"/>
  <c r="G42" i="1" l="1"/>
  <c r="G44" i="1"/>
  <c r="G43" i="1"/>
  <c r="G45" i="1"/>
  <c r="E69" i="1"/>
  <c r="D53" i="1" l="1"/>
  <c r="F9" i="5"/>
  <c r="F10" i="5"/>
  <c r="F8" i="5"/>
  <c r="G8" i="1" l="1"/>
  <c r="G9" i="1"/>
  <c r="G10" i="1"/>
  <c r="C26" i="3"/>
  <c r="D26" i="3"/>
  <c r="E53" i="1" l="1"/>
  <c r="G48" i="1"/>
  <c r="E60" i="1" s="1"/>
  <c r="D48" i="1"/>
  <c r="K5" i="2"/>
  <c r="L5" i="2"/>
  <c r="K4" i="2"/>
  <c r="L4" i="2" s="1"/>
  <c r="K6" i="2"/>
  <c r="L6" i="2" s="1"/>
  <c r="K3" i="2"/>
  <c r="L3" i="2" s="1"/>
  <c r="J2" i="2"/>
  <c r="K2" i="2" s="1"/>
  <c r="L2" i="2" s="1"/>
  <c r="E4" i="2"/>
  <c r="E6" i="2" s="1"/>
  <c r="E7" i="2" s="1"/>
  <c r="E8" i="2" s="1"/>
  <c r="E9" i="2" s="1"/>
  <c r="E10" i="2" s="1"/>
  <c r="E11" i="2" s="1"/>
  <c r="E12" i="2" s="1"/>
  <c r="E13" i="2" s="1"/>
  <c r="E2" i="2"/>
  <c r="E52" i="1" l="1"/>
  <c r="G49" i="1"/>
  <c r="E61" i="1" s="1"/>
  <c r="D52" i="1"/>
  <c r="F53" i="1"/>
  <c r="C53" i="1" s="1"/>
  <c r="F4" i="5"/>
  <c r="F5" i="5"/>
  <c r="F6" i="5"/>
  <c r="F11" i="5"/>
  <c r="F7" i="5"/>
  <c r="F3" i="5"/>
  <c r="E26" i="3"/>
  <c r="C52" i="1" l="1"/>
  <c r="B43" i="5"/>
  <c r="D36" i="5"/>
  <c r="D37" i="5"/>
  <c r="D38" i="5"/>
  <c r="D39" i="5"/>
  <c r="D40" i="5"/>
  <c r="D41" i="5"/>
  <c r="D42" i="5"/>
  <c r="D35" i="5"/>
  <c r="D22" i="5"/>
  <c r="D23" i="5"/>
  <c r="D24" i="5"/>
  <c r="D25" i="5"/>
  <c r="D26" i="5"/>
  <c r="D27" i="5"/>
  <c r="D28" i="5"/>
  <c r="D29" i="5"/>
  <c r="B30" i="5"/>
  <c r="D21" i="5"/>
  <c r="D43" i="5" l="1"/>
  <c r="C44" i="5" s="1"/>
  <c r="D30" i="5"/>
  <c r="C31" i="5" s="1"/>
  <c r="E27" i="3" l="1"/>
  <c r="E28" i="3" s="1"/>
</calcChain>
</file>

<file path=xl/sharedStrings.xml><?xml version="1.0" encoding="utf-8"?>
<sst xmlns="http://schemas.openxmlformats.org/spreadsheetml/2006/main" count="456" uniqueCount="199">
  <si>
    <t>Car Insurance</t>
  </si>
  <si>
    <t>Bob's Furniture</t>
  </si>
  <si>
    <t>Fed Tax</t>
  </si>
  <si>
    <t>Guardian</t>
  </si>
  <si>
    <t>Onelife</t>
  </si>
  <si>
    <t>Verizon</t>
  </si>
  <si>
    <t>SMECO</t>
  </si>
  <si>
    <t>AT&amp;T</t>
  </si>
  <si>
    <t>School Parking</t>
  </si>
  <si>
    <t>Work Parking</t>
  </si>
  <si>
    <t>Period</t>
  </si>
  <si>
    <t>Income</t>
  </si>
  <si>
    <t>Event</t>
  </si>
  <si>
    <t>John Check</t>
  </si>
  <si>
    <t>Tina Check</t>
  </si>
  <si>
    <t>Total</t>
  </si>
  <si>
    <t>Expense</t>
  </si>
  <si>
    <t>Notes</t>
  </si>
  <si>
    <t>Gas</t>
  </si>
  <si>
    <t>Food</t>
  </si>
  <si>
    <t>Spending</t>
  </si>
  <si>
    <t>Hygiene</t>
  </si>
  <si>
    <t>Clothes</t>
  </si>
  <si>
    <t>Regular</t>
  </si>
  <si>
    <t>Liability</t>
  </si>
  <si>
    <t>Item Name</t>
  </si>
  <si>
    <t>Checking</t>
  </si>
  <si>
    <t>Petty Cash</t>
  </si>
  <si>
    <t>Gift Cards</t>
  </si>
  <si>
    <t>Mortgage</t>
  </si>
  <si>
    <t>Bob's</t>
  </si>
  <si>
    <t>Federal</t>
  </si>
  <si>
    <t>Credit Cards</t>
  </si>
  <si>
    <t>Liquid Assets</t>
  </si>
  <si>
    <t>Illiquid Assets</t>
  </si>
  <si>
    <t>BTCjam, Expected Receivable</t>
  </si>
  <si>
    <t>Tina's Car</t>
  </si>
  <si>
    <t>John's Car</t>
  </si>
  <si>
    <t>Total Assets</t>
  </si>
  <si>
    <t>Item</t>
  </si>
  <si>
    <t>Risk</t>
  </si>
  <si>
    <t>DirectTV</t>
  </si>
  <si>
    <t>Week</t>
  </si>
  <si>
    <t>All, Split</t>
  </si>
  <si>
    <t>Week 3</t>
  </si>
  <si>
    <t>Week 2</t>
  </si>
  <si>
    <t>Week 4</t>
  </si>
  <si>
    <t>Week 1</t>
  </si>
  <si>
    <t>John Stafford Student Loans</t>
  </si>
  <si>
    <t>John Graduate Student Loans</t>
  </si>
  <si>
    <t>Balance</t>
  </si>
  <si>
    <t>Rate</t>
  </si>
  <si>
    <t>Subsidized</t>
  </si>
  <si>
    <t>Unsubsidized</t>
  </si>
  <si>
    <t>AVG APR:</t>
  </si>
  <si>
    <t>John Stafford</t>
  </si>
  <si>
    <t>Tina</t>
  </si>
  <si>
    <t>Original</t>
  </si>
  <si>
    <t>Current</t>
  </si>
  <si>
    <t>none</t>
  </si>
  <si>
    <t>Tot</t>
  </si>
  <si>
    <t>Date Night</t>
  </si>
  <si>
    <t>Steam Game</t>
  </si>
  <si>
    <t>Met Minimum Budget</t>
  </si>
  <si>
    <t>Met Standard Budget</t>
  </si>
  <si>
    <t>Met Stretch Budget</t>
  </si>
  <si>
    <t>Failed Minimum Budget</t>
  </si>
  <si>
    <t>Achivement</t>
  </si>
  <si>
    <t>Pedicure</t>
  </si>
  <si>
    <t>Home Decour</t>
  </si>
  <si>
    <t>Clothing Item</t>
  </si>
  <si>
    <t>Reward Account Change</t>
  </si>
  <si>
    <t>Example Incentives</t>
  </si>
  <si>
    <t>Approx Cost</t>
  </si>
  <si>
    <t>Vacation</t>
  </si>
  <si>
    <t>Spa Day</t>
  </si>
  <si>
    <t>Net Assets = Net Worth</t>
  </si>
  <si>
    <t>Actual Net Worth</t>
  </si>
  <si>
    <t>Expected Net Worth (1st of Month)</t>
  </si>
  <si>
    <t>Dry Cleaning</t>
  </si>
  <si>
    <t>Non-Loan School Debt</t>
  </si>
  <si>
    <t>Coinbase Exchange</t>
  </si>
  <si>
    <t>Goodyear</t>
  </si>
  <si>
    <t>Check About Refi and Home Value</t>
  </si>
  <si>
    <t>Maybe substitute netflix + 5 CBS All Access kind of things if it keeps going up</t>
  </si>
  <si>
    <t>Paid</t>
  </si>
  <si>
    <t>Holt International</t>
  </si>
  <si>
    <t>Week 5</t>
  </si>
  <si>
    <t>Regular, Valentine's</t>
  </si>
  <si>
    <t>Regular, New Year's</t>
  </si>
  <si>
    <t>Regular, John's Bday</t>
  </si>
  <si>
    <t>Regular, Christmas</t>
  </si>
  <si>
    <t>Regular, Tina's Birthday</t>
  </si>
  <si>
    <t>Regular, 5 Pay Weeks</t>
  </si>
  <si>
    <t>Regular, Spring Break / Anniversary, Taxes, 5 Pay Weeks</t>
  </si>
  <si>
    <t>Misc Differences (See Notes)</t>
  </si>
  <si>
    <t>Bitcoin, Other</t>
  </si>
  <si>
    <t>401(k) - Tina</t>
  </si>
  <si>
    <t>401(k) - John</t>
  </si>
  <si>
    <t>Other Investment</t>
  </si>
  <si>
    <t>Average Expected Net Monthly Income</t>
  </si>
  <si>
    <t>Expected Months to Wash</t>
  </si>
  <si>
    <t>Expected Years to Wash</t>
  </si>
  <si>
    <t>Goal years to wash = 7</t>
  </si>
  <si>
    <t>hypothetical</t>
  </si>
  <si>
    <t>Tithe</t>
  </si>
  <si>
    <t>Autopay</t>
  </si>
  <si>
    <t>Yes</t>
  </si>
  <si>
    <t>Total Liability</t>
  </si>
  <si>
    <t>No</t>
  </si>
  <si>
    <t>"georgetown valet"</t>
  </si>
  <si>
    <t>Bank Search Strings</t>
  </si>
  <si>
    <t>"friendly", "sunoco", "shell"</t>
  </si>
  <si>
    <t>Betterment</t>
  </si>
  <si>
    <t>CareCredit</t>
  </si>
  <si>
    <t>GoodYear</t>
  </si>
  <si>
    <t>Ireland Trip</t>
  </si>
  <si>
    <t>Budget</t>
  </si>
  <si>
    <t>Expected Date</t>
  </si>
  <si>
    <t>Get Tina's New Car</t>
  </si>
  <si>
    <t>Goal: Debt free in 7 Years!</t>
  </si>
  <si>
    <t>Each Week</t>
  </si>
  <si>
    <t>Washington Gas</t>
  </si>
  <si>
    <t>Home Value</t>
  </si>
  <si>
    <t>Tina's BOA</t>
  </si>
  <si>
    <t>John's BOA</t>
  </si>
  <si>
    <t>John BOA Credit</t>
  </si>
  <si>
    <t>Tina BOA Credit</t>
  </si>
  <si>
    <t>Net Remaining MTD</t>
  </si>
  <si>
    <t>Net Weekly</t>
  </si>
  <si>
    <t>Monthly Cash Flow</t>
  </si>
  <si>
    <t>Goals Spending</t>
  </si>
  <si>
    <t>Slipjack Utilities: Water and Sewer</t>
  </si>
  <si>
    <t>Regular, Slipjack</t>
  </si>
  <si>
    <t>HOA</t>
  </si>
  <si>
    <t>Austin Stone / JT Baer</t>
  </si>
  <si>
    <t>Blue Apron</t>
  </si>
  <si>
    <t>PURCHASE SEMESTER PASS</t>
  </si>
  <si>
    <t>TAX DEDUCTIBLE</t>
  </si>
  <si>
    <t>Totals</t>
  </si>
  <si>
    <t>Student Loans - John Total</t>
  </si>
  <si>
    <t>Student Loans - Tina Total</t>
  </si>
  <si>
    <t>UPDATE</t>
  </si>
  <si>
    <t>Total Days this month</t>
  </si>
  <si>
    <t>Days Elapsed this month</t>
  </si>
  <si>
    <t>Thanksgiving</t>
  </si>
  <si>
    <t>Sanity Checks</t>
  </si>
  <si>
    <t>MTD Remaining Cash Flow</t>
  </si>
  <si>
    <t>Factor</t>
  </si>
  <si>
    <t>Month</t>
  </si>
  <si>
    <t>Value</t>
  </si>
  <si>
    <t>CITGO-FRIENDLY</t>
  </si>
  <si>
    <t>Keyword</t>
  </si>
  <si>
    <t>Date</t>
  </si>
  <si>
    <t>SUNOCO</t>
  </si>
  <si>
    <t>SHELL</t>
  </si>
  <si>
    <t>Value validated 9/26</t>
  </si>
  <si>
    <t>Gateway Lending (Car Payment)</t>
  </si>
  <si>
    <t>No payment in Dec, 2400/mo starting Jan</t>
  </si>
  <si>
    <t>low</t>
  </si>
  <si>
    <t>Tina Mom Student Loans</t>
  </si>
  <si>
    <t>Investing is a different animal than paying off bills; don't directly compare this line to bills</t>
  </si>
  <si>
    <t>Savings</t>
  </si>
  <si>
    <t>^whats going on there idk</t>
  </si>
  <si>
    <t>Time to Parity</t>
  </si>
  <si>
    <t>Weighted Time to Parity</t>
  </si>
  <si>
    <t>Student Loan Microdata</t>
  </si>
  <si>
    <t>Weighted Time Debt</t>
  </si>
  <si>
    <t>Cash Flow-to-Debt</t>
  </si>
  <si>
    <t>Janky Debt</t>
  </si>
  <si>
    <t>Fictional</t>
  </si>
  <si>
    <t>Choose Lowest - Principle/Interest-Ignorant</t>
  </si>
  <si>
    <t>Janky Parity</t>
  </si>
  <si>
    <t>Account Value (Absolute Value)</t>
  </si>
  <si>
    <t>Cash Flow / Monthly Account Expenditure</t>
  </si>
  <si>
    <t>Use the monthly amount paid in to a preferred stock account, not the dividend income.</t>
  </si>
  <si>
    <t>Student Loans (Tina's Mom Account)</t>
  </si>
  <si>
    <t>Student Loans (Tina's Account)</t>
  </si>
  <si>
    <t>Tina Student Loans*</t>
  </si>
  <si>
    <t>*Written rate is the average, but loan is graduated; some subaccounts 3.4 - 6.8</t>
  </si>
  <si>
    <t>Current Checking</t>
  </si>
  <si>
    <t>MAKE AUTOPAY, WRONG WEEK, owe ~$300</t>
  </si>
  <si>
    <t>Cash Needed Until End of Month 1 Cell Below</t>
  </si>
  <si>
    <t>Checking Net Plans</t>
  </si>
  <si>
    <t>two cells to the left should both = 0</t>
  </si>
  <si>
    <t>Stock Loss</t>
  </si>
  <si>
    <t>Deduct this line item from Goals and Investments; Hopefully a negative number…it is AKA cash flow and represents the increase in your total wealth over the budgeted period</t>
  </si>
  <si>
    <t>Cash</t>
  </si>
  <si>
    <t>Before Budget</t>
  </si>
  <si>
    <t>Change</t>
  </si>
  <si>
    <t>After Budget</t>
  </si>
  <si>
    <t>maybe should be "cash on hand" eg to include actual cash in your wallet, etc</t>
  </si>
  <si>
    <t>Eg Savings account, money market…maybe create new line item for lines of credit</t>
  </si>
  <si>
    <t>Eg index fund and other securities</t>
  </si>
  <si>
    <t>Anniversary Cruise/Vacation</t>
  </si>
  <si>
    <t>3 Day Cove Haven Vacation</t>
  </si>
  <si>
    <t>Get the champaign tower</t>
  </si>
  <si>
    <t>Dining Out</t>
  </si>
  <si>
    <t>Spendable 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</si>
</sst>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/>
    <xf numFmtId="0" fontId="1" fillId="0" borderId="0" xfId="0" applyFont="1"/>
    <xf numFmtId="0" fontId="0" fillId="0" borderId="0" xfId="0" applyFont="1" applyBorder="1"/>
    <xf numFmtId="0" fontId="0" fillId="0" borderId="0" xfId="0" applyFont="1"/>
    <xf numFmtId="0" fontId="0" fillId="0" borderId="0" xfId="0" applyFont="1" applyFill="1" applyBorder="1"/>
    <xf numFmtId="14" fontId="0" fillId="0" borderId="0" xfId="0" applyNumberFormat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Fill="1" applyBorder="1"/>
    <xf numFmtId="16" fontId="0" fillId="0" borderId="0" xfId="0" applyNumberFormat="1" applyFont="1"/>
    <xf numFmtId="0" fontId="0" fillId="0" borderId="0" xfId="0" applyNumberFormat="1" applyFont="1" applyBorder="1"/>
    <xf numFmtId="0" fontId="0" fillId="0" borderId="0" xfId="0" applyNumberFormat="1"/>
    <xf numFmtId="16" fontId="0" fillId="0" borderId="0" xfId="0" applyNumberFormat="1"/>
    <xf numFmtId="8" fontId="0" fillId="0" borderId="0" xfId="0" applyNumberFormat="1"/>
    <xf numFmtId="10" fontId="0" fillId="0" borderId="0" xfId="0" applyNumberFormat="1"/>
    <xf numFmtId="0" fontId="0" fillId="0" borderId="4" xfId="0" applyBorder="1"/>
    <xf numFmtId="0" fontId="0" fillId="0" borderId="0" xfId="0" applyNumberFormat="1" applyFill="1" applyBorder="1"/>
    <xf numFmtId="0" fontId="1" fillId="0" borderId="4" xfId="0" applyNumberFormat="1" applyFont="1" applyBorder="1"/>
    <xf numFmtId="17" fontId="0" fillId="0" borderId="0" xfId="0" applyNumberFormat="1"/>
    <xf numFmtId="0" fontId="0" fillId="0" borderId="0" xfId="0" applyBorder="1"/>
    <xf numFmtId="0" fontId="1" fillId="0" borderId="5" xfId="0" applyFont="1" applyBorder="1"/>
    <xf numFmtId="0" fontId="1" fillId="0" borderId="0" xfId="0" applyNumberFormat="1" applyFont="1" applyBorder="1"/>
    <xf numFmtId="0" fontId="1" fillId="0" borderId="1" xfId="0" applyNumberFormat="1" applyFont="1" applyBorder="1"/>
    <xf numFmtId="0" fontId="0" fillId="0" borderId="0" xfId="0" applyNumberFormat="1" applyFont="1" applyFill="1" applyBorder="1"/>
    <xf numFmtId="0" fontId="0" fillId="0" borderId="4" xfId="0" applyFont="1" applyBorder="1"/>
    <xf numFmtId="0" fontId="0" fillId="0" borderId="0" xfId="0" applyFont="1" applyAlignment="1"/>
    <xf numFmtId="16" fontId="0" fillId="0" borderId="0" xfId="0" applyNumberFormat="1" applyFont="1" applyAlignment="1"/>
    <xf numFmtId="0" fontId="0" fillId="0" borderId="0" xfId="0" applyFont="1" applyBorder="1" applyAlignment="1"/>
    <xf numFmtId="0" fontId="0" fillId="0" borderId="0" xfId="0" applyFont="1" applyFill="1" applyBorder="1" applyAlignment="1"/>
    <xf numFmtId="2" fontId="0" fillId="0" borderId="0" xfId="0" applyNumberFormat="1"/>
    <xf numFmtId="0" fontId="1" fillId="0" borderId="0" xfId="0" applyFont="1" applyBorder="1"/>
    <xf numFmtId="0" fontId="0" fillId="0" borderId="3" xfId="0" applyBorder="1"/>
    <xf numFmtId="0" fontId="0" fillId="0" borderId="1" xfId="0" applyBorder="1"/>
    <xf numFmtId="0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tabSelected="1" zoomScaleNormal="100" workbookViewId="0">
      <selection activeCell="E11" sqref="E11"/>
    </sheetView>
  </sheetViews>
  <sheetFormatPr defaultRowHeight="15" x14ac:dyDescent="0.25"/>
  <cols>
    <col min="1" max="1" width="11.5703125" bestFit="1" customWidth="1"/>
    <col min="2" max="2" width="16.140625" customWidth="1"/>
    <col min="3" max="3" width="32.42578125" bestFit="1" customWidth="1"/>
    <col min="5" max="5" width="11.140625" bestFit="1" customWidth="1"/>
    <col min="7" max="7" width="19" bestFit="1" customWidth="1"/>
    <col min="9" max="9" width="12.85546875" bestFit="1" customWidth="1"/>
    <col min="10" max="10" width="18.7109375" customWidth="1"/>
  </cols>
  <sheetData>
    <row r="1" spans="1:22" s="1" customFormat="1" x14ac:dyDescent="0.25">
      <c r="A1" s="1" t="s">
        <v>10</v>
      </c>
      <c r="B1" s="1" t="s">
        <v>42</v>
      </c>
      <c r="C1" s="1" t="s">
        <v>148</v>
      </c>
      <c r="D1" s="1" t="s">
        <v>16</v>
      </c>
      <c r="E1" s="1" t="s">
        <v>11</v>
      </c>
      <c r="F1" s="1" t="s">
        <v>85</v>
      </c>
      <c r="G1" s="1" t="s">
        <v>128</v>
      </c>
      <c r="H1" s="1" t="s">
        <v>106</v>
      </c>
      <c r="I1" s="1" t="s">
        <v>108</v>
      </c>
      <c r="J1" s="1" t="s">
        <v>111</v>
      </c>
      <c r="K1" s="1" t="s">
        <v>17</v>
      </c>
    </row>
    <row r="2" spans="1:22" s="3" customFormat="1" x14ac:dyDescent="0.25">
      <c r="A2" s="11"/>
      <c r="B2" s="11" t="s">
        <v>43</v>
      </c>
      <c r="C2" s="3" t="s">
        <v>18</v>
      </c>
      <c r="D2" s="3">
        <v>-165</v>
      </c>
      <c r="F2" s="3">
        <f>($E$57/$E$56)*D2*-1</f>
        <v>21.29032258064516</v>
      </c>
      <c r="G2" s="3">
        <f t="shared" ref="G2:G34" si="0">SUM(D2:F2)</f>
        <v>-143.70967741935485</v>
      </c>
      <c r="H2" s="3" t="s">
        <v>109</v>
      </c>
      <c r="J2" s="3" t="s">
        <v>112</v>
      </c>
      <c r="K2" s="3" t="s">
        <v>156</v>
      </c>
    </row>
    <row r="3" spans="1:22" s="3" customFormat="1" x14ac:dyDescent="0.25">
      <c r="A3" s="11"/>
      <c r="B3" s="11" t="s">
        <v>43</v>
      </c>
      <c r="C3" s="3" t="s">
        <v>197</v>
      </c>
      <c r="D3" s="3">
        <v>-300</v>
      </c>
      <c r="F3" s="3">
        <f>($E$57/$E$56)*D3*-1</f>
        <v>38.70967741935484</v>
      </c>
      <c r="G3" s="3">
        <f t="shared" si="0"/>
        <v>-261.29032258064518</v>
      </c>
      <c r="H3" s="3" t="s">
        <v>109</v>
      </c>
    </row>
    <row r="4" spans="1:22" s="3" customFormat="1" x14ac:dyDescent="0.25">
      <c r="A4" s="11"/>
      <c r="B4" s="11" t="s">
        <v>43</v>
      </c>
      <c r="C4" s="3" t="s">
        <v>19</v>
      </c>
      <c r="D4" s="3">
        <v>-500</v>
      </c>
      <c r="F4" s="3">
        <f>($E$57/$E$56)*D4*-1</f>
        <v>64.516129032258064</v>
      </c>
      <c r="G4" s="3">
        <f t="shared" si="0"/>
        <v>-435.48387096774195</v>
      </c>
      <c r="H4" s="3" t="s">
        <v>109</v>
      </c>
    </row>
    <row r="5" spans="1:22" s="3" customFormat="1" x14ac:dyDescent="0.25">
      <c r="A5" s="11"/>
      <c r="B5" s="11" t="s">
        <v>43</v>
      </c>
      <c r="C5" s="3" t="s">
        <v>20</v>
      </c>
      <c r="D5" s="3">
        <v>-400</v>
      </c>
      <c r="F5" s="3">
        <f>($E$57/$E$56)*D5*-1</f>
        <v>51.612903225806448</v>
      </c>
      <c r="G5" s="3">
        <f t="shared" si="0"/>
        <v>-348.38709677419354</v>
      </c>
      <c r="H5" s="3" t="s">
        <v>109</v>
      </c>
    </row>
    <row r="6" spans="1:22" s="3" customFormat="1" x14ac:dyDescent="0.25">
      <c r="A6" s="11"/>
      <c r="B6" s="11" t="s">
        <v>43</v>
      </c>
      <c r="C6" s="5" t="s">
        <v>21</v>
      </c>
      <c r="D6" s="3">
        <v>-100</v>
      </c>
      <c r="F6" s="3">
        <f>($E$57/$E$56)*D6*-1</f>
        <v>12.903225806451612</v>
      </c>
      <c r="G6" s="3">
        <f t="shared" si="0"/>
        <v>-87.096774193548384</v>
      </c>
      <c r="H6" s="5" t="s">
        <v>109</v>
      </c>
    </row>
    <row r="7" spans="1:22" s="3" customFormat="1" x14ac:dyDescent="0.25">
      <c r="A7" s="11"/>
      <c r="B7" s="11" t="s">
        <v>43</v>
      </c>
      <c r="C7" s="5" t="s">
        <v>22</v>
      </c>
      <c r="D7" s="3">
        <v>-300</v>
      </c>
      <c r="F7" s="3">
        <v>70</v>
      </c>
      <c r="G7" s="3">
        <f t="shared" si="0"/>
        <v>-230</v>
      </c>
      <c r="H7" s="5" t="s">
        <v>109</v>
      </c>
    </row>
    <row r="8" spans="1:22" s="3" customFormat="1" x14ac:dyDescent="0.25">
      <c r="A8" s="12"/>
      <c r="B8" s="13" t="s">
        <v>43</v>
      </c>
      <c r="C8" t="s">
        <v>8</v>
      </c>
      <c r="D8">
        <v>-180</v>
      </c>
      <c r="E8"/>
      <c r="F8" s="3">
        <f>($E$57/$E$56)*D8*-1</f>
        <v>23.225806451612904</v>
      </c>
      <c r="G8" s="3">
        <f t="shared" si="0"/>
        <v>-156.7741935483871</v>
      </c>
      <c r="H8" t="s">
        <v>109</v>
      </c>
      <c r="I8"/>
      <c r="J8" s="26"/>
      <c r="K8" s="26" t="s">
        <v>137</v>
      </c>
      <c r="L8" s="26"/>
      <c r="M8" s="26"/>
      <c r="N8" s="26"/>
      <c r="O8" s="26"/>
      <c r="P8" s="26"/>
      <c r="Q8" s="26"/>
      <c r="R8" s="26"/>
      <c r="S8" s="26"/>
      <c r="T8" s="26"/>
      <c r="U8" s="26"/>
    </row>
    <row r="9" spans="1:22" s="3" customFormat="1" x14ac:dyDescent="0.25">
      <c r="A9" s="13"/>
      <c r="B9" s="13" t="s">
        <v>43</v>
      </c>
      <c r="C9" t="s">
        <v>136</v>
      </c>
      <c r="D9">
        <v>-240</v>
      </c>
      <c r="E9"/>
      <c r="F9" s="3">
        <v>0</v>
      </c>
      <c r="G9" s="5">
        <f t="shared" si="0"/>
        <v>-240</v>
      </c>
      <c r="H9" t="s">
        <v>107</v>
      </c>
      <c r="I9"/>
      <c r="J9"/>
      <c r="K9"/>
      <c r="L9"/>
      <c r="M9"/>
      <c r="N9"/>
      <c r="O9"/>
      <c r="P9"/>
      <c r="Q9"/>
      <c r="R9"/>
      <c r="S9"/>
      <c r="T9"/>
      <c r="U9"/>
    </row>
    <row r="10" spans="1:22" s="4" customFormat="1" x14ac:dyDescent="0.25">
      <c r="A10" s="13"/>
      <c r="B10" s="13" t="s">
        <v>43</v>
      </c>
      <c r="C10" t="s">
        <v>79</v>
      </c>
      <c r="D10">
        <v>-85</v>
      </c>
      <c r="E10"/>
      <c r="F10" s="3">
        <f>($E$57/$E$56)*D10*-1</f>
        <v>10.96774193548387</v>
      </c>
      <c r="G10" s="3">
        <f t="shared" si="0"/>
        <v>-74.032258064516128</v>
      </c>
      <c r="H10" t="s">
        <v>109</v>
      </c>
      <c r="I10"/>
      <c r="J10" t="s">
        <v>110</v>
      </c>
      <c r="K10"/>
      <c r="L10"/>
      <c r="M10"/>
      <c r="N10"/>
      <c r="O10"/>
      <c r="P10"/>
      <c r="Q10"/>
      <c r="R10"/>
      <c r="S10"/>
      <c r="T10"/>
      <c r="U10"/>
      <c r="V10" s="26"/>
    </row>
    <row r="11" spans="1:22" s="4" customFormat="1" x14ac:dyDescent="0.25">
      <c r="A11" s="13"/>
      <c r="B11" s="13" t="s">
        <v>43</v>
      </c>
      <c r="C11" t="s">
        <v>105</v>
      </c>
      <c r="D11">
        <v>-100</v>
      </c>
      <c r="E11"/>
      <c r="F11" s="3">
        <v>0</v>
      </c>
      <c r="G11" s="3">
        <f t="shared" si="0"/>
        <v>-100</v>
      </c>
      <c r="H11" t="s">
        <v>107</v>
      </c>
      <c r="I11"/>
      <c r="J11"/>
      <c r="K11"/>
      <c r="L11"/>
      <c r="M11"/>
      <c r="N11"/>
      <c r="O11"/>
      <c r="P11"/>
      <c r="Q11"/>
      <c r="R11"/>
      <c r="S11"/>
      <c r="T11"/>
      <c r="U11"/>
      <c r="V11" s="26"/>
    </row>
    <row r="12" spans="1:22" s="4" customFormat="1" x14ac:dyDescent="0.25">
      <c r="A12" s="13">
        <v>1</v>
      </c>
      <c r="B12" s="13" t="s">
        <v>47</v>
      </c>
      <c r="C12" t="s">
        <v>29</v>
      </c>
      <c r="D12">
        <v>-2400</v>
      </c>
      <c r="E12"/>
      <c r="F12" s="4">
        <v>0</v>
      </c>
      <c r="G12" s="3">
        <f t="shared" si="0"/>
        <v>-2400</v>
      </c>
      <c r="H12" s="4" t="s">
        <v>109</v>
      </c>
      <c r="I12">
        <v>365000</v>
      </c>
      <c r="J12" s="26"/>
      <c r="K12" s="26" t="s">
        <v>158</v>
      </c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</row>
    <row r="13" spans="1:22" s="4" customFormat="1" x14ac:dyDescent="0.25">
      <c r="A13" s="13">
        <v>5</v>
      </c>
      <c r="B13" s="13" t="s">
        <v>47</v>
      </c>
      <c r="C13" t="s">
        <v>4</v>
      </c>
      <c r="D13">
        <v>-80</v>
      </c>
      <c r="E13"/>
      <c r="F13" s="4">
        <v>80</v>
      </c>
      <c r="G13" s="3">
        <f t="shared" si="0"/>
        <v>0</v>
      </c>
      <c r="H13" t="s">
        <v>107</v>
      </c>
      <c r="I13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</row>
    <row r="14" spans="1:22" x14ac:dyDescent="0.25">
      <c r="A14" s="13">
        <v>1</v>
      </c>
      <c r="B14" s="13" t="s">
        <v>47</v>
      </c>
      <c r="C14" t="s">
        <v>9</v>
      </c>
      <c r="D14">
        <v>-135</v>
      </c>
      <c r="F14" s="5">
        <v>0</v>
      </c>
      <c r="G14" s="3">
        <f t="shared" si="0"/>
        <v>-135</v>
      </c>
      <c r="H14" t="s">
        <v>109</v>
      </c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</row>
    <row r="15" spans="1:22" x14ac:dyDescent="0.25">
      <c r="A15" s="11"/>
      <c r="B15" s="24" t="s">
        <v>45</v>
      </c>
      <c r="C15" s="5" t="s">
        <v>122</v>
      </c>
      <c r="D15" s="5">
        <v>-25</v>
      </c>
      <c r="E15" s="3"/>
      <c r="F15" s="5">
        <v>0</v>
      </c>
      <c r="G15" s="3">
        <f t="shared" si="0"/>
        <v>-25</v>
      </c>
      <c r="H15" s="5" t="s">
        <v>109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26"/>
    </row>
    <row r="16" spans="1:22" x14ac:dyDescent="0.25">
      <c r="A16" s="10">
        <v>10</v>
      </c>
      <c r="B16" s="10" t="s">
        <v>45</v>
      </c>
      <c r="C16" s="4" t="s">
        <v>1</v>
      </c>
      <c r="D16" s="4">
        <v>-65</v>
      </c>
      <c r="E16" s="4"/>
      <c r="F16" s="5">
        <v>0</v>
      </c>
      <c r="G16" s="3">
        <f t="shared" si="0"/>
        <v>-65</v>
      </c>
      <c r="H16" s="5" t="s">
        <v>109</v>
      </c>
      <c r="I16" s="4">
        <v>1800</v>
      </c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</row>
    <row r="17" spans="1:22" x14ac:dyDescent="0.25">
      <c r="A17" s="10">
        <v>13</v>
      </c>
      <c r="B17" s="10" t="s">
        <v>45</v>
      </c>
      <c r="C17" s="4" t="s">
        <v>0</v>
      </c>
      <c r="D17" s="4">
        <v>-180</v>
      </c>
      <c r="E17" s="4"/>
      <c r="F17" s="5">
        <v>0</v>
      </c>
      <c r="G17" s="3">
        <f t="shared" si="0"/>
        <v>-180</v>
      </c>
      <c r="H17" s="4" t="s">
        <v>107</v>
      </c>
      <c r="I17" s="4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</row>
    <row r="18" spans="1:22" x14ac:dyDescent="0.25">
      <c r="A18" s="10">
        <v>9</v>
      </c>
      <c r="B18" s="10" t="s">
        <v>45</v>
      </c>
      <c r="C18" s="4" t="s">
        <v>127</v>
      </c>
      <c r="D18" s="4">
        <v>-70</v>
      </c>
      <c r="E18" s="4"/>
      <c r="F18" s="5">
        <v>0</v>
      </c>
      <c r="G18" s="3">
        <f t="shared" si="0"/>
        <v>-70</v>
      </c>
      <c r="H18" s="4" t="s">
        <v>109</v>
      </c>
      <c r="I18" s="4">
        <v>3400</v>
      </c>
      <c r="J18" s="26"/>
      <c r="K18" s="26"/>
      <c r="L18" s="26"/>
      <c r="M18" s="26"/>
      <c r="N18" s="26"/>
      <c r="O18" s="26"/>
      <c r="P18" s="26"/>
      <c r="Q18" s="26"/>
      <c r="R18" s="26">
        <f>SUM(D14,D15,D16,D17,D18,D19,D20,D21,D23,D26)</f>
        <v>-1077</v>
      </c>
      <c r="S18" s="26"/>
      <c r="T18" s="26"/>
      <c r="U18" s="26"/>
      <c r="V18" s="26"/>
    </row>
    <row r="19" spans="1:22" x14ac:dyDescent="0.25">
      <c r="A19" s="13">
        <v>13</v>
      </c>
      <c r="B19" s="13" t="s">
        <v>45</v>
      </c>
      <c r="C19" t="s">
        <v>6</v>
      </c>
      <c r="D19">
        <v>-120</v>
      </c>
      <c r="F19" s="5">
        <v>0</v>
      </c>
      <c r="G19" s="3">
        <f t="shared" si="0"/>
        <v>-120</v>
      </c>
      <c r="H19" t="s">
        <v>109</v>
      </c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</row>
    <row r="20" spans="1:22" x14ac:dyDescent="0.25">
      <c r="A20" s="13">
        <v>13</v>
      </c>
      <c r="B20" s="12" t="s">
        <v>45</v>
      </c>
      <c r="C20" t="s">
        <v>132</v>
      </c>
      <c r="D20">
        <v>-60</v>
      </c>
      <c r="F20" s="5">
        <v>0</v>
      </c>
      <c r="G20" s="3">
        <f t="shared" si="0"/>
        <v>-60</v>
      </c>
      <c r="H20" t="s">
        <v>109</v>
      </c>
      <c r="V20" s="26"/>
    </row>
    <row r="21" spans="1:22" x14ac:dyDescent="0.25">
      <c r="A21" s="13">
        <v>42385</v>
      </c>
      <c r="B21" s="13" t="s">
        <v>45</v>
      </c>
      <c r="C21" t="s">
        <v>157</v>
      </c>
      <c r="D21">
        <v>-192</v>
      </c>
      <c r="F21" s="5">
        <v>0</v>
      </c>
      <c r="G21" s="5">
        <f t="shared" si="0"/>
        <v>-192</v>
      </c>
      <c r="V21" s="26"/>
    </row>
    <row r="22" spans="1:22" x14ac:dyDescent="0.25">
      <c r="A22" s="13">
        <v>42389</v>
      </c>
      <c r="B22" s="13" t="s">
        <v>44</v>
      </c>
      <c r="C22" t="s">
        <v>86</v>
      </c>
      <c r="D22">
        <v>-30</v>
      </c>
      <c r="F22" s="5">
        <v>0</v>
      </c>
      <c r="G22" s="3">
        <f t="shared" si="0"/>
        <v>-30</v>
      </c>
      <c r="H22" t="s">
        <v>107</v>
      </c>
      <c r="V22" s="26"/>
    </row>
    <row r="23" spans="1:22" x14ac:dyDescent="0.25">
      <c r="A23" s="13">
        <v>10</v>
      </c>
      <c r="B23" s="13" t="s">
        <v>45</v>
      </c>
      <c r="C23" t="s">
        <v>82</v>
      </c>
      <c r="D23">
        <v>-30</v>
      </c>
      <c r="F23" s="5">
        <v>0</v>
      </c>
      <c r="G23" s="3">
        <f t="shared" si="0"/>
        <v>-30</v>
      </c>
      <c r="H23" t="s">
        <v>109</v>
      </c>
      <c r="I23">
        <v>1720</v>
      </c>
      <c r="K23" s="26"/>
    </row>
    <row r="24" spans="1:22" x14ac:dyDescent="0.25">
      <c r="A24" s="27">
        <v>20</v>
      </c>
      <c r="B24" s="27" t="s">
        <v>44</v>
      </c>
      <c r="C24" s="26" t="s">
        <v>7</v>
      </c>
      <c r="D24" s="26">
        <v>-200</v>
      </c>
      <c r="E24" s="26"/>
      <c r="F24" s="29">
        <v>0</v>
      </c>
      <c r="G24" s="28">
        <f t="shared" si="0"/>
        <v>-200</v>
      </c>
      <c r="H24" s="29" t="s">
        <v>109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2" x14ac:dyDescent="0.25">
      <c r="A25" s="10">
        <v>23</v>
      </c>
      <c r="B25" s="10" t="s">
        <v>44</v>
      </c>
      <c r="C25" s="4" t="s">
        <v>126</v>
      </c>
      <c r="D25" s="4">
        <v>-25</v>
      </c>
      <c r="E25" s="4"/>
      <c r="F25" s="29">
        <v>25</v>
      </c>
      <c r="G25" s="3">
        <f t="shared" si="0"/>
        <v>0</v>
      </c>
      <c r="H25" s="4" t="s">
        <v>109</v>
      </c>
      <c r="I25" s="4">
        <v>1450</v>
      </c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</row>
    <row r="26" spans="1:22" x14ac:dyDescent="0.25">
      <c r="A26" s="13">
        <v>15</v>
      </c>
      <c r="B26" s="13" t="s">
        <v>44</v>
      </c>
      <c r="C26" t="s">
        <v>2</v>
      </c>
      <c r="D26">
        <v>-200</v>
      </c>
      <c r="F26" s="29">
        <v>0</v>
      </c>
      <c r="G26" s="3">
        <f t="shared" si="0"/>
        <v>-200</v>
      </c>
      <c r="H26" s="4" t="s">
        <v>107</v>
      </c>
      <c r="I26" s="4">
        <v>1500</v>
      </c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</row>
    <row r="27" spans="1:22" x14ac:dyDescent="0.25">
      <c r="A27" s="13">
        <v>42390</v>
      </c>
      <c r="B27" s="13" t="s">
        <v>44</v>
      </c>
      <c r="C27" t="s">
        <v>135</v>
      </c>
      <c r="D27">
        <v>-75</v>
      </c>
      <c r="F27" s="29">
        <v>0</v>
      </c>
      <c r="G27" s="5">
        <f t="shared" si="0"/>
        <v>-75</v>
      </c>
      <c r="H27" t="s">
        <v>107</v>
      </c>
      <c r="K27" t="s">
        <v>138</v>
      </c>
    </row>
    <row r="28" spans="1:22" x14ac:dyDescent="0.25">
      <c r="A28" s="13">
        <v>42390</v>
      </c>
      <c r="B28" s="13" t="s">
        <v>44</v>
      </c>
      <c r="C28" t="s">
        <v>113</v>
      </c>
      <c r="D28">
        <v>-150</v>
      </c>
      <c r="F28" s="29">
        <v>0</v>
      </c>
      <c r="G28" s="5">
        <f t="shared" si="0"/>
        <v>-150</v>
      </c>
      <c r="H28" t="s">
        <v>107</v>
      </c>
      <c r="I28">
        <v>-1285</v>
      </c>
    </row>
    <row r="29" spans="1:22" x14ac:dyDescent="0.25">
      <c r="A29" s="13">
        <v>31</v>
      </c>
      <c r="B29" s="13" t="s">
        <v>46</v>
      </c>
      <c r="C29" t="s">
        <v>3</v>
      </c>
      <c r="D29">
        <v>-40</v>
      </c>
      <c r="F29" s="29">
        <v>0</v>
      </c>
      <c r="G29" s="3">
        <f t="shared" si="0"/>
        <v>-40</v>
      </c>
      <c r="H29" s="4" t="s">
        <v>107</v>
      </c>
      <c r="I29" s="4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</row>
    <row r="30" spans="1:22" x14ac:dyDescent="0.25">
      <c r="A30" s="13">
        <v>42393</v>
      </c>
      <c r="B30" s="13" t="s">
        <v>46</v>
      </c>
      <c r="C30" t="s">
        <v>176</v>
      </c>
      <c r="D30">
        <v>-260</v>
      </c>
      <c r="F30" s="3">
        <v>0</v>
      </c>
      <c r="G30" s="3">
        <f t="shared" si="0"/>
        <v>-260</v>
      </c>
      <c r="H30" t="s">
        <v>109</v>
      </c>
      <c r="I30">
        <v>10890</v>
      </c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</row>
    <row r="31" spans="1:22" x14ac:dyDescent="0.25">
      <c r="A31" s="13">
        <v>42760</v>
      </c>
      <c r="B31" s="13" t="s">
        <v>46</v>
      </c>
      <c r="C31" t="s">
        <v>177</v>
      </c>
      <c r="D31">
        <v>-200</v>
      </c>
      <c r="F31" s="5">
        <v>0</v>
      </c>
      <c r="G31" s="5">
        <f t="shared" si="0"/>
        <v>-200</v>
      </c>
      <c r="H31" t="s">
        <v>109</v>
      </c>
      <c r="I31">
        <v>22500</v>
      </c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</row>
    <row r="32" spans="1:22" x14ac:dyDescent="0.25">
      <c r="A32" s="13">
        <v>28</v>
      </c>
      <c r="B32" s="13" t="s">
        <v>46</v>
      </c>
      <c r="C32" t="s">
        <v>5</v>
      </c>
      <c r="D32">
        <v>-75</v>
      </c>
      <c r="F32" s="5">
        <v>0</v>
      </c>
      <c r="G32" s="3">
        <f t="shared" si="0"/>
        <v>-75</v>
      </c>
      <c r="H32" t="s">
        <v>109</v>
      </c>
    </row>
    <row r="33" spans="1:11" x14ac:dyDescent="0.25">
      <c r="A33" s="13">
        <v>31</v>
      </c>
      <c r="B33" s="13" t="s">
        <v>46</v>
      </c>
      <c r="C33" t="s">
        <v>41</v>
      </c>
      <c r="D33">
        <v>-70</v>
      </c>
      <c r="F33" s="5">
        <v>0</v>
      </c>
      <c r="G33" s="3">
        <f t="shared" si="0"/>
        <v>-70</v>
      </c>
      <c r="H33" t="s">
        <v>107</v>
      </c>
      <c r="K33" t="s">
        <v>84</v>
      </c>
    </row>
    <row r="34" spans="1:11" x14ac:dyDescent="0.25">
      <c r="A34" s="13"/>
      <c r="B34" s="11" t="s">
        <v>43</v>
      </c>
      <c r="C34" t="s">
        <v>134</v>
      </c>
      <c r="D34">
        <v>-75</v>
      </c>
      <c r="F34" s="5">
        <v>0</v>
      </c>
      <c r="G34" s="5">
        <f t="shared" si="0"/>
        <v>-75</v>
      </c>
      <c r="H34" t="s">
        <v>109</v>
      </c>
      <c r="K34" t="s">
        <v>181</v>
      </c>
    </row>
    <row r="35" spans="1:11" x14ac:dyDescent="0.25">
      <c r="A35" s="13"/>
      <c r="B35" s="13" t="s">
        <v>47</v>
      </c>
      <c r="C35" t="s">
        <v>13</v>
      </c>
      <c r="E35">
        <v>2160</v>
      </c>
      <c r="F35">
        <v>-2160</v>
      </c>
      <c r="G35" s="3">
        <f t="shared" ref="G35:G40" si="1">SUM(D35:F35)</f>
        <v>0</v>
      </c>
    </row>
    <row r="36" spans="1:11" x14ac:dyDescent="0.25">
      <c r="A36" s="12"/>
      <c r="B36" s="13" t="s">
        <v>47</v>
      </c>
      <c r="C36" t="s">
        <v>14</v>
      </c>
      <c r="E36">
        <v>1700</v>
      </c>
      <c r="F36">
        <v>-1700</v>
      </c>
      <c r="G36" s="3">
        <f t="shared" si="1"/>
        <v>0</v>
      </c>
    </row>
    <row r="37" spans="1:11" x14ac:dyDescent="0.25">
      <c r="A37" s="12"/>
      <c r="B37" s="12" t="s">
        <v>44</v>
      </c>
      <c r="C37" t="s">
        <v>13</v>
      </c>
      <c r="E37">
        <v>2160</v>
      </c>
      <c r="F37">
        <v>0</v>
      </c>
      <c r="G37" s="3">
        <f t="shared" si="1"/>
        <v>2160</v>
      </c>
    </row>
    <row r="38" spans="1:11" x14ac:dyDescent="0.25">
      <c r="A38" s="12"/>
      <c r="B38" s="12" t="s">
        <v>44</v>
      </c>
      <c r="C38" t="s">
        <v>14</v>
      </c>
      <c r="E38">
        <v>1700</v>
      </c>
      <c r="F38">
        <v>0</v>
      </c>
      <c r="G38" s="3">
        <f t="shared" si="1"/>
        <v>1700</v>
      </c>
    </row>
    <row r="39" spans="1:11" x14ac:dyDescent="0.25">
      <c r="A39" s="12"/>
      <c r="B39" s="12" t="s">
        <v>87</v>
      </c>
      <c r="C39" t="s">
        <v>13</v>
      </c>
      <c r="E39">
        <v>2160</v>
      </c>
      <c r="F39">
        <v>0</v>
      </c>
      <c r="G39" s="3">
        <f t="shared" si="1"/>
        <v>2160</v>
      </c>
    </row>
    <row r="40" spans="1:11" x14ac:dyDescent="0.25">
      <c r="A40" s="12"/>
      <c r="B40" s="12" t="s">
        <v>87</v>
      </c>
      <c r="C40" t="s">
        <v>14</v>
      </c>
      <c r="E40">
        <v>1700</v>
      </c>
      <c r="F40">
        <v>0</v>
      </c>
      <c r="G40" s="3">
        <f t="shared" si="1"/>
        <v>1700</v>
      </c>
    </row>
    <row r="41" spans="1:11" s="16" customFormat="1" x14ac:dyDescent="0.25">
      <c r="A41" s="18" t="s">
        <v>129</v>
      </c>
      <c r="B41" s="16" t="s">
        <v>121</v>
      </c>
      <c r="D41" s="16" t="e">
        <f>SUM(D2:D11)/4+#REF!/4+D34/4</f>
        <v>#REF!</v>
      </c>
      <c r="E41" s="16" t="e">
        <f>SUM(E2:E11)/4+#REF!/4+E34/4</f>
        <v>#REF!</v>
      </c>
      <c r="F41" s="16" t="e">
        <f>SUM(F2:F11)/4+#REF!/4+F34/4</f>
        <v>#REF!</v>
      </c>
      <c r="G41" s="16" t="e">
        <f>D41+E41+F41</f>
        <v>#REF!</v>
      </c>
    </row>
    <row r="42" spans="1:11" s="20" customFormat="1" x14ac:dyDescent="0.25">
      <c r="A42" s="22"/>
      <c r="B42" s="17" t="s">
        <v>47</v>
      </c>
      <c r="D42" s="16" t="e">
        <f>SUM(D12:D14)+D41</f>
        <v>#REF!</v>
      </c>
      <c r="E42" s="16">
        <f>E35+E36</f>
        <v>3860</v>
      </c>
      <c r="F42" s="16" t="e">
        <f>SUM(F12:F14)+F41+F35+F36</f>
        <v>#REF!</v>
      </c>
      <c r="G42" s="16" t="e">
        <f>D42+E42+F42</f>
        <v>#REF!</v>
      </c>
      <c r="J42"/>
      <c r="K42"/>
    </row>
    <row r="43" spans="1:11" x14ac:dyDescent="0.25">
      <c r="A43" s="22"/>
      <c r="B43" s="17" t="s">
        <v>45</v>
      </c>
      <c r="D43" s="16" t="e">
        <f>SUM(D15:D23)+D41</f>
        <v>#REF!</v>
      </c>
      <c r="E43" s="32">
        <v>0</v>
      </c>
      <c r="F43" s="16" t="e">
        <f>SUM(F15:F23)+F41</f>
        <v>#REF!</v>
      </c>
      <c r="G43" s="16" t="e">
        <f t="shared" ref="G43:G45" si="2">D43+E43+F43</f>
        <v>#REF!</v>
      </c>
    </row>
    <row r="44" spans="1:11" x14ac:dyDescent="0.25">
      <c r="A44" s="22"/>
      <c r="B44" s="17" t="s">
        <v>44</v>
      </c>
      <c r="D44" s="16" t="e">
        <f>SUM(D24:D28)+D41</f>
        <v>#REF!</v>
      </c>
      <c r="E44" s="32">
        <f>E37+E38</f>
        <v>3860</v>
      </c>
      <c r="F44" s="25" t="e">
        <f>SUM(F24:F28)+F41+F37+F38</f>
        <v>#REF!</v>
      </c>
      <c r="G44" s="16" t="e">
        <f t="shared" si="2"/>
        <v>#REF!</v>
      </c>
    </row>
    <row r="45" spans="1:11" x14ac:dyDescent="0.25">
      <c r="A45" s="23"/>
      <c r="B45" s="34" t="s">
        <v>46</v>
      </c>
      <c r="C45" s="33"/>
      <c r="D45" s="32" t="e">
        <f>SUM(D29:D33)+D41</f>
        <v>#REF!</v>
      </c>
      <c r="E45" s="33">
        <f>E39+E40</f>
        <v>3860</v>
      </c>
      <c r="F45" s="32" t="e">
        <f>SUM(F29:F33)+F41+F39+F40</f>
        <v>#REF!</v>
      </c>
      <c r="G45" s="32" t="e">
        <f t="shared" si="2"/>
        <v>#REF!</v>
      </c>
    </row>
    <row r="46" spans="1:11" x14ac:dyDescent="0.25">
      <c r="A46" s="22"/>
      <c r="B46" s="17"/>
      <c r="C46" s="20"/>
      <c r="D46" s="20"/>
      <c r="E46" s="20"/>
      <c r="F46" s="20"/>
      <c r="G46" s="20"/>
    </row>
    <row r="47" spans="1:11" x14ac:dyDescent="0.25">
      <c r="A47" s="23"/>
      <c r="B47" s="17"/>
      <c r="D47" s="20"/>
      <c r="F47" s="20"/>
      <c r="G47" s="31" t="s">
        <v>182</v>
      </c>
    </row>
    <row r="48" spans="1:11" s="8" customFormat="1" x14ac:dyDescent="0.25">
      <c r="A48" s="21"/>
      <c r="B48" s="8" t="s">
        <v>139</v>
      </c>
      <c r="D48" s="8">
        <f>SUM(D2:D40)</f>
        <v>-7127</v>
      </c>
      <c r="E48" s="8">
        <f>SUM(E2:E40)</f>
        <v>11580</v>
      </c>
      <c r="F48" s="8">
        <f>SUM(F2:F40)</f>
        <v>-3461.7741935483873</v>
      </c>
      <c r="G48" s="8">
        <f>SUM(G2:G40)</f>
        <v>991.2258064516127</v>
      </c>
      <c r="I48" s="8">
        <f>SUM(I2:I40)</f>
        <v>406975</v>
      </c>
    </row>
    <row r="49" spans="1:7" s="2" customFormat="1" x14ac:dyDescent="0.25">
      <c r="B49" s="9" t="s">
        <v>130</v>
      </c>
      <c r="G49" s="2">
        <f>G48-F48</f>
        <v>4453</v>
      </c>
    </row>
    <row r="50" spans="1:7" s="2" customFormat="1" x14ac:dyDescent="0.25">
      <c r="B50" s="9"/>
    </row>
    <row r="51" spans="1:7" s="2" customFormat="1" x14ac:dyDescent="0.25">
      <c r="A51" s="9" t="s">
        <v>146</v>
      </c>
    </row>
    <row r="52" spans="1:7" s="2" customFormat="1" x14ac:dyDescent="0.25">
      <c r="A52" s="2" t="s">
        <v>130</v>
      </c>
      <c r="C52" s="2" t="str">
        <f>IF(D52=E52,"PASS","FAIL")</f>
        <v>PASS</v>
      </c>
      <c r="D52" s="2">
        <f>D48+E48</f>
        <v>4453</v>
      </c>
      <c r="E52" s="2">
        <f>G48-F48</f>
        <v>4453</v>
      </c>
    </row>
    <row r="53" spans="1:7" s="2" customFormat="1" x14ac:dyDescent="0.25">
      <c r="A53" s="9" t="s">
        <v>147</v>
      </c>
      <c r="C53" s="2" t="e">
        <f>IF(AND(D53=E53,E53=F53),"PASS","FAIL")</f>
        <v>#REF!</v>
      </c>
      <c r="D53" s="2" t="e">
        <f>SUM(G42:G45)</f>
        <v>#REF!</v>
      </c>
      <c r="E53" s="2">
        <f>SUM(G2:G40)</f>
        <v>991.2258064516127</v>
      </c>
      <c r="F53" s="2">
        <f>SUM(D48:F48)</f>
        <v>991.2258064516127</v>
      </c>
    </row>
    <row r="54" spans="1:7" s="2" customFormat="1" x14ac:dyDescent="0.25">
      <c r="B54" s="9"/>
      <c r="D54" s="2" t="s">
        <v>163</v>
      </c>
    </row>
    <row r="55" spans="1:7" s="2" customFormat="1" x14ac:dyDescent="0.25">
      <c r="B55" s="9"/>
    </row>
    <row r="56" spans="1:7" x14ac:dyDescent="0.25">
      <c r="B56" t="s">
        <v>143</v>
      </c>
      <c r="E56">
        <v>31</v>
      </c>
    </row>
    <row r="57" spans="1:7" x14ac:dyDescent="0.25">
      <c r="B57" t="s">
        <v>144</v>
      </c>
      <c r="E57">
        <v>4</v>
      </c>
    </row>
    <row r="58" spans="1:7" x14ac:dyDescent="0.25">
      <c r="B58" t="s">
        <v>180</v>
      </c>
      <c r="E58">
        <v>3486</v>
      </c>
      <c r="G58" t="s">
        <v>191</v>
      </c>
    </row>
    <row r="59" spans="1:7" x14ac:dyDescent="0.25">
      <c r="B59" t="s">
        <v>185</v>
      </c>
      <c r="E59">
        <v>882.3</v>
      </c>
      <c r="G59" t="s">
        <v>186</v>
      </c>
    </row>
    <row r="60" spans="1:7" x14ac:dyDescent="0.25">
      <c r="B60" t="s">
        <v>198</v>
      </c>
      <c r="E60">
        <f>E58+E59+G48</f>
        <v>5359.5258064516129</v>
      </c>
      <c r="F60">
        <v>0</v>
      </c>
      <c r="G60" t="s">
        <v>184</v>
      </c>
    </row>
    <row r="61" spans="1:7" x14ac:dyDescent="0.25">
      <c r="B61" t="s">
        <v>183</v>
      </c>
      <c r="E61" t="e">
        <f>#REF!-E59</f>
        <v>#REF!</v>
      </c>
    </row>
    <row r="63" spans="1:7" x14ac:dyDescent="0.25">
      <c r="E63" s="30"/>
    </row>
    <row r="65" spans="1:8" x14ac:dyDescent="0.25">
      <c r="A65" t="s">
        <v>131</v>
      </c>
      <c r="C65" t="s">
        <v>188</v>
      </c>
      <c r="D65" t="s">
        <v>189</v>
      </c>
      <c r="E65" t="s">
        <v>190</v>
      </c>
      <c r="F65" t="s">
        <v>17</v>
      </c>
    </row>
    <row r="66" spans="1:8" x14ac:dyDescent="0.25">
      <c r="B66" t="s">
        <v>187</v>
      </c>
      <c r="C66">
        <f>E58</f>
        <v>3486</v>
      </c>
      <c r="D66">
        <v>1200</v>
      </c>
    </row>
    <row r="67" spans="1:8" x14ac:dyDescent="0.25">
      <c r="B67" t="s">
        <v>33</v>
      </c>
      <c r="D67">
        <v>-1200</v>
      </c>
      <c r="F67" t="s">
        <v>192</v>
      </c>
    </row>
    <row r="68" spans="1:8" x14ac:dyDescent="0.25">
      <c r="B68" t="s">
        <v>34</v>
      </c>
      <c r="D68">
        <v>0</v>
      </c>
      <c r="F68" t="s">
        <v>193</v>
      </c>
    </row>
    <row r="69" spans="1:8" x14ac:dyDescent="0.25">
      <c r="B69" s="2" t="s">
        <v>15</v>
      </c>
      <c r="C69">
        <f>SUM(C67:C67)</f>
        <v>0</v>
      </c>
      <c r="D69">
        <f>SUM(D66:D68)</f>
        <v>0</v>
      </c>
      <c r="E69" t="e">
        <f>SUM(#REF!)</f>
        <v>#REF!</v>
      </c>
    </row>
    <row r="70" spans="1:8" x14ac:dyDescent="0.25">
      <c r="H70" s="2"/>
    </row>
  </sheetData>
  <sortState ref="A2:U35">
    <sortCondition ref="B2:B3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>
      <selection activeCell="F31" sqref="F31"/>
    </sheetView>
  </sheetViews>
  <sheetFormatPr defaultRowHeight="15" x14ac:dyDescent="0.25"/>
  <cols>
    <col min="1" max="1" width="9.7109375" bestFit="1" customWidth="1"/>
  </cols>
  <sheetData>
    <row r="1" spans="1:4" x14ac:dyDescent="0.25">
      <c r="A1" s="2" t="s">
        <v>153</v>
      </c>
      <c r="B1" s="2" t="s">
        <v>150</v>
      </c>
      <c r="C1" s="2" t="s">
        <v>148</v>
      </c>
      <c r="D1" s="2" t="s">
        <v>152</v>
      </c>
    </row>
    <row r="2" spans="1:4" x14ac:dyDescent="0.25">
      <c r="A2" s="6">
        <v>42373</v>
      </c>
      <c r="B2">
        <v>-21.61</v>
      </c>
      <c r="C2" s="3" t="s">
        <v>18</v>
      </c>
      <c r="D2" t="s">
        <v>154</v>
      </c>
    </row>
    <row r="3" spans="1:4" x14ac:dyDescent="0.25">
      <c r="A3" s="6">
        <v>42373</v>
      </c>
      <c r="B3">
        <v>-21.64</v>
      </c>
      <c r="C3" s="3" t="s">
        <v>18</v>
      </c>
      <c r="D3" t="s">
        <v>154</v>
      </c>
    </row>
    <row r="4" spans="1:4" x14ac:dyDescent="0.25">
      <c r="A4" s="6">
        <v>42380</v>
      </c>
      <c r="B4">
        <v>-24.77</v>
      </c>
      <c r="C4" s="3" t="s">
        <v>18</v>
      </c>
      <c r="D4" t="s">
        <v>151</v>
      </c>
    </row>
    <row r="5" spans="1:4" x14ac:dyDescent="0.25">
      <c r="A5" s="6">
        <v>42388</v>
      </c>
      <c r="B5">
        <v>-23</v>
      </c>
      <c r="C5" s="3" t="s">
        <v>18</v>
      </c>
      <c r="D5" t="s">
        <v>151</v>
      </c>
    </row>
    <row r="6" spans="1:4" x14ac:dyDescent="0.25">
      <c r="A6" s="6">
        <v>42388</v>
      </c>
      <c r="B6">
        <v>-21.3</v>
      </c>
      <c r="C6" s="3" t="s">
        <v>18</v>
      </c>
      <c r="D6" t="s">
        <v>154</v>
      </c>
    </row>
    <row r="7" spans="1:4" x14ac:dyDescent="0.25">
      <c r="A7" s="6">
        <v>42390</v>
      </c>
      <c r="B7">
        <v>-9.93</v>
      </c>
      <c r="C7" s="3" t="s">
        <v>18</v>
      </c>
      <c r="D7" t="s">
        <v>151</v>
      </c>
    </row>
    <row r="8" spans="1:4" x14ac:dyDescent="0.25">
      <c r="A8" s="6">
        <v>42397</v>
      </c>
      <c r="B8">
        <v>-5.74</v>
      </c>
      <c r="C8" s="3" t="s">
        <v>18</v>
      </c>
      <c r="D8" t="s">
        <v>151</v>
      </c>
    </row>
    <row r="9" spans="1:4" x14ac:dyDescent="0.25">
      <c r="A9" s="6">
        <v>42397</v>
      </c>
      <c r="B9">
        <v>-23.89</v>
      </c>
      <c r="C9" s="3" t="s">
        <v>18</v>
      </c>
      <c r="D9" t="s">
        <v>151</v>
      </c>
    </row>
    <row r="10" spans="1:4" x14ac:dyDescent="0.25">
      <c r="A10" s="6">
        <v>42402</v>
      </c>
      <c r="B10">
        <v>-5.74</v>
      </c>
      <c r="C10" s="3" t="s">
        <v>18</v>
      </c>
      <c r="D10" t="s">
        <v>151</v>
      </c>
    </row>
    <row r="11" spans="1:4" x14ac:dyDescent="0.25">
      <c r="A11" s="6">
        <v>42402</v>
      </c>
      <c r="B11">
        <v>-20.68</v>
      </c>
      <c r="C11" s="3" t="s">
        <v>18</v>
      </c>
      <c r="D11" t="s">
        <v>154</v>
      </c>
    </row>
    <row r="12" spans="1:4" x14ac:dyDescent="0.25">
      <c r="A12" s="6">
        <v>42408</v>
      </c>
      <c r="B12">
        <v>-15</v>
      </c>
      <c r="C12" s="3" t="s">
        <v>18</v>
      </c>
      <c r="D12" t="s">
        <v>155</v>
      </c>
    </row>
    <row r="13" spans="1:4" x14ac:dyDescent="0.25">
      <c r="A13" s="6">
        <v>42411</v>
      </c>
      <c r="B13">
        <v>-18.02</v>
      </c>
      <c r="C13" s="3" t="s">
        <v>18</v>
      </c>
      <c r="D13" t="s">
        <v>151</v>
      </c>
    </row>
    <row r="14" spans="1:4" x14ac:dyDescent="0.25">
      <c r="A14" s="6">
        <v>42416</v>
      </c>
      <c r="B14">
        <v>-10.07</v>
      </c>
      <c r="C14" s="3" t="s">
        <v>18</v>
      </c>
      <c r="D14" t="s">
        <v>151</v>
      </c>
    </row>
    <row r="15" spans="1:4" x14ac:dyDescent="0.25">
      <c r="A15" s="6">
        <v>42416</v>
      </c>
      <c r="B15">
        <v>-19.34</v>
      </c>
      <c r="C15" s="3" t="s">
        <v>18</v>
      </c>
      <c r="D15" t="s">
        <v>154</v>
      </c>
    </row>
    <row r="16" spans="1:4" x14ac:dyDescent="0.25">
      <c r="A16" s="6">
        <v>42417</v>
      </c>
      <c r="B16">
        <v>-23.67</v>
      </c>
      <c r="C16" s="3" t="s">
        <v>18</v>
      </c>
      <c r="D16" t="s">
        <v>155</v>
      </c>
    </row>
    <row r="17" spans="1:4" x14ac:dyDescent="0.25">
      <c r="A17" s="6">
        <v>42426</v>
      </c>
      <c r="B17">
        <v>-20.04</v>
      </c>
      <c r="C17" s="3" t="s">
        <v>18</v>
      </c>
      <c r="D17" t="s">
        <v>151</v>
      </c>
    </row>
    <row r="18" spans="1:4" x14ac:dyDescent="0.25">
      <c r="A18" s="6">
        <v>42436</v>
      </c>
      <c r="B18">
        <v>-15.06</v>
      </c>
      <c r="C18" s="3" t="s">
        <v>18</v>
      </c>
      <c r="D18" t="s">
        <v>151</v>
      </c>
    </row>
    <row r="19" spans="1:4" x14ac:dyDescent="0.25">
      <c r="A19" s="6">
        <v>42443</v>
      </c>
      <c r="B19">
        <v>-13.75</v>
      </c>
      <c r="C19" s="3" t="s">
        <v>18</v>
      </c>
      <c r="D19" t="s">
        <v>154</v>
      </c>
    </row>
    <row r="20" spans="1:4" x14ac:dyDescent="0.25">
      <c r="A20" s="6">
        <v>42443</v>
      </c>
      <c r="B20">
        <v>-16.5</v>
      </c>
      <c r="C20" s="3" t="s">
        <v>18</v>
      </c>
      <c r="D20" t="s">
        <v>154</v>
      </c>
    </row>
    <row r="21" spans="1:4" x14ac:dyDescent="0.25">
      <c r="A21" s="6">
        <v>42443</v>
      </c>
      <c r="B21">
        <v>-4.0199999999999996</v>
      </c>
      <c r="C21" s="3" t="s">
        <v>18</v>
      </c>
      <c r="D21" t="s">
        <v>154</v>
      </c>
    </row>
    <row r="22" spans="1:4" x14ac:dyDescent="0.25">
      <c r="A22" s="6">
        <v>42444</v>
      </c>
      <c r="B22">
        <v>-21.7</v>
      </c>
      <c r="C22" s="3" t="s">
        <v>18</v>
      </c>
      <c r="D22" t="s">
        <v>154</v>
      </c>
    </row>
    <row r="23" spans="1:4" x14ac:dyDescent="0.25">
      <c r="A23" s="6">
        <v>42451</v>
      </c>
      <c r="B23">
        <v>-33.299999999999997</v>
      </c>
      <c r="C23" s="3" t="s">
        <v>18</v>
      </c>
      <c r="D23" t="s">
        <v>155</v>
      </c>
    </row>
    <row r="24" spans="1:4" x14ac:dyDescent="0.25">
      <c r="A24" s="6">
        <v>42454</v>
      </c>
      <c r="B24">
        <v>-15.05</v>
      </c>
      <c r="C24" s="3" t="s">
        <v>18</v>
      </c>
      <c r="D24" t="s">
        <v>155</v>
      </c>
    </row>
    <row r="25" spans="1:4" x14ac:dyDescent="0.25">
      <c r="A25" s="6">
        <v>42458</v>
      </c>
      <c r="B25">
        <v>-23.07</v>
      </c>
      <c r="C25" s="3" t="s">
        <v>18</v>
      </c>
      <c r="D25" t="s">
        <v>154</v>
      </c>
    </row>
    <row r="26" spans="1:4" x14ac:dyDescent="0.25">
      <c r="A26" s="6">
        <v>42464</v>
      </c>
      <c r="B26">
        <v>-21.24</v>
      </c>
      <c r="C26" s="3" t="s">
        <v>18</v>
      </c>
      <c r="D26" t="s">
        <v>155</v>
      </c>
    </row>
    <row r="27" spans="1:4" x14ac:dyDescent="0.25">
      <c r="A27" s="6">
        <v>42466</v>
      </c>
      <c r="B27">
        <v>-24.81</v>
      </c>
      <c r="C27" s="3" t="s">
        <v>18</v>
      </c>
      <c r="D27" t="s">
        <v>155</v>
      </c>
    </row>
    <row r="28" spans="1:4" x14ac:dyDescent="0.25">
      <c r="A28" s="6">
        <v>42468</v>
      </c>
      <c r="B28">
        <v>-19.97</v>
      </c>
      <c r="C28" s="3" t="s">
        <v>18</v>
      </c>
      <c r="D28" t="s">
        <v>154</v>
      </c>
    </row>
    <row r="29" spans="1:4" x14ac:dyDescent="0.25">
      <c r="A29" s="6">
        <v>42479</v>
      </c>
      <c r="B29">
        <v>-19.98</v>
      </c>
      <c r="C29" s="3" t="s">
        <v>18</v>
      </c>
      <c r="D29" t="s">
        <v>151</v>
      </c>
    </row>
    <row r="30" spans="1:4" x14ac:dyDescent="0.25">
      <c r="A30" s="6">
        <v>42482</v>
      </c>
      <c r="B30">
        <v>-26.09</v>
      </c>
      <c r="C30" s="3" t="s">
        <v>18</v>
      </c>
      <c r="D30" t="s">
        <v>155</v>
      </c>
    </row>
    <row r="31" spans="1:4" x14ac:dyDescent="0.25">
      <c r="A31" s="6">
        <v>42486</v>
      </c>
      <c r="B31">
        <v>-15</v>
      </c>
      <c r="C31" s="3" t="s">
        <v>18</v>
      </c>
      <c r="D31" t="s">
        <v>151</v>
      </c>
    </row>
    <row r="32" spans="1:4" x14ac:dyDescent="0.25">
      <c r="A32" s="6">
        <v>42486</v>
      </c>
      <c r="B32">
        <v>-23.54</v>
      </c>
      <c r="C32" s="3" t="s">
        <v>18</v>
      </c>
      <c r="D32" t="s">
        <v>154</v>
      </c>
    </row>
    <row r="33" spans="1:4" x14ac:dyDescent="0.25">
      <c r="A33" s="6">
        <v>42488</v>
      </c>
      <c r="B33">
        <v>-20</v>
      </c>
      <c r="C33" s="3" t="s">
        <v>18</v>
      </c>
      <c r="D33" t="s">
        <v>151</v>
      </c>
    </row>
    <row r="34" spans="1:4" x14ac:dyDescent="0.25">
      <c r="A34" s="6">
        <v>42492</v>
      </c>
      <c r="B34">
        <v>-25.38</v>
      </c>
      <c r="C34" s="3" t="s">
        <v>18</v>
      </c>
      <c r="D34" t="s">
        <v>154</v>
      </c>
    </row>
    <row r="35" spans="1:4" x14ac:dyDescent="0.25">
      <c r="A35" s="6">
        <v>42503</v>
      </c>
      <c r="B35">
        <v>-25.07</v>
      </c>
      <c r="C35" s="3" t="s">
        <v>18</v>
      </c>
      <c r="D35" t="s">
        <v>154</v>
      </c>
    </row>
    <row r="36" spans="1:4" x14ac:dyDescent="0.25">
      <c r="A36" s="6">
        <v>42513</v>
      </c>
      <c r="B36">
        <v>-6.76</v>
      </c>
      <c r="C36" s="3" t="s">
        <v>18</v>
      </c>
      <c r="D36" t="s">
        <v>151</v>
      </c>
    </row>
    <row r="37" spans="1:4" x14ac:dyDescent="0.25">
      <c r="A37" s="6">
        <v>42513</v>
      </c>
      <c r="B37">
        <v>-28.73</v>
      </c>
      <c r="C37" s="3" t="s">
        <v>18</v>
      </c>
      <c r="D37" t="s">
        <v>155</v>
      </c>
    </row>
    <row r="38" spans="1:4" x14ac:dyDescent="0.25">
      <c r="A38" s="6">
        <v>42514</v>
      </c>
      <c r="B38">
        <v>-20.09</v>
      </c>
      <c r="C38" s="3" t="s">
        <v>18</v>
      </c>
      <c r="D38" t="s">
        <v>154</v>
      </c>
    </row>
    <row r="39" spans="1:4" x14ac:dyDescent="0.25">
      <c r="A39" s="6">
        <v>42521</v>
      </c>
      <c r="B39">
        <v>-18.77</v>
      </c>
      <c r="C39" s="3" t="s">
        <v>18</v>
      </c>
      <c r="D39" t="s">
        <v>151</v>
      </c>
    </row>
    <row r="40" spans="1:4" x14ac:dyDescent="0.25">
      <c r="A40" s="6">
        <v>42523</v>
      </c>
      <c r="B40">
        <v>-28.97</v>
      </c>
      <c r="C40" s="3" t="s">
        <v>18</v>
      </c>
      <c r="D40" t="s">
        <v>154</v>
      </c>
    </row>
    <row r="41" spans="1:4" x14ac:dyDescent="0.25">
      <c r="A41" s="6">
        <v>42530</v>
      </c>
      <c r="B41">
        <v>-21.47</v>
      </c>
      <c r="C41" s="3" t="s">
        <v>18</v>
      </c>
      <c r="D41" t="s">
        <v>154</v>
      </c>
    </row>
    <row r="42" spans="1:4" x14ac:dyDescent="0.25">
      <c r="A42" s="6">
        <v>42531</v>
      </c>
      <c r="B42">
        <v>-23.15</v>
      </c>
      <c r="C42" s="3" t="s">
        <v>18</v>
      </c>
      <c r="D42" t="s">
        <v>151</v>
      </c>
    </row>
    <row r="43" spans="1:4" x14ac:dyDescent="0.25">
      <c r="A43" s="6">
        <v>42534</v>
      </c>
      <c r="B43">
        <v>-29</v>
      </c>
      <c r="C43" s="3" t="s">
        <v>18</v>
      </c>
      <c r="D43" t="s">
        <v>155</v>
      </c>
    </row>
    <row r="44" spans="1:4" x14ac:dyDescent="0.25">
      <c r="A44" s="6">
        <v>42537</v>
      </c>
      <c r="B44">
        <v>-20</v>
      </c>
      <c r="C44" s="3" t="s">
        <v>18</v>
      </c>
      <c r="D44" t="s">
        <v>151</v>
      </c>
    </row>
    <row r="45" spans="1:4" x14ac:dyDescent="0.25">
      <c r="A45" s="6">
        <v>42548</v>
      </c>
      <c r="B45">
        <v>-11.05</v>
      </c>
      <c r="C45" s="3" t="s">
        <v>18</v>
      </c>
      <c r="D45" t="s">
        <v>151</v>
      </c>
    </row>
    <row r="46" spans="1:4" x14ac:dyDescent="0.25">
      <c r="A46" s="6">
        <v>42550</v>
      </c>
      <c r="B46">
        <v>-29.61</v>
      </c>
      <c r="C46" s="3" t="s">
        <v>18</v>
      </c>
      <c r="D46" t="s">
        <v>154</v>
      </c>
    </row>
    <row r="47" spans="1:4" x14ac:dyDescent="0.25">
      <c r="A47" s="6">
        <v>42556</v>
      </c>
      <c r="B47">
        <v>-7.39</v>
      </c>
      <c r="C47" s="3" t="s">
        <v>18</v>
      </c>
      <c r="D47" t="s">
        <v>151</v>
      </c>
    </row>
    <row r="48" spans="1:4" x14ac:dyDescent="0.25">
      <c r="A48" s="6">
        <v>42556</v>
      </c>
      <c r="B48">
        <v>-4.04</v>
      </c>
      <c r="C48" s="3" t="s">
        <v>18</v>
      </c>
      <c r="D48" t="s">
        <v>151</v>
      </c>
    </row>
    <row r="49" spans="1:4" x14ac:dyDescent="0.25">
      <c r="A49" s="6">
        <v>42556</v>
      </c>
      <c r="B49">
        <v>-16.64</v>
      </c>
      <c r="C49" s="3" t="s">
        <v>18</v>
      </c>
      <c r="D49" t="s">
        <v>155</v>
      </c>
    </row>
    <row r="50" spans="1:4" x14ac:dyDescent="0.25">
      <c r="A50" s="6">
        <v>42562</v>
      </c>
      <c r="B50">
        <v>-20.55</v>
      </c>
      <c r="C50" s="3" t="s">
        <v>18</v>
      </c>
      <c r="D50" t="s">
        <v>151</v>
      </c>
    </row>
    <row r="51" spans="1:4" x14ac:dyDescent="0.25">
      <c r="A51" s="6">
        <v>42563</v>
      </c>
      <c r="B51">
        <v>-14.75</v>
      </c>
      <c r="C51" s="3" t="s">
        <v>18</v>
      </c>
      <c r="D51" t="s">
        <v>151</v>
      </c>
    </row>
    <row r="52" spans="1:4" x14ac:dyDescent="0.25">
      <c r="A52" s="6">
        <v>42565</v>
      </c>
      <c r="B52">
        <v>-15.88</v>
      </c>
      <c r="C52" s="3" t="s">
        <v>18</v>
      </c>
      <c r="D52" t="s">
        <v>151</v>
      </c>
    </row>
    <row r="53" spans="1:4" x14ac:dyDescent="0.25">
      <c r="A53" s="6">
        <v>42569</v>
      </c>
      <c r="B53">
        <v>-6.52</v>
      </c>
      <c r="C53" s="3" t="s">
        <v>18</v>
      </c>
      <c r="D53" t="s">
        <v>151</v>
      </c>
    </row>
    <row r="54" spans="1:4" x14ac:dyDescent="0.25">
      <c r="A54" s="6">
        <v>42569</v>
      </c>
      <c r="B54">
        <v>-26.94</v>
      </c>
      <c r="C54" s="3" t="s">
        <v>18</v>
      </c>
      <c r="D54" t="s">
        <v>151</v>
      </c>
    </row>
    <row r="55" spans="1:4" x14ac:dyDescent="0.25">
      <c r="A55" s="6">
        <v>42569</v>
      </c>
      <c r="B55">
        <v>-9.6</v>
      </c>
      <c r="C55" s="3" t="s">
        <v>18</v>
      </c>
      <c r="D55" t="s">
        <v>151</v>
      </c>
    </row>
    <row r="56" spans="1:4" x14ac:dyDescent="0.25">
      <c r="A56" s="6">
        <v>42578</v>
      </c>
      <c r="B56">
        <v>-25.81</v>
      </c>
      <c r="C56" s="3" t="s">
        <v>18</v>
      </c>
      <c r="D56" t="s">
        <v>151</v>
      </c>
    </row>
    <row r="57" spans="1:4" x14ac:dyDescent="0.25">
      <c r="A57" s="6">
        <v>42583</v>
      </c>
      <c r="B57">
        <v>-26.98</v>
      </c>
      <c r="C57" s="3" t="s">
        <v>18</v>
      </c>
      <c r="D57" t="s">
        <v>154</v>
      </c>
    </row>
    <row r="58" spans="1:4" x14ac:dyDescent="0.25">
      <c r="A58" s="6">
        <v>42583</v>
      </c>
      <c r="B58">
        <v>-13.77</v>
      </c>
      <c r="C58" s="3" t="s">
        <v>18</v>
      </c>
      <c r="D58" t="s">
        <v>155</v>
      </c>
    </row>
    <row r="59" spans="1:4" x14ac:dyDescent="0.25">
      <c r="A59" s="6">
        <v>42590</v>
      </c>
      <c r="B59">
        <v>-20.62</v>
      </c>
      <c r="C59" s="3" t="s">
        <v>18</v>
      </c>
      <c r="D59" t="s">
        <v>155</v>
      </c>
    </row>
    <row r="60" spans="1:4" x14ac:dyDescent="0.25">
      <c r="A60" s="6">
        <v>42597</v>
      </c>
      <c r="B60">
        <v>-25.13</v>
      </c>
      <c r="C60" s="3" t="s">
        <v>18</v>
      </c>
      <c r="D60" t="s">
        <v>151</v>
      </c>
    </row>
    <row r="61" spans="1:4" x14ac:dyDescent="0.25">
      <c r="A61" s="6">
        <v>42599</v>
      </c>
      <c r="B61">
        <v>-5.58</v>
      </c>
      <c r="C61" s="3" t="s">
        <v>18</v>
      </c>
      <c r="D61" t="s">
        <v>151</v>
      </c>
    </row>
    <row r="62" spans="1:4" x14ac:dyDescent="0.25">
      <c r="A62" s="6">
        <v>42600</v>
      </c>
      <c r="B62">
        <v>-34.89</v>
      </c>
      <c r="C62" s="3" t="s">
        <v>18</v>
      </c>
      <c r="D62" t="s">
        <v>151</v>
      </c>
    </row>
    <row r="63" spans="1:4" x14ac:dyDescent="0.25">
      <c r="A63" s="6">
        <v>42632</v>
      </c>
      <c r="B63">
        <v>-25.06</v>
      </c>
      <c r="C63" s="3" t="s">
        <v>18</v>
      </c>
      <c r="D63" t="s">
        <v>154</v>
      </c>
    </row>
    <row r="64" spans="1:4" x14ac:dyDescent="0.25">
      <c r="A64" s="6">
        <v>42636</v>
      </c>
      <c r="B64">
        <v>-33.299999999999997</v>
      </c>
      <c r="C64" s="3" t="s">
        <v>18</v>
      </c>
      <c r="D64" t="s">
        <v>155</v>
      </c>
    </row>
  </sheetData>
  <sortState ref="A2:D64">
    <sortCondition ref="A2:A6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G31" sqref="G31"/>
    </sheetView>
  </sheetViews>
  <sheetFormatPr defaultRowHeight="15" x14ac:dyDescent="0.25"/>
  <sheetData>
    <row r="1" spans="1:3" x14ac:dyDescent="0.25">
      <c r="A1" s="2" t="s">
        <v>150</v>
      </c>
      <c r="B1" s="2" t="s">
        <v>149</v>
      </c>
      <c r="C1" s="2" t="s">
        <v>148</v>
      </c>
    </row>
    <row r="2" spans="1:3" x14ac:dyDescent="0.25">
      <c r="A2">
        <v>-151.88</v>
      </c>
      <c r="B2">
        <v>1</v>
      </c>
      <c r="C2" t="s">
        <v>18</v>
      </c>
    </row>
    <row r="3" spans="1:3" x14ac:dyDescent="0.25">
      <c r="A3">
        <v>-132.56</v>
      </c>
      <c r="B3">
        <v>2</v>
      </c>
      <c r="C3" t="s">
        <v>18</v>
      </c>
    </row>
    <row r="4" spans="1:3" x14ac:dyDescent="0.25">
      <c r="A4">
        <v>-142.44999999999999</v>
      </c>
      <c r="B4">
        <v>3</v>
      </c>
      <c r="C4" t="s">
        <v>18</v>
      </c>
    </row>
    <row r="5" spans="1:3" x14ac:dyDescent="0.25">
      <c r="A5">
        <v>-170.63</v>
      </c>
      <c r="B5">
        <v>4</v>
      </c>
      <c r="C5" t="s">
        <v>18</v>
      </c>
    </row>
    <row r="6" spans="1:3" x14ac:dyDescent="0.25">
      <c r="A6">
        <v>-124.8</v>
      </c>
      <c r="B6">
        <v>5</v>
      </c>
      <c r="C6" t="s">
        <v>18</v>
      </c>
    </row>
    <row r="7" spans="1:3" x14ac:dyDescent="0.25">
      <c r="A7">
        <v>-163.25</v>
      </c>
      <c r="B7">
        <v>6</v>
      </c>
      <c r="C7" t="s">
        <v>18</v>
      </c>
    </row>
    <row r="8" spans="1:3" x14ac:dyDescent="0.25">
      <c r="A8">
        <v>-148.11999999999998</v>
      </c>
      <c r="B8">
        <v>7</v>
      </c>
      <c r="C8" t="s">
        <v>18</v>
      </c>
    </row>
    <row r="9" spans="1:3" x14ac:dyDescent="0.25">
      <c r="A9">
        <v>-126.97</v>
      </c>
      <c r="B9">
        <v>8</v>
      </c>
      <c r="C9" t="s">
        <v>18</v>
      </c>
    </row>
    <row r="10" spans="1:3" x14ac:dyDescent="0.25">
      <c r="A10">
        <v>-58.36</v>
      </c>
      <c r="B10">
        <v>9</v>
      </c>
      <c r="C10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C4" sqref="C4"/>
    </sheetView>
  </sheetViews>
  <sheetFormatPr defaultRowHeight="15" x14ac:dyDescent="0.25"/>
  <cols>
    <col min="2" max="2" width="27.42578125" bestFit="1" customWidth="1"/>
    <col min="3" max="3" width="12.5703125" bestFit="1" customWidth="1"/>
    <col min="4" max="4" width="21.85546875" bestFit="1" customWidth="1"/>
    <col min="5" max="5" width="13.5703125" bestFit="1" customWidth="1"/>
  </cols>
  <sheetData>
    <row r="1" spans="1:6" s="1" customFormat="1" x14ac:dyDescent="0.25">
      <c r="A1" s="1" t="s">
        <v>10</v>
      </c>
      <c r="B1" s="1" t="s">
        <v>25</v>
      </c>
      <c r="C1" s="1" t="s">
        <v>33</v>
      </c>
      <c r="D1" s="1" t="s">
        <v>34</v>
      </c>
      <c r="E1" s="1" t="s">
        <v>24</v>
      </c>
      <c r="F1" s="1" t="s">
        <v>17</v>
      </c>
    </row>
    <row r="2" spans="1:6" x14ac:dyDescent="0.25">
      <c r="B2" t="s">
        <v>26</v>
      </c>
      <c r="C2">
        <v>1000</v>
      </c>
    </row>
    <row r="3" spans="1:6" x14ac:dyDescent="0.25">
      <c r="B3" t="s">
        <v>162</v>
      </c>
      <c r="C3">
        <v>1310</v>
      </c>
    </row>
    <row r="4" spans="1:6" x14ac:dyDescent="0.25">
      <c r="B4" t="s">
        <v>113</v>
      </c>
      <c r="C4">
        <v>980</v>
      </c>
    </row>
    <row r="5" spans="1:6" x14ac:dyDescent="0.25">
      <c r="B5" t="s">
        <v>96</v>
      </c>
      <c r="C5">
        <v>0</v>
      </c>
    </row>
    <row r="6" spans="1:6" x14ac:dyDescent="0.25">
      <c r="B6" t="s">
        <v>81</v>
      </c>
      <c r="C6">
        <v>0</v>
      </c>
    </row>
    <row r="7" spans="1:6" x14ac:dyDescent="0.25">
      <c r="B7" t="s">
        <v>35</v>
      </c>
      <c r="D7">
        <v>0</v>
      </c>
    </row>
    <row r="8" spans="1:6" x14ac:dyDescent="0.25">
      <c r="B8" t="s">
        <v>27</v>
      </c>
      <c r="C8">
        <v>25</v>
      </c>
    </row>
    <row r="9" spans="1:6" x14ac:dyDescent="0.25">
      <c r="B9" t="s">
        <v>28</v>
      </c>
      <c r="C9">
        <v>50</v>
      </c>
    </row>
    <row r="10" spans="1:6" x14ac:dyDescent="0.25">
      <c r="B10" t="s">
        <v>36</v>
      </c>
      <c r="D10">
        <v>5000</v>
      </c>
    </row>
    <row r="11" spans="1:6" x14ac:dyDescent="0.25">
      <c r="B11" t="s">
        <v>37</v>
      </c>
      <c r="D11">
        <v>6000</v>
      </c>
      <c r="E11">
        <v>8200</v>
      </c>
    </row>
    <row r="12" spans="1:6" x14ac:dyDescent="0.25">
      <c r="B12" t="s">
        <v>123</v>
      </c>
      <c r="D12">
        <v>380000</v>
      </c>
      <c r="F12" t="s">
        <v>83</v>
      </c>
    </row>
    <row r="13" spans="1:6" x14ac:dyDescent="0.25">
      <c r="B13" t="s">
        <v>97</v>
      </c>
      <c r="D13">
        <v>9350</v>
      </c>
    </row>
    <row r="14" spans="1:6" x14ac:dyDescent="0.25">
      <c r="B14" t="s">
        <v>98</v>
      </c>
      <c r="D14">
        <v>4150</v>
      </c>
    </row>
    <row r="15" spans="1:6" x14ac:dyDescent="0.25">
      <c r="B15" t="s">
        <v>140</v>
      </c>
      <c r="F15" t="s">
        <v>142</v>
      </c>
    </row>
    <row r="16" spans="1:6" x14ac:dyDescent="0.25">
      <c r="B16" t="s">
        <v>141</v>
      </c>
      <c r="E16">
        <v>151500</v>
      </c>
      <c r="F16" t="s">
        <v>142</v>
      </c>
    </row>
    <row r="17" spans="1:5" x14ac:dyDescent="0.25">
      <c r="B17" t="s">
        <v>29</v>
      </c>
      <c r="E17">
        <v>363000</v>
      </c>
    </row>
    <row r="18" spans="1:5" x14ac:dyDescent="0.25">
      <c r="B18" t="s">
        <v>30</v>
      </c>
      <c r="E18">
        <v>1650</v>
      </c>
    </row>
    <row r="19" spans="1:5" x14ac:dyDescent="0.25">
      <c r="B19" t="s">
        <v>114</v>
      </c>
      <c r="E19">
        <v>440</v>
      </c>
    </row>
    <row r="20" spans="1:5" x14ac:dyDescent="0.25">
      <c r="B20" t="s">
        <v>115</v>
      </c>
      <c r="E20">
        <v>1900</v>
      </c>
    </row>
    <row r="21" spans="1:5" x14ac:dyDescent="0.25">
      <c r="B21" t="s">
        <v>31</v>
      </c>
      <c r="E21">
        <v>7000</v>
      </c>
    </row>
    <row r="22" spans="1:5" x14ac:dyDescent="0.25">
      <c r="B22" t="s">
        <v>32</v>
      </c>
      <c r="E22">
        <v>2400</v>
      </c>
    </row>
    <row r="23" spans="1:5" x14ac:dyDescent="0.25">
      <c r="B23" t="s">
        <v>80</v>
      </c>
      <c r="E23">
        <v>2000</v>
      </c>
    </row>
    <row r="24" spans="1:5" x14ac:dyDescent="0.25">
      <c r="B24" t="s">
        <v>99</v>
      </c>
      <c r="E24">
        <v>0</v>
      </c>
    </row>
    <row r="25" spans="1:5" x14ac:dyDescent="0.25">
      <c r="B25" t="s">
        <v>95</v>
      </c>
      <c r="C25">
        <v>0</v>
      </c>
      <c r="E25">
        <v>0</v>
      </c>
    </row>
    <row r="26" spans="1:5" s="8" customFormat="1" x14ac:dyDescent="0.25">
      <c r="A26" s="7"/>
      <c r="B26" s="8" t="s">
        <v>15</v>
      </c>
      <c r="C26" s="8">
        <f>SUM(C2:C25)</f>
        <v>3365</v>
      </c>
      <c r="D26" s="8">
        <f>SUM(D2:D25)</f>
        <v>404500</v>
      </c>
      <c r="E26" s="8">
        <f>SUM(E2:E25)</f>
        <v>538090</v>
      </c>
    </row>
    <row r="27" spans="1:5" x14ac:dyDescent="0.25">
      <c r="D27" t="s">
        <v>38</v>
      </c>
      <c r="E27">
        <f>SUM(C26:D26)</f>
        <v>407865</v>
      </c>
    </row>
    <row r="28" spans="1:5" x14ac:dyDescent="0.25">
      <c r="D28" t="s">
        <v>76</v>
      </c>
      <c r="E28">
        <f>E27-E26</f>
        <v>-130225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C11" sqref="C11"/>
    </sheetView>
  </sheetViews>
  <sheetFormatPr defaultRowHeight="15" x14ac:dyDescent="0.25"/>
  <cols>
    <col min="1" max="1" width="10.42578125" bestFit="1" customWidth="1"/>
    <col min="2" max="2" width="16.140625" bestFit="1" customWidth="1"/>
    <col min="3" max="3" width="8.42578125" bestFit="1" customWidth="1"/>
    <col min="4" max="4" width="11.28515625" bestFit="1" customWidth="1"/>
  </cols>
  <sheetData>
    <row r="1" spans="1:13" s="1" customFormat="1" x14ac:dyDescent="0.25">
      <c r="A1" s="1" t="s">
        <v>10</v>
      </c>
      <c r="B1" s="1" t="s">
        <v>12</v>
      </c>
      <c r="C1" s="1" t="s">
        <v>16</v>
      </c>
      <c r="D1" s="1" t="s">
        <v>11</v>
      </c>
      <c r="E1" s="1" t="s">
        <v>78</v>
      </c>
      <c r="F1" s="1" t="s">
        <v>77</v>
      </c>
      <c r="G1" s="1" t="s">
        <v>17</v>
      </c>
      <c r="J1" s="1" t="s">
        <v>100</v>
      </c>
      <c r="K1" s="1" t="s">
        <v>101</v>
      </c>
      <c r="L1" s="1" t="s">
        <v>102</v>
      </c>
      <c r="M1" s="1" t="s">
        <v>17</v>
      </c>
    </row>
    <row r="2" spans="1:13" x14ac:dyDescent="0.25">
      <c r="A2" s="19">
        <v>42370</v>
      </c>
      <c r="B2" t="s">
        <v>89</v>
      </c>
      <c r="D2">
        <v>875</v>
      </c>
      <c r="E2">
        <f>E3-875</f>
        <v>-156795</v>
      </c>
      <c r="J2">
        <f>SUM(C2:D13)/12</f>
        <v>1555.4166666666667</v>
      </c>
      <c r="K2">
        <f>(-1*F3)/J2</f>
        <v>100.24323600321456</v>
      </c>
      <c r="L2">
        <f>K2/12</f>
        <v>8.3536030002678796</v>
      </c>
      <c r="M2" t="s">
        <v>103</v>
      </c>
    </row>
    <row r="3" spans="1:13" x14ac:dyDescent="0.25">
      <c r="A3" s="19">
        <v>42401</v>
      </c>
      <c r="B3" t="s">
        <v>88</v>
      </c>
      <c r="D3">
        <v>875</v>
      </c>
      <c r="E3">
        <v>-155920</v>
      </c>
      <c r="F3">
        <v>-155920</v>
      </c>
      <c r="J3">
        <v>1100</v>
      </c>
      <c r="K3">
        <f>(-1*F3)/J3</f>
        <v>141.74545454545455</v>
      </c>
      <c r="L3">
        <f>K3/12</f>
        <v>11.812121212121212</v>
      </c>
      <c r="M3" t="s">
        <v>104</v>
      </c>
    </row>
    <row r="4" spans="1:13" x14ac:dyDescent="0.25">
      <c r="A4" s="19">
        <v>42430</v>
      </c>
      <c r="B4" t="s">
        <v>94</v>
      </c>
      <c r="C4">
        <v>-3000</v>
      </c>
      <c r="D4">
        <v>4125</v>
      </c>
      <c r="E4">
        <f>E3+C4+D4</f>
        <v>-154795</v>
      </c>
      <c r="J4">
        <v>1700</v>
      </c>
      <c r="K4">
        <f>(-1*F3)/J4</f>
        <v>91.71764705882353</v>
      </c>
      <c r="L4">
        <f>K4/12</f>
        <v>7.6431372549019612</v>
      </c>
      <c r="M4" t="s">
        <v>104</v>
      </c>
    </row>
    <row r="5" spans="1:13" x14ac:dyDescent="0.25">
      <c r="A5" s="19">
        <v>42461</v>
      </c>
      <c r="B5" t="s">
        <v>23</v>
      </c>
      <c r="D5">
        <v>890</v>
      </c>
      <c r="E5">
        <v>-146830</v>
      </c>
      <c r="F5">
        <v>-146830</v>
      </c>
      <c r="J5">
        <v>1860</v>
      </c>
      <c r="K5">
        <f>(-1*F3)/J5</f>
        <v>83.827956989247312</v>
      </c>
      <c r="L5">
        <f>K5/12</f>
        <v>6.9856630824372763</v>
      </c>
      <c r="M5" t="s">
        <v>104</v>
      </c>
    </row>
    <row r="6" spans="1:13" x14ac:dyDescent="0.25">
      <c r="A6" s="19">
        <v>42491</v>
      </c>
      <c r="B6" t="s">
        <v>23</v>
      </c>
      <c r="D6">
        <v>1700</v>
      </c>
      <c r="E6">
        <f t="shared" ref="E6:E13" si="0">E5+C6+D6</f>
        <v>-145130</v>
      </c>
      <c r="J6">
        <v>2000</v>
      </c>
      <c r="K6">
        <f>(-1*F3)/J6</f>
        <v>77.959999999999994</v>
      </c>
      <c r="L6">
        <f>K6/12</f>
        <v>6.4966666666666661</v>
      </c>
      <c r="M6" t="s">
        <v>104</v>
      </c>
    </row>
    <row r="7" spans="1:13" x14ac:dyDescent="0.25">
      <c r="A7" s="19">
        <v>42522</v>
      </c>
      <c r="B7" t="s">
        <v>93</v>
      </c>
      <c r="D7">
        <v>5500</v>
      </c>
      <c r="E7">
        <f t="shared" si="0"/>
        <v>-139630</v>
      </c>
    </row>
    <row r="8" spans="1:13" x14ac:dyDescent="0.25">
      <c r="A8" s="19">
        <v>42552</v>
      </c>
      <c r="B8" t="s">
        <v>133</v>
      </c>
      <c r="C8">
        <v>-1000</v>
      </c>
      <c r="D8">
        <v>1700</v>
      </c>
      <c r="E8">
        <f t="shared" si="0"/>
        <v>-138930</v>
      </c>
    </row>
    <row r="9" spans="1:13" x14ac:dyDescent="0.25">
      <c r="A9" s="19">
        <v>42583</v>
      </c>
      <c r="B9" t="s">
        <v>92</v>
      </c>
      <c r="C9">
        <v>-250</v>
      </c>
      <c r="D9">
        <v>1700</v>
      </c>
      <c r="E9">
        <f t="shared" si="0"/>
        <v>-137480</v>
      </c>
    </row>
    <row r="10" spans="1:13" x14ac:dyDescent="0.25">
      <c r="A10" s="19">
        <v>42614</v>
      </c>
      <c r="B10" t="s">
        <v>23</v>
      </c>
      <c r="D10">
        <v>1700</v>
      </c>
      <c r="E10">
        <f t="shared" si="0"/>
        <v>-135780</v>
      </c>
    </row>
    <row r="11" spans="1:13" x14ac:dyDescent="0.25">
      <c r="A11" s="19">
        <v>42644</v>
      </c>
      <c r="B11" t="s">
        <v>23</v>
      </c>
      <c r="D11">
        <v>1700</v>
      </c>
      <c r="E11">
        <f t="shared" si="0"/>
        <v>-134080</v>
      </c>
    </row>
    <row r="12" spans="1:13" x14ac:dyDescent="0.25">
      <c r="A12" s="19">
        <v>42675</v>
      </c>
      <c r="B12" t="s">
        <v>90</v>
      </c>
      <c r="C12">
        <v>-250</v>
      </c>
      <c r="D12">
        <v>1700</v>
      </c>
      <c r="E12">
        <f t="shared" si="0"/>
        <v>-132630</v>
      </c>
    </row>
    <row r="13" spans="1:13" x14ac:dyDescent="0.25">
      <c r="A13" s="19">
        <v>42705</v>
      </c>
      <c r="B13" t="s">
        <v>91</v>
      </c>
      <c r="C13">
        <v>-1000</v>
      </c>
      <c r="D13">
        <v>1700</v>
      </c>
      <c r="E13">
        <f t="shared" si="0"/>
        <v>-131930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workbookViewId="0">
      <selection activeCell="A17" sqref="A17"/>
    </sheetView>
  </sheetViews>
  <sheetFormatPr defaultRowHeight="15" x14ac:dyDescent="0.25"/>
  <cols>
    <col min="1" max="1" width="27.140625" bestFit="1" customWidth="1"/>
    <col min="2" max="2" width="10.85546875" bestFit="1" customWidth="1"/>
    <col min="3" max="3" width="12" bestFit="1" customWidth="1"/>
    <col min="4" max="4" width="9.85546875" bestFit="1" customWidth="1"/>
    <col min="5" max="5" width="19.5703125" bestFit="1" customWidth="1"/>
    <col min="6" max="6" width="16.28515625" bestFit="1" customWidth="1"/>
    <col min="7" max="7" width="16.42578125" customWidth="1"/>
    <col min="8" max="8" width="22.85546875" bestFit="1" customWidth="1"/>
    <col min="9" max="10" width="12" bestFit="1" customWidth="1"/>
    <col min="11" max="11" width="82.42578125" bestFit="1" customWidth="1"/>
    <col min="13" max="13" width="12.85546875" bestFit="1" customWidth="1"/>
    <col min="14" max="14" width="10.85546875" bestFit="1" customWidth="1"/>
    <col min="16" max="16" width="26.42578125" bestFit="1" customWidth="1"/>
    <col min="17" max="17" width="9.85546875" bestFit="1" customWidth="1"/>
    <col min="18" max="18" width="10.85546875" bestFit="1" customWidth="1"/>
    <col min="20" max="20" width="9.85546875" bestFit="1" customWidth="1"/>
  </cols>
  <sheetData>
    <row r="1" spans="1:11" x14ac:dyDescent="0.25">
      <c r="A1" t="s">
        <v>39</v>
      </c>
      <c r="B1" t="s">
        <v>174</v>
      </c>
      <c r="C1" t="s">
        <v>51</v>
      </c>
      <c r="D1" t="s">
        <v>40</v>
      </c>
      <c r="E1" t="s">
        <v>173</v>
      </c>
      <c r="F1" t="s">
        <v>168</v>
      </c>
      <c r="G1" t="s">
        <v>164</v>
      </c>
      <c r="H1" t="s">
        <v>165</v>
      </c>
      <c r="I1" t="s">
        <v>172</v>
      </c>
      <c r="J1" t="s">
        <v>169</v>
      </c>
      <c r="K1" t="s">
        <v>17</v>
      </c>
    </row>
    <row r="2" spans="1:11" x14ac:dyDescent="0.25">
      <c r="A2" t="s">
        <v>160</v>
      </c>
      <c r="B2">
        <v>260</v>
      </c>
      <c r="C2" s="15">
        <v>8.5000000000000006E-2</v>
      </c>
      <c r="D2" t="s">
        <v>59</v>
      </c>
      <c r="E2">
        <v>10890</v>
      </c>
      <c r="F2">
        <f t="shared" ref="F2:F13" si="0">B2/E2</f>
        <v>2.3875114784205693E-2</v>
      </c>
      <c r="G2">
        <f>E2/B2</f>
        <v>41.884615384615387</v>
      </c>
      <c r="H2">
        <f>G2*(1/C2)</f>
        <v>492.76018099547508</v>
      </c>
      <c r="I2">
        <f>E2/(B2+1)</f>
        <v>41.724137931034484</v>
      </c>
      <c r="J2">
        <f>I2*(1/(C2+1))</f>
        <v>38.455426664547915</v>
      </c>
    </row>
    <row r="3" spans="1:11" x14ac:dyDescent="0.25">
      <c r="A3" t="s">
        <v>178</v>
      </c>
      <c r="B3">
        <v>200</v>
      </c>
      <c r="C3" s="15">
        <v>5.0200000000000002E-2</v>
      </c>
      <c r="D3" t="s">
        <v>59</v>
      </c>
      <c r="E3">
        <v>22500</v>
      </c>
      <c r="F3">
        <f t="shared" si="0"/>
        <v>8.8888888888888889E-3</v>
      </c>
      <c r="G3">
        <f t="shared" ref="G3:G13" si="1">E3/B3</f>
        <v>112.5</v>
      </c>
      <c r="H3">
        <f t="shared" ref="H3:H13" si="2">G3*(1/C3)</f>
        <v>2241.0358565737051</v>
      </c>
      <c r="I3">
        <f t="shared" ref="I3:I13" si="3">E3/(B3+1)</f>
        <v>111.94029850746269</v>
      </c>
      <c r="J3">
        <f t="shared" ref="J3:J13" si="4">I3*(1/(C3+1))</f>
        <v>106.58950533942361</v>
      </c>
    </row>
    <row r="4" spans="1:11" x14ac:dyDescent="0.25">
      <c r="A4" t="s">
        <v>48</v>
      </c>
      <c r="B4">
        <v>0</v>
      </c>
      <c r="C4" s="15">
        <v>5.5199999999999999E-2</v>
      </c>
      <c r="D4" t="s">
        <v>59</v>
      </c>
      <c r="E4">
        <v>75000</v>
      </c>
      <c r="F4">
        <f t="shared" si="0"/>
        <v>0</v>
      </c>
      <c r="G4" t="e">
        <f t="shared" si="1"/>
        <v>#DIV/0!</v>
      </c>
      <c r="H4" t="e">
        <f t="shared" si="2"/>
        <v>#DIV/0!</v>
      </c>
      <c r="I4">
        <f t="shared" si="3"/>
        <v>75000</v>
      </c>
      <c r="J4">
        <f t="shared" si="4"/>
        <v>71076.573161485983</v>
      </c>
    </row>
    <row r="5" spans="1:11" x14ac:dyDescent="0.25">
      <c r="A5" t="s">
        <v>49</v>
      </c>
      <c r="B5">
        <v>0</v>
      </c>
      <c r="C5" s="15">
        <v>6.5000000000000002E-2</v>
      </c>
      <c r="D5" t="s">
        <v>59</v>
      </c>
      <c r="E5">
        <v>55000</v>
      </c>
      <c r="F5">
        <f t="shared" si="0"/>
        <v>0</v>
      </c>
      <c r="G5" t="e">
        <f t="shared" si="1"/>
        <v>#DIV/0!</v>
      </c>
      <c r="H5" t="e">
        <f t="shared" si="2"/>
        <v>#DIV/0!</v>
      </c>
      <c r="I5">
        <f t="shared" si="3"/>
        <v>55000</v>
      </c>
      <c r="J5">
        <f t="shared" si="4"/>
        <v>51643.19248826291</v>
      </c>
    </row>
    <row r="6" spans="1:11" x14ac:dyDescent="0.25">
      <c r="A6" t="s">
        <v>29</v>
      </c>
      <c r="B6">
        <v>2400</v>
      </c>
      <c r="C6" s="15">
        <v>3.7499999999999999E-2</v>
      </c>
      <c r="D6" t="s">
        <v>59</v>
      </c>
      <c r="E6">
        <v>364000</v>
      </c>
      <c r="F6">
        <f t="shared" si="0"/>
        <v>6.5934065934065934E-3</v>
      </c>
      <c r="G6">
        <f t="shared" si="1"/>
        <v>151.66666666666666</v>
      </c>
      <c r="H6">
        <f t="shared" si="2"/>
        <v>4044.4444444444443</v>
      </c>
      <c r="I6">
        <f t="shared" si="3"/>
        <v>151.60349854227405</v>
      </c>
      <c r="J6">
        <f t="shared" si="4"/>
        <v>146.12385401664966</v>
      </c>
    </row>
    <row r="7" spans="1:11" x14ac:dyDescent="0.25">
      <c r="A7" t="s">
        <v>31</v>
      </c>
      <c r="B7">
        <v>200</v>
      </c>
      <c r="C7" s="15">
        <v>0</v>
      </c>
      <c r="D7" t="s">
        <v>59</v>
      </c>
      <c r="E7">
        <v>5700</v>
      </c>
      <c r="F7">
        <f t="shared" si="0"/>
        <v>3.5087719298245612E-2</v>
      </c>
      <c r="G7">
        <f t="shared" si="1"/>
        <v>28.5</v>
      </c>
      <c r="H7" t="e">
        <f t="shared" si="2"/>
        <v>#DIV/0!</v>
      </c>
      <c r="I7">
        <f t="shared" si="3"/>
        <v>28.35820895522388</v>
      </c>
      <c r="J7">
        <f t="shared" si="4"/>
        <v>28.35820895522388</v>
      </c>
    </row>
    <row r="8" spans="1:11" x14ac:dyDescent="0.25">
      <c r="A8" t="s">
        <v>115</v>
      </c>
      <c r="B8">
        <v>30</v>
      </c>
      <c r="C8" s="15">
        <v>0.28999999999999998</v>
      </c>
      <c r="D8" t="s">
        <v>59</v>
      </c>
      <c r="E8">
        <v>1720</v>
      </c>
      <c r="F8">
        <f t="shared" si="0"/>
        <v>1.7441860465116279E-2</v>
      </c>
      <c r="G8">
        <f t="shared" si="1"/>
        <v>57.333333333333336</v>
      </c>
      <c r="H8">
        <f t="shared" si="2"/>
        <v>197.70114942528738</v>
      </c>
      <c r="I8">
        <f t="shared" si="3"/>
        <v>55.483870967741936</v>
      </c>
      <c r="J8">
        <f t="shared" si="4"/>
        <v>43.01075268817204</v>
      </c>
    </row>
    <row r="9" spans="1:11" x14ac:dyDescent="0.25">
      <c r="A9" t="s">
        <v>125</v>
      </c>
      <c r="B9">
        <v>25</v>
      </c>
      <c r="C9" s="15">
        <v>0.14249999999999999</v>
      </c>
      <c r="D9" t="s">
        <v>59</v>
      </c>
      <c r="E9">
        <v>1450</v>
      </c>
      <c r="F9">
        <f t="shared" si="0"/>
        <v>1.7241379310344827E-2</v>
      </c>
      <c r="G9">
        <f t="shared" si="1"/>
        <v>58</v>
      </c>
      <c r="H9">
        <f t="shared" si="2"/>
        <v>407.01754385964915</v>
      </c>
      <c r="I9">
        <f t="shared" si="3"/>
        <v>55.769230769230766</v>
      </c>
      <c r="J9">
        <f t="shared" si="4"/>
        <v>48.813331089042244</v>
      </c>
    </row>
    <row r="10" spans="1:11" x14ac:dyDescent="0.25">
      <c r="A10" t="s">
        <v>124</v>
      </c>
      <c r="B10">
        <v>70</v>
      </c>
      <c r="C10" s="15">
        <v>0.14249999999999999</v>
      </c>
      <c r="D10" t="s">
        <v>59</v>
      </c>
      <c r="E10">
        <v>3800</v>
      </c>
      <c r="F10">
        <f t="shared" si="0"/>
        <v>1.8421052631578946E-2</v>
      </c>
      <c r="G10">
        <f t="shared" si="1"/>
        <v>54.285714285714285</v>
      </c>
      <c r="H10">
        <f t="shared" si="2"/>
        <v>380.95238095238096</v>
      </c>
      <c r="I10">
        <f t="shared" si="3"/>
        <v>53.521126760563384</v>
      </c>
      <c r="J10">
        <f t="shared" si="4"/>
        <v>46.845625173359636</v>
      </c>
    </row>
    <row r="11" spans="1:11" x14ac:dyDescent="0.25">
      <c r="A11" t="s">
        <v>30</v>
      </c>
      <c r="B11">
        <v>65</v>
      </c>
      <c r="C11" s="15">
        <v>0.1</v>
      </c>
      <c r="D11" t="s">
        <v>59</v>
      </c>
      <c r="E11" s="4">
        <v>1800</v>
      </c>
      <c r="F11">
        <f t="shared" si="0"/>
        <v>3.6111111111111108E-2</v>
      </c>
      <c r="G11">
        <f t="shared" si="1"/>
        <v>27.692307692307693</v>
      </c>
      <c r="H11">
        <f t="shared" si="2"/>
        <v>276.92307692307691</v>
      </c>
      <c r="I11">
        <f t="shared" si="3"/>
        <v>27.272727272727273</v>
      </c>
      <c r="J11">
        <f t="shared" si="4"/>
        <v>24.793388429752067</v>
      </c>
    </row>
    <row r="12" spans="1:11" x14ac:dyDescent="0.25">
      <c r="A12" t="s">
        <v>113</v>
      </c>
      <c r="B12">
        <v>150</v>
      </c>
      <c r="C12" s="15">
        <v>3.5000000000000003E-2</v>
      </c>
      <c r="D12" t="s">
        <v>159</v>
      </c>
      <c r="E12" s="4">
        <v>1285</v>
      </c>
      <c r="F12">
        <f t="shared" si="0"/>
        <v>0.11673151750972763</v>
      </c>
      <c r="G12">
        <f t="shared" si="1"/>
        <v>8.5666666666666664</v>
      </c>
      <c r="H12">
        <f t="shared" si="2"/>
        <v>244.76190476190473</v>
      </c>
      <c r="I12">
        <f t="shared" si="3"/>
        <v>8.5099337748344368</v>
      </c>
      <c r="J12">
        <f t="shared" si="4"/>
        <v>8.2221582365550123</v>
      </c>
      <c r="K12" t="s">
        <v>161</v>
      </c>
    </row>
    <row r="13" spans="1:11" x14ac:dyDescent="0.25">
      <c r="A13" t="s">
        <v>170</v>
      </c>
      <c r="B13">
        <v>150</v>
      </c>
      <c r="C13" s="15">
        <v>0.05</v>
      </c>
      <c r="D13" t="s">
        <v>159</v>
      </c>
      <c r="E13" s="4">
        <v>1285</v>
      </c>
      <c r="F13">
        <f t="shared" si="0"/>
        <v>0.11673151750972763</v>
      </c>
      <c r="G13">
        <f t="shared" si="1"/>
        <v>8.5666666666666664</v>
      </c>
      <c r="H13">
        <f t="shared" si="2"/>
        <v>171.33333333333331</v>
      </c>
      <c r="I13">
        <f t="shared" si="3"/>
        <v>8.5099337748344368</v>
      </c>
      <c r="J13">
        <f t="shared" si="4"/>
        <v>8.1046988331756538</v>
      </c>
    </row>
    <row r="14" spans="1:11" x14ac:dyDescent="0.25">
      <c r="A14" t="s">
        <v>17</v>
      </c>
      <c r="B14" t="s">
        <v>175</v>
      </c>
      <c r="E14">
        <f>SUM(E3:E5)</f>
        <v>152500</v>
      </c>
      <c r="G14" t="s">
        <v>171</v>
      </c>
    </row>
    <row r="16" spans="1:11" x14ac:dyDescent="0.25">
      <c r="A16" t="s">
        <v>179</v>
      </c>
    </row>
    <row r="18" spans="1:19" x14ac:dyDescent="0.25">
      <c r="A18" t="s">
        <v>166</v>
      </c>
    </row>
    <row r="19" spans="1:19" x14ac:dyDescent="0.25">
      <c r="A19" t="s">
        <v>55</v>
      </c>
    </row>
    <row r="20" spans="1:19" x14ac:dyDescent="0.25">
      <c r="C20" t="s">
        <v>50</v>
      </c>
      <c r="D20" t="s">
        <v>51</v>
      </c>
      <c r="E20" t="s">
        <v>167</v>
      </c>
    </row>
    <row r="21" spans="1:19" x14ac:dyDescent="0.25">
      <c r="A21" t="s">
        <v>52</v>
      </c>
      <c r="B21" s="14">
        <v>4500</v>
      </c>
      <c r="C21" s="15">
        <v>4.4999999999999998E-2</v>
      </c>
      <c r="D21" s="14">
        <f>C21*B21</f>
        <v>202.5</v>
      </c>
    </row>
    <row r="22" spans="1:19" x14ac:dyDescent="0.25">
      <c r="A22" t="s">
        <v>53</v>
      </c>
      <c r="B22" s="14">
        <v>2341.14</v>
      </c>
      <c r="C22" s="15">
        <v>6.8000000000000005E-2</v>
      </c>
      <c r="D22" s="14">
        <f t="shared" ref="D22:D29" si="5">C22*B22</f>
        <v>159.19752</v>
      </c>
      <c r="S22" s="15"/>
    </row>
    <row r="23" spans="1:19" x14ac:dyDescent="0.25">
      <c r="A23" t="s">
        <v>52</v>
      </c>
      <c r="B23" s="14">
        <v>5500</v>
      </c>
      <c r="C23" s="15">
        <v>3.4000000000000002E-2</v>
      </c>
      <c r="D23" s="14">
        <f t="shared" si="5"/>
        <v>187</v>
      </c>
    </row>
    <row r="24" spans="1:19" x14ac:dyDescent="0.25">
      <c r="A24" t="s">
        <v>53</v>
      </c>
      <c r="B24" s="14">
        <v>2219.64</v>
      </c>
      <c r="C24" s="15">
        <v>6.8000000000000005E-2</v>
      </c>
      <c r="D24" s="14">
        <f t="shared" si="5"/>
        <v>150.93552</v>
      </c>
    </row>
    <row r="25" spans="1:19" x14ac:dyDescent="0.25">
      <c r="A25" t="s">
        <v>52</v>
      </c>
      <c r="B25" s="14">
        <v>2796.61</v>
      </c>
      <c r="C25" s="15">
        <v>3.4000000000000002E-2</v>
      </c>
      <c r="D25" s="14">
        <f t="shared" si="5"/>
        <v>95.084740000000011</v>
      </c>
    </row>
    <row r="26" spans="1:19" x14ac:dyDescent="0.25">
      <c r="A26" t="s">
        <v>53</v>
      </c>
      <c r="B26" s="14">
        <v>1055.45</v>
      </c>
      <c r="C26" s="15">
        <v>6.8000000000000005E-2</v>
      </c>
      <c r="D26" s="14">
        <f t="shared" si="5"/>
        <v>71.770600000000002</v>
      </c>
    </row>
    <row r="27" spans="1:19" x14ac:dyDescent="0.25">
      <c r="A27" t="s">
        <v>53</v>
      </c>
      <c r="B27" s="14">
        <v>20500</v>
      </c>
      <c r="C27" s="15">
        <v>5.4100000000000002E-2</v>
      </c>
      <c r="D27" s="14">
        <f t="shared" si="5"/>
        <v>1109.05</v>
      </c>
    </row>
    <row r="28" spans="1:19" x14ac:dyDescent="0.25">
      <c r="A28" t="s">
        <v>53</v>
      </c>
      <c r="B28" s="14">
        <v>20500</v>
      </c>
      <c r="C28" s="15">
        <v>6.2100000000000002E-2</v>
      </c>
      <c r="D28" s="14">
        <f t="shared" si="5"/>
        <v>1273.05</v>
      </c>
    </row>
    <row r="29" spans="1:19" x14ac:dyDescent="0.25">
      <c r="A29" t="s">
        <v>53</v>
      </c>
      <c r="B29" s="14">
        <v>10250</v>
      </c>
      <c r="C29" s="15">
        <v>5.8400000000000001E-2</v>
      </c>
      <c r="D29" s="14">
        <f t="shared" si="5"/>
        <v>598.6</v>
      </c>
    </row>
    <row r="30" spans="1:19" x14ac:dyDescent="0.25">
      <c r="A30" s="2" t="s">
        <v>60</v>
      </c>
      <c r="B30" s="14">
        <f>SUM(B21:B29)</f>
        <v>69662.84</v>
      </c>
      <c r="D30" s="14">
        <f>SUM(D21:D29)</f>
        <v>3847.1883800000001</v>
      </c>
    </row>
    <row r="31" spans="1:19" x14ac:dyDescent="0.25">
      <c r="B31" t="s">
        <v>54</v>
      </c>
      <c r="C31">
        <f>D30/B30</f>
        <v>5.522583317016648E-2</v>
      </c>
    </row>
    <row r="33" spans="1:20" x14ac:dyDescent="0.25">
      <c r="A33" t="s">
        <v>56</v>
      </c>
    </row>
    <row r="34" spans="1:20" x14ac:dyDescent="0.25">
      <c r="A34" t="s">
        <v>57</v>
      </c>
      <c r="B34" t="s">
        <v>58</v>
      </c>
      <c r="C34" t="s">
        <v>51</v>
      </c>
    </row>
    <row r="35" spans="1:20" x14ac:dyDescent="0.25">
      <c r="A35" s="14">
        <v>5500</v>
      </c>
      <c r="B35" s="14">
        <v>4368.74</v>
      </c>
      <c r="C35" s="15">
        <v>3.4000000000000002E-2</v>
      </c>
      <c r="D35" s="14">
        <f>C35*B35</f>
        <v>148.53716</v>
      </c>
    </row>
    <row r="36" spans="1:20" x14ac:dyDescent="0.25">
      <c r="A36" s="14">
        <v>2000</v>
      </c>
      <c r="B36" s="14">
        <v>1656.03</v>
      </c>
      <c r="C36" s="15">
        <v>6.8000000000000005E-2</v>
      </c>
      <c r="D36" s="14">
        <f t="shared" ref="D36:D42" si="6">C36*B36</f>
        <v>112.61004000000001</v>
      </c>
      <c r="T36" s="6"/>
    </row>
    <row r="37" spans="1:20" x14ac:dyDescent="0.25">
      <c r="A37" s="14">
        <v>4500</v>
      </c>
      <c r="B37" s="14">
        <v>3536.13</v>
      </c>
      <c r="C37" s="15">
        <v>3.4000000000000002E-2</v>
      </c>
      <c r="D37" s="14">
        <f t="shared" si="6"/>
        <v>120.22842000000001</v>
      </c>
    </row>
    <row r="38" spans="1:20" x14ac:dyDescent="0.25">
      <c r="A38" s="14">
        <v>3500</v>
      </c>
      <c r="B38" s="14">
        <v>2737.91</v>
      </c>
      <c r="C38" s="15">
        <v>4.4999999999999998E-2</v>
      </c>
      <c r="D38" s="14">
        <f t="shared" si="6"/>
        <v>123.20594999999999</v>
      </c>
    </row>
    <row r="39" spans="1:20" x14ac:dyDescent="0.25">
      <c r="A39" s="14">
        <v>3500</v>
      </c>
      <c r="B39" s="14">
        <v>2641.58</v>
      </c>
      <c r="C39" s="15">
        <v>5.6000000000000001E-2</v>
      </c>
      <c r="D39" s="14">
        <f t="shared" si="6"/>
        <v>147.92848000000001</v>
      </c>
    </row>
    <row r="40" spans="1:20" x14ac:dyDescent="0.25">
      <c r="A40" s="14">
        <v>2000</v>
      </c>
      <c r="B40" s="14">
        <v>1851.37</v>
      </c>
      <c r="C40" s="15">
        <v>6.8000000000000005E-2</v>
      </c>
      <c r="D40" s="14">
        <f t="shared" si="6"/>
        <v>125.89315999999999</v>
      </c>
    </row>
    <row r="41" spans="1:20" x14ac:dyDescent="0.25">
      <c r="A41" s="14">
        <v>1975</v>
      </c>
      <c r="B41" s="14">
        <v>1851.36</v>
      </c>
      <c r="C41" s="15">
        <v>6.8000000000000005E-2</v>
      </c>
      <c r="D41" s="14">
        <f t="shared" si="6"/>
        <v>125.89248000000001</v>
      </c>
    </row>
    <row r="42" spans="1:20" x14ac:dyDescent="0.25">
      <c r="A42" s="14">
        <v>2000</v>
      </c>
      <c r="B42" s="14">
        <v>1767.41</v>
      </c>
      <c r="C42" s="15">
        <v>6.8000000000000005E-2</v>
      </c>
      <c r="D42" s="14">
        <f t="shared" si="6"/>
        <v>120.18388000000002</v>
      </c>
    </row>
    <row r="43" spans="1:20" x14ac:dyDescent="0.25">
      <c r="A43" s="2" t="s">
        <v>60</v>
      </c>
      <c r="B43" s="14">
        <f>SUM(B35:B42)</f>
        <v>20410.53</v>
      </c>
      <c r="D43" s="14">
        <f>SUM(D35:D42)</f>
        <v>1024.47957</v>
      </c>
    </row>
    <row r="44" spans="1:20" x14ac:dyDescent="0.25">
      <c r="B44" t="s">
        <v>54</v>
      </c>
      <c r="C44">
        <f>D43/B43</f>
        <v>5.019367796916592E-2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7" sqref="C7"/>
    </sheetView>
  </sheetViews>
  <sheetFormatPr defaultRowHeight="15" x14ac:dyDescent="0.25"/>
  <cols>
    <col min="1" max="1" width="18.140625" customWidth="1"/>
    <col min="3" max="3" width="9.7109375" bestFit="1" customWidth="1"/>
  </cols>
  <sheetData>
    <row r="1" spans="1:4" x14ac:dyDescent="0.25">
      <c r="A1" t="s">
        <v>39</v>
      </c>
      <c r="B1" t="s">
        <v>117</v>
      </c>
      <c r="C1" t="s">
        <v>118</v>
      </c>
      <c r="D1" t="s">
        <v>17</v>
      </c>
    </row>
    <row r="2" spans="1:4" x14ac:dyDescent="0.25">
      <c r="A2" t="s">
        <v>145</v>
      </c>
      <c r="B2">
        <v>300</v>
      </c>
    </row>
    <row r="3" spans="1:4" x14ac:dyDescent="0.25">
      <c r="A3" t="s">
        <v>116</v>
      </c>
      <c r="B3">
        <v>3500</v>
      </c>
      <c r="C3" s="6">
        <v>42795</v>
      </c>
    </row>
    <row r="4" spans="1:4" x14ac:dyDescent="0.25">
      <c r="A4" t="s">
        <v>119</v>
      </c>
      <c r="B4">
        <v>750</v>
      </c>
      <c r="C4" s="6">
        <v>42705</v>
      </c>
    </row>
    <row r="5" spans="1:4" x14ac:dyDescent="0.25">
      <c r="A5" t="s">
        <v>194</v>
      </c>
    </row>
    <row r="6" spans="1:4" x14ac:dyDescent="0.25">
      <c r="A6" t="s">
        <v>195</v>
      </c>
      <c r="B6">
        <v>1500</v>
      </c>
      <c r="C6" s="13">
        <v>42840</v>
      </c>
      <c r="D6" t="s">
        <v>196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32" sqref="H32"/>
    </sheetView>
  </sheetViews>
  <sheetFormatPr defaultRowHeight="15" x14ac:dyDescent="0.25"/>
  <cols>
    <col min="1" max="1" width="18.42578125" bestFit="1" customWidth="1"/>
    <col min="2" max="2" width="11.7109375" bestFit="1" customWidth="1"/>
    <col min="7" max="7" width="22.5703125" bestFit="1" customWidth="1"/>
  </cols>
  <sheetData>
    <row r="1" spans="1:8" s="1" customFormat="1" x14ac:dyDescent="0.25">
      <c r="A1" s="1" t="s">
        <v>72</v>
      </c>
      <c r="B1" s="1" t="s">
        <v>73</v>
      </c>
      <c r="G1" s="1" t="s">
        <v>67</v>
      </c>
      <c r="H1" s="1" t="s">
        <v>71</v>
      </c>
    </row>
    <row r="2" spans="1:8" x14ac:dyDescent="0.25">
      <c r="A2" t="s">
        <v>68</v>
      </c>
      <c r="B2">
        <v>60</v>
      </c>
      <c r="G2" t="s">
        <v>63</v>
      </c>
      <c r="H2">
        <v>0</v>
      </c>
    </row>
    <row r="3" spans="1:8" x14ac:dyDescent="0.25">
      <c r="A3" t="s">
        <v>62</v>
      </c>
      <c r="B3">
        <v>25</v>
      </c>
      <c r="G3" t="s">
        <v>64</v>
      </c>
      <c r="H3">
        <v>50</v>
      </c>
    </row>
    <row r="4" spans="1:8" x14ac:dyDescent="0.25">
      <c r="A4" t="s">
        <v>61</v>
      </c>
      <c r="B4">
        <v>60</v>
      </c>
      <c r="G4" t="s">
        <v>65</v>
      </c>
      <c r="H4">
        <v>100</v>
      </c>
    </row>
    <row r="5" spans="1:8" x14ac:dyDescent="0.25">
      <c r="A5" t="s">
        <v>69</v>
      </c>
      <c r="B5">
        <v>50</v>
      </c>
      <c r="G5" t="s">
        <v>66</v>
      </c>
      <c r="H5">
        <v>-100</v>
      </c>
    </row>
    <row r="6" spans="1:8" x14ac:dyDescent="0.25">
      <c r="A6" t="s">
        <v>70</v>
      </c>
      <c r="B6">
        <v>50</v>
      </c>
    </row>
    <row r="7" spans="1:8" x14ac:dyDescent="0.25">
      <c r="A7" t="s">
        <v>74</v>
      </c>
      <c r="B7">
        <v>2500</v>
      </c>
      <c r="G7" t="s">
        <v>120</v>
      </c>
    </row>
    <row r="8" spans="1:8" x14ac:dyDescent="0.25">
      <c r="A8" t="s">
        <v>75</v>
      </c>
      <c r="B8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Monthly Budget</vt:lpstr>
      <vt:lpstr>Factor Ledger</vt:lpstr>
      <vt:lpstr>Factor Aggregation</vt:lpstr>
      <vt:lpstr>Stock Budget</vt:lpstr>
      <vt:lpstr>Yearly Budget</vt:lpstr>
      <vt:lpstr>Savings Plan</vt:lpstr>
      <vt:lpstr>Events Plan</vt:lpstr>
      <vt:lpstr>Incentives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2017-03-04T18:01:22Z</dcterms:modified>
</cp:coreProperties>
</file>