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240" yWindow="105" windowWidth="14805" windowHeight="7575" activeTab="3"/>
  </bookViews>
  <sheets>
    <sheet name="Monthly Budget" sheetId="1" r:id="rId1"/>
    <sheet name="Factor Ledger" sheetId="8" r:id="rId2"/>
    <sheet name="Factor Aggregation" sheetId="9" r:id="rId3"/>
    <sheet name="Stock Budget" sheetId="3" r:id="rId4"/>
    <sheet name="Yearly Budget" sheetId="2" r:id="rId5"/>
    <sheet name="Savings Plan" sheetId="5" r:id="rId6"/>
    <sheet name="Events Plan" sheetId="6" r:id="rId7"/>
    <sheet name="Incentives Plan" sheetId="7" r:id="rId8"/>
  </sheets>
  <definedNames>
    <definedName name="cards" localSheetId="1">'Factor Ledger'!$C$63</definedName>
    <definedName name="cards_clear" localSheetId="1">'Factor Ledger'!$E$63</definedName>
    <definedName name="cards_expand_transaction_arrow" localSheetId="1">'Factor Ledger'!#REF!</definedName>
  </definedNames>
  <calcPr calcId="171027"/>
</workbook>
</file>

<file path=xl/calcChain.xml><?xml version="1.0" encoding="utf-8"?>
<calcChain xmlns="http://schemas.openxmlformats.org/spreadsheetml/2006/main">
  <c r="A20" i="9" l="1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32" i="1" l="1"/>
  <c r="F11" i="1"/>
  <c r="G24" i="1"/>
  <c r="F12" i="5" l="1"/>
  <c r="G12" i="5"/>
  <c r="H12" i="5" s="1"/>
  <c r="I12" i="5"/>
  <c r="J12" i="5" s="1"/>
  <c r="F3" i="1" l="1"/>
  <c r="G3" i="1" s="1"/>
  <c r="F4" i="1"/>
  <c r="G4" i="1" s="1"/>
  <c r="D66" i="1" l="1"/>
  <c r="G29" i="1"/>
  <c r="I3" i="5" l="1"/>
  <c r="J3" i="5" s="1"/>
  <c r="I4" i="5"/>
  <c r="J4" i="5" s="1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3" i="5"/>
  <c r="J13" i="5" s="1"/>
  <c r="I2" i="5"/>
  <c r="J2" i="5" s="1"/>
  <c r="G3" i="5"/>
  <c r="G4" i="5"/>
  <c r="G5" i="5"/>
  <c r="G6" i="5"/>
  <c r="H6" i="5" s="1"/>
  <c r="G7" i="5"/>
  <c r="G8" i="5"/>
  <c r="G9" i="5"/>
  <c r="H9" i="5" s="1"/>
  <c r="G10" i="5"/>
  <c r="H10" i="5" s="1"/>
  <c r="G11" i="5"/>
  <c r="G13" i="5"/>
  <c r="H13" i="5" s="1"/>
  <c r="H5" i="5"/>
  <c r="F13" i="5"/>
  <c r="H11" i="5" l="1"/>
  <c r="H8" i="5"/>
  <c r="H4" i="5"/>
  <c r="H7" i="5"/>
  <c r="H3" i="5"/>
  <c r="E14" i="5"/>
  <c r="G2" i="5"/>
  <c r="H2" i="5" s="1"/>
  <c r="C66" i="1" l="1"/>
  <c r="F2" i="5"/>
  <c r="F2" i="1"/>
  <c r="G20" i="1" l="1"/>
  <c r="D38" i="1" l="1"/>
  <c r="D40" i="1" s="1"/>
  <c r="E39" i="1"/>
  <c r="E45" i="1"/>
  <c r="E42" i="1"/>
  <c r="E41" i="1"/>
  <c r="E38" i="1"/>
  <c r="D39" i="1" l="1"/>
  <c r="G35" i="1"/>
  <c r="G36" i="1"/>
  <c r="G11" i="1" l="1"/>
  <c r="F5" i="1"/>
  <c r="G5" i="1" s="1"/>
  <c r="F6" i="1"/>
  <c r="G6" i="1" s="1"/>
  <c r="G7" i="1"/>
  <c r="F10" i="1"/>
  <c r="G2" i="1"/>
  <c r="G13" i="1"/>
  <c r="G14" i="1"/>
  <c r="G15" i="1"/>
  <c r="G16" i="1"/>
  <c r="G17" i="1"/>
  <c r="G18" i="1"/>
  <c r="G19" i="1"/>
  <c r="G21" i="1"/>
  <c r="G22" i="1"/>
  <c r="G23" i="1"/>
  <c r="G25" i="1"/>
  <c r="G26" i="1"/>
  <c r="G27" i="1"/>
  <c r="G28" i="1"/>
  <c r="G30" i="1"/>
  <c r="G31" i="1"/>
  <c r="G33" i="1"/>
  <c r="G34" i="1"/>
  <c r="G37" i="1"/>
  <c r="F11" i="5"/>
  <c r="F45" i="1" l="1"/>
  <c r="F38" i="1"/>
  <c r="I45" i="1"/>
  <c r="F41" i="1" l="1"/>
  <c r="F40" i="1"/>
  <c r="F39" i="1"/>
  <c r="F42" i="1"/>
  <c r="D42" i="1"/>
  <c r="G38" i="1"/>
  <c r="D41" i="1"/>
  <c r="G39" i="1" l="1"/>
  <c r="G41" i="1"/>
  <c r="G40" i="1"/>
  <c r="G42" i="1"/>
  <c r="E66" i="1"/>
  <c r="D50" i="1" l="1"/>
  <c r="F9" i="5"/>
  <c r="F10" i="5"/>
  <c r="F8" i="5"/>
  <c r="G8" i="1" l="1"/>
  <c r="G9" i="1"/>
  <c r="G10" i="1"/>
  <c r="C25" i="3"/>
  <c r="D25" i="3"/>
  <c r="E50" i="1" l="1"/>
  <c r="G45" i="1"/>
  <c r="E57" i="1" s="1"/>
  <c r="D45" i="1"/>
  <c r="K5" i="2"/>
  <c r="L5" i="2"/>
  <c r="K4" i="2"/>
  <c r="L4" i="2" s="1"/>
  <c r="K6" i="2"/>
  <c r="L6" i="2" s="1"/>
  <c r="K3" i="2"/>
  <c r="L3" i="2" s="1"/>
  <c r="J2" i="2"/>
  <c r="K2" i="2" s="1"/>
  <c r="L2" i="2" s="1"/>
  <c r="E4" i="2"/>
  <c r="E6" i="2" s="1"/>
  <c r="E7" i="2" s="1"/>
  <c r="E8" i="2" s="1"/>
  <c r="E9" i="2" s="1"/>
  <c r="E10" i="2" s="1"/>
  <c r="E11" i="2" s="1"/>
  <c r="E12" i="2" s="1"/>
  <c r="E13" i="2" s="1"/>
  <c r="E2" i="2"/>
  <c r="E49" i="1" l="1"/>
  <c r="G46" i="1"/>
  <c r="E58" i="1" s="1"/>
  <c r="D49" i="1"/>
  <c r="F50" i="1"/>
  <c r="C50" i="1" s="1"/>
  <c r="F4" i="5"/>
  <c r="F5" i="5"/>
  <c r="F6" i="5"/>
  <c r="F7" i="5"/>
  <c r="F3" i="5"/>
  <c r="E25" i="3"/>
  <c r="C49" i="1" l="1"/>
  <c r="B45" i="5"/>
  <c r="D38" i="5"/>
  <c r="D39" i="5"/>
  <c r="D40" i="5"/>
  <c r="D41" i="5"/>
  <c r="D42" i="5"/>
  <c r="D43" i="5"/>
  <c r="D44" i="5"/>
  <c r="D37" i="5"/>
  <c r="D24" i="5"/>
  <c r="D25" i="5"/>
  <c r="D26" i="5"/>
  <c r="D27" i="5"/>
  <c r="D28" i="5"/>
  <c r="D29" i="5"/>
  <c r="D30" i="5"/>
  <c r="D31" i="5"/>
  <c r="B32" i="5"/>
  <c r="D23" i="5"/>
  <c r="D45" i="5" l="1"/>
  <c r="C46" i="5" s="1"/>
  <c r="D32" i="5"/>
  <c r="C33" i="5" s="1"/>
  <c r="E26" i="3" l="1"/>
  <c r="E27" i="3" s="1"/>
</calcChain>
</file>

<file path=xl/sharedStrings.xml><?xml version="1.0" encoding="utf-8"?>
<sst xmlns="http://schemas.openxmlformats.org/spreadsheetml/2006/main" count="565" uniqueCount="208">
  <si>
    <t>Car Insurance</t>
  </si>
  <si>
    <t>Guardian</t>
  </si>
  <si>
    <t>Onelife</t>
  </si>
  <si>
    <t>Verizon</t>
  </si>
  <si>
    <t>SMECO</t>
  </si>
  <si>
    <t>AT&amp;T</t>
  </si>
  <si>
    <t>School Parking</t>
  </si>
  <si>
    <t>Period</t>
  </si>
  <si>
    <t>Income</t>
  </si>
  <si>
    <t>Event</t>
  </si>
  <si>
    <t>John Check</t>
  </si>
  <si>
    <t>Tina Check</t>
  </si>
  <si>
    <t>Total</t>
  </si>
  <si>
    <t>Expense</t>
  </si>
  <si>
    <t>Notes</t>
  </si>
  <si>
    <t>Gas</t>
  </si>
  <si>
    <t>Food</t>
  </si>
  <si>
    <t>Spending</t>
  </si>
  <si>
    <t>Hygiene</t>
  </si>
  <si>
    <t>Clothes</t>
  </si>
  <si>
    <t>Regular</t>
  </si>
  <si>
    <t>Liability</t>
  </si>
  <si>
    <t>Item Name</t>
  </si>
  <si>
    <t>Checking</t>
  </si>
  <si>
    <t>Petty Cash</t>
  </si>
  <si>
    <t>Gift Cards</t>
  </si>
  <si>
    <t>Mortgage</t>
  </si>
  <si>
    <t>Bob's</t>
  </si>
  <si>
    <t>Federal</t>
  </si>
  <si>
    <t>Liquid Assets</t>
  </si>
  <si>
    <t>Illiquid Assets</t>
  </si>
  <si>
    <t>Tina's Car</t>
  </si>
  <si>
    <t>John's Car</t>
  </si>
  <si>
    <t>Total Assets</t>
  </si>
  <si>
    <t>Item</t>
  </si>
  <si>
    <t>Risk</t>
  </si>
  <si>
    <t>DirectTV</t>
  </si>
  <si>
    <t>Week</t>
  </si>
  <si>
    <t>All, Split</t>
  </si>
  <si>
    <t>Week 3</t>
  </si>
  <si>
    <t>Week 2</t>
  </si>
  <si>
    <t>Week 4</t>
  </si>
  <si>
    <t>Week 1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</si>
  <si>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</si>
  <si>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</si>
  <si>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</si>
  <si>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</si>
  <si>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</si>
  <si>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</si>
  <si>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</si>
  <si>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</si>
  <si>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</si>
  <si>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</si>
  <si>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</si>
  <si>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</si>
  <si>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</si>
  <si>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</si>
  <si>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</si>
  <si>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</si>
  <si>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</si>
  <si>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</si>
  <si>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</si>
  <si>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</si>
  <si>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</si>
  <si>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</si>
  <si>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</si>
  <si>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</si>
  <si>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</si>
  <si>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</si>
  <si>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</si>
  <si>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</si>
  <si>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Net Assets = Net Worth</t>
  </si>
  <si>
    <t>Actual Net Worth</t>
  </si>
  <si>
    <t>Expected Net Worth (1st of Month)</t>
  </si>
  <si>
    <t>Dry Cleaning</t>
  </si>
  <si>
    <t>Non-Loan School Debt</t>
  </si>
  <si>
    <t>Goodyear</t>
  </si>
  <si>
    <t>Maybe substitute netflix + 5 CBS All Access kind of things if it keeps going up</t>
  </si>
  <si>
    <t>Paid</t>
  </si>
  <si>
    <t>Holt International</t>
  </si>
  <si>
    <t>Regular, Valentine's</t>
  </si>
  <si>
    <t>Regular, New Year's</t>
  </si>
  <si>
    <t>Regular, John's Bday</t>
  </si>
  <si>
    <t>Regular, Christmas</t>
  </si>
  <si>
    <t>Regular, Tina's Birthday</t>
  </si>
  <si>
    <t>Regular, 5 Pay Weeks</t>
  </si>
  <si>
    <t>Regular, Spring Break / Anniversary, Taxes, 5 Pay Weeks</t>
  </si>
  <si>
    <t>Misc Differences (See Notes)</t>
  </si>
  <si>
    <t>Bitcoin, Other</t>
  </si>
  <si>
    <t>401(k) - Tina</t>
  </si>
  <si>
    <t>Other Investment</t>
  </si>
  <si>
    <t>Average Expected Net Monthly Income</t>
  </si>
  <si>
    <t>Expected Months to Wash</t>
  </si>
  <si>
    <t>Expected Years to Wash</t>
  </si>
  <si>
    <t>Goal years to wash = 7</t>
  </si>
  <si>
    <t>hypothetical</t>
  </si>
  <si>
    <t>Tithe</t>
  </si>
  <si>
    <t>Autopay</t>
  </si>
  <si>
    <t>Yes</t>
  </si>
  <si>
    <t>Total Liability</t>
  </si>
  <si>
    <t>No</t>
  </si>
  <si>
    <t>"georgetown valet"</t>
  </si>
  <si>
    <t>Bank Search Strings</t>
  </si>
  <si>
    <t>"friendly", "sunoco", "shell"</t>
  </si>
  <si>
    <t>Betterment</t>
  </si>
  <si>
    <t>CareCredit</t>
  </si>
  <si>
    <t>GoodYear</t>
  </si>
  <si>
    <t>Ireland Trip</t>
  </si>
  <si>
    <t>Budget</t>
  </si>
  <si>
    <t>Expected Date</t>
  </si>
  <si>
    <t>Get Tina's New Car</t>
  </si>
  <si>
    <t>Goal: Debt free in 7 Years!</t>
  </si>
  <si>
    <t>Each Week</t>
  </si>
  <si>
    <t>Washington Gas</t>
  </si>
  <si>
    <t>Tina's BOA</t>
  </si>
  <si>
    <t>John's BOA</t>
  </si>
  <si>
    <t>John BOA Credit</t>
  </si>
  <si>
    <t>Tina BOA Credit</t>
  </si>
  <si>
    <t>Net Remaining MTD</t>
  </si>
  <si>
    <t>Net Weekly</t>
  </si>
  <si>
    <t>Monthly Cash Flow</t>
  </si>
  <si>
    <t>Goals Spending</t>
  </si>
  <si>
    <t>Slipjack Utilities: Water and Sewer</t>
  </si>
  <si>
    <t>Regular, Slipjack</t>
  </si>
  <si>
    <t>HOA</t>
  </si>
  <si>
    <t>Austin Stone / JT Baer</t>
  </si>
  <si>
    <t>Blue Apron</t>
  </si>
  <si>
    <t>TAX DEDUCTIBLE</t>
  </si>
  <si>
    <t>Totals</t>
  </si>
  <si>
    <t>Student Loans - John Total</t>
  </si>
  <si>
    <t>Student Loans - Tina Total</t>
  </si>
  <si>
    <t>UPDATE</t>
  </si>
  <si>
    <t>Total Days this month</t>
  </si>
  <si>
    <t>Days Elapsed this month</t>
  </si>
  <si>
    <t>Thanksgiving</t>
  </si>
  <si>
    <t>Sanity Checks</t>
  </si>
  <si>
    <t>MTD Remaining Cash Flow</t>
  </si>
  <si>
    <t>Factor</t>
  </si>
  <si>
    <t>Month</t>
  </si>
  <si>
    <t>Value</t>
  </si>
  <si>
    <t>Keyword</t>
  </si>
  <si>
    <t>Date</t>
  </si>
  <si>
    <t>SUNOCO</t>
  </si>
  <si>
    <t>SHELL</t>
  </si>
  <si>
    <t>Value validated 9/26</t>
  </si>
  <si>
    <t>Gateway Lending (Car Payment)</t>
  </si>
  <si>
    <t>low</t>
  </si>
  <si>
    <t>Tina Mom Student Loans</t>
  </si>
  <si>
    <t>Investing is a different animal than paying off bills; don't directly compare this line to bills</t>
  </si>
  <si>
    <t>Savings</t>
  </si>
  <si>
    <t>^whats going on there idk</t>
  </si>
  <si>
    <t>Time to Parity</t>
  </si>
  <si>
    <t>Weighted Time to Parity</t>
  </si>
  <si>
    <t>Student Loan Microdata</t>
  </si>
  <si>
    <t>Weighted Time Debt</t>
  </si>
  <si>
    <t>Cash Flow-to-Debt</t>
  </si>
  <si>
    <t>Janky Debt</t>
  </si>
  <si>
    <t>Fictional</t>
  </si>
  <si>
    <t>Choose Lowest - Principle/Interest-Ignorant</t>
  </si>
  <si>
    <t>Janky Parity</t>
  </si>
  <si>
    <t>Account Value (Absolute Value)</t>
  </si>
  <si>
    <t>Cash Flow / Monthly Account Expenditure</t>
  </si>
  <si>
    <t>Use the monthly amount paid in to a preferred stock account, not the dividend income.</t>
  </si>
  <si>
    <t>Student Loans (Tina's Mom Account)</t>
  </si>
  <si>
    <t>Student Loans (Tina's Account)</t>
  </si>
  <si>
    <t>Tina Student Loans*</t>
  </si>
  <si>
    <t>*Written rate is the average, but loan is graduated; some subaccounts 3.4 - 6.8</t>
  </si>
  <si>
    <t>Current Checking</t>
  </si>
  <si>
    <t>MAKE AUTOPAY, WRONG WEEK, owe ~$300</t>
  </si>
  <si>
    <t>Cash Needed Until End of Month 1 Cell Below</t>
  </si>
  <si>
    <t>Checking Net Plans</t>
  </si>
  <si>
    <t>two cells to the left should both = 0</t>
  </si>
  <si>
    <t>Stock Loss</t>
  </si>
  <si>
    <t>Deduct this line item from Goals and Investments; Hopefully a negative number…it is AKA cash flow and represents the increase in your total wealth over the budgeted period</t>
  </si>
  <si>
    <t>Cash</t>
  </si>
  <si>
    <t>Before Budget</t>
  </si>
  <si>
    <t>Change</t>
  </si>
  <si>
    <t>After Budget</t>
  </si>
  <si>
    <t>maybe should be "cash on hand" eg to include actual cash in your wallet, etc</t>
  </si>
  <si>
    <t>Eg Savings account, money market…maybe create new line item for lines of credit</t>
  </si>
  <si>
    <t>Eg index fund and other securities</t>
  </si>
  <si>
    <t>Anniversary Cruise/Vacation</t>
  </si>
  <si>
    <t>3 Day Cove Haven Vacation</t>
  </si>
  <si>
    <t>Get the champaign tower</t>
  </si>
  <si>
    <t>Dining Out</t>
  </si>
  <si>
    <t>Spendable Money</t>
  </si>
  <si>
    <t>401(k) - John - SAIC</t>
  </si>
  <si>
    <t>John Car / Gateway Lending</t>
  </si>
  <si>
    <t>Payoff higher improves cash flow</t>
  </si>
  <si>
    <t>Payoff lower sooner, can cause snowball</t>
  </si>
  <si>
    <t>Smaller balances cash flow and interest benefits</t>
  </si>
  <si>
    <t>Smaller balances cash flow and interest benefits, allows 0 rate and cash flow comparison; ordinal comparison not cardinal</t>
  </si>
  <si>
    <t>0 UNTIL AUG/SEP, THEN UPDATE</t>
  </si>
  <si>
    <t>Netflix</t>
  </si>
  <si>
    <t>CITGO</t>
  </si>
  <si>
    <t>Home Value*</t>
  </si>
  <si>
    <t>*Below 5 Values Found on 3/25</t>
  </si>
  <si>
    <t>Redfin</t>
  </si>
  <si>
    <t>Zillow</t>
  </si>
  <si>
    <t>361k</t>
  </si>
  <si>
    <t>354k</t>
  </si>
  <si>
    <t>Remax</t>
  </si>
  <si>
    <t>365k</t>
  </si>
  <si>
    <t>Realtor</t>
  </si>
  <si>
    <t>387k</t>
  </si>
  <si>
    <t>375k</t>
  </si>
  <si>
    <t>Chase</t>
  </si>
  <si>
    <t>Range of 347-424k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</si>
</sst>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  <xf numFmtId="17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0" xfId="0" applyNumberFormat="1" applyFont="1" applyBorder="1"/>
    <xf numFmtId="0" fontId="1" fillId="0" borderId="1" xfId="0" applyNumberFormat="1" applyFont="1" applyBorder="1"/>
    <xf numFmtId="0" fontId="0" fillId="0" borderId="0" xfId="0" applyNumberFormat="1" applyFont="1" applyFill="1" applyBorder="1"/>
    <xf numFmtId="0" fontId="0" fillId="0" borderId="4" xfId="0" applyFont="1" applyBorder="1"/>
    <xf numFmtId="0" fontId="0" fillId="0" borderId="0" xfId="0" applyFont="1" applyAlignment="1"/>
    <xf numFmtId="16" fontId="0" fillId="0" borderId="0" xfId="0" applyNumberFormat="1" applyFont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2" fontId="0" fillId="0" borderId="0" xfId="0" applyNumberFormat="1"/>
    <xf numFmtId="0" fontId="1" fillId="0" borderId="0" xfId="0" applyFont="1" applyBorder="1"/>
    <xf numFmtId="0" fontId="0" fillId="0" borderId="3" xfId="0" applyBorder="1"/>
    <xf numFmtId="0" fontId="0" fillId="0" borderId="1" xfId="0" applyBorder="1"/>
    <xf numFmtId="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zoomScaleNormal="100" workbookViewId="0">
      <selection activeCell="L17" sqref="L17"/>
    </sheetView>
  </sheetViews>
  <sheetFormatPr defaultRowHeight="15" x14ac:dyDescent="0.25"/>
  <cols>
    <col min="1" max="1" width="11.5703125" bestFit="1" customWidth="1"/>
    <col min="2" max="2" width="16.140625" customWidth="1"/>
    <col min="3" max="3" width="32.42578125" bestFit="1" customWidth="1"/>
    <col min="5" max="5" width="11.140625" bestFit="1" customWidth="1"/>
    <col min="7" max="7" width="19" bestFit="1" customWidth="1"/>
    <col min="9" max="9" width="12.85546875" bestFit="1" customWidth="1"/>
    <col min="10" max="10" width="18.7109375" customWidth="1"/>
    <col min="16" max="16" width="10" customWidth="1"/>
  </cols>
  <sheetData>
    <row r="1" spans="1:22" s="1" customFormat="1" x14ac:dyDescent="0.25">
      <c r="A1" s="1" t="s">
        <v>7</v>
      </c>
      <c r="B1" s="1" t="s">
        <v>37</v>
      </c>
      <c r="C1" s="1" t="s">
        <v>137</v>
      </c>
      <c r="D1" s="1" t="s">
        <v>13</v>
      </c>
      <c r="E1" s="1" t="s">
        <v>8</v>
      </c>
      <c r="F1" s="1" t="s">
        <v>78</v>
      </c>
      <c r="G1" s="1" t="s">
        <v>118</v>
      </c>
      <c r="H1" s="1" t="s">
        <v>97</v>
      </c>
      <c r="I1" s="1" t="s">
        <v>99</v>
      </c>
      <c r="J1" s="1" t="s">
        <v>102</v>
      </c>
      <c r="K1" s="1" t="s">
        <v>14</v>
      </c>
    </row>
    <row r="2" spans="1:22" s="3" customFormat="1" x14ac:dyDescent="0.25">
      <c r="A2" s="11"/>
      <c r="B2" s="11" t="s">
        <v>38</v>
      </c>
      <c r="C2" s="3" t="s">
        <v>15</v>
      </c>
      <c r="D2" s="3">
        <v>-165</v>
      </c>
      <c r="F2" s="3">
        <f>($E$54/$E$53)*D2*-1</f>
        <v>93.5</v>
      </c>
      <c r="G2" s="3">
        <f t="shared" ref="G2:G33" si="0">SUM(D2:F2)</f>
        <v>-71.5</v>
      </c>
      <c r="H2" s="3" t="s">
        <v>100</v>
      </c>
      <c r="J2" s="3" t="s">
        <v>103</v>
      </c>
      <c r="K2" s="3" t="s">
        <v>144</v>
      </c>
    </row>
    <row r="3" spans="1:22" s="3" customFormat="1" x14ac:dyDescent="0.25">
      <c r="A3" s="11"/>
      <c r="B3" s="11" t="s">
        <v>38</v>
      </c>
      <c r="C3" s="3" t="s">
        <v>184</v>
      </c>
      <c r="D3" s="3">
        <v>-300</v>
      </c>
      <c r="F3" s="3">
        <f>($E$54/$E$53)*D3*-1</f>
        <v>170</v>
      </c>
      <c r="G3" s="3">
        <f t="shared" si="0"/>
        <v>-130</v>
      </c>
      <c r="H3" s="3" t="s">
        <v>100</v>
      </c>
    </row>
    <row r="4" spans="1:22" s="3" customFormat="1" x14ac:dyDescent="0.25">
      <c r="A4" s="11"/>
      <c r="B4" s="11" t="s">
        <v>38</v>
      </c>
      <c r="C4" s="3" t="s">
        <v>16</v>
      </c>
      <c r="D4" s="3">
        <v>-500</v>
      </c>
      <c r="F4" s="3">
        <f>($E$54/$E$53)*D4*-1</f>
        <v>283.33333333333331</v>
      </c>
      <c r="G4" s="3">
        <f t="shared" si="0"/>
        <v>-216.66666666666669</v>
      </c>
      <c r="H4" s="3" t="s">
        <v>100</v>
      </c>
    </row>
    <row r="5" spans="1:22" s="3" customFormat="1" x14ac:dyDescent="0.25">
      <c r="A5" s="11"/>
      <c r="B5" s="11" t="s">
        <v>38</v>
      </c>
      <c r="C5" s="3" t="s">
        <v>17</v>
      </c>
      <c r="D5" s="3">
        <v>-400</v>
      </c>
      <c r="F5" s="3">
        <f>($E$54/$E$53)*D5*-1</f>
        <v>226.66666666666666</v>
      </c>
      <c r="G5" s="3">
        <f t="shared" si="0"/>
        <v>-173.33333333333334</v>
      </c>
      <c r="H5" s="3" t="s">
        <v>100</v>
      </c>
    </row>
    <row r="6" spans="1:22" s="3" customFormat="1" x14ac:dyDescent="0.25">
      <c r="A6" s="11"/>
      <c r="B6" s="11" t="s">
        <v>38</v>
      </c>
      <c r="C6" s="5" t="s">
        <v>18</v>
      </c>
      <c r="D6" s="3">
        <v>-100</v>
      </c>
      <c r="F6" s="3">
        <f>($E$54/$E$53)*D6*-1</f>
        <v>56.666666666666664</v>
      </c>
      <c r="G6" s="3">
        <f t="shared" si="0"/>
        <v>-43.333333333333336</v>
      </c>
      <c r="H6" s="5" t="s">
        <v>100</v>
      </c>
    </row>
    <row r="7" spans="1:22" s="3" customFormat="1" x14ac:dyDescent="0.25">
      <c r="A7" s="11"/>
      <c r="B7" s="11" t="s">
        <v>38</v>
      </c>
      <c r="C7" s="5" t="s">
        <v>19</v>
      </c>
      <c r="D7" s="3">
        <v>-300</v>
      </c>
      <c r="F7" s="3">
        <v>70</v>
      </c>
      <c r="G7" s="3">
        <f t="shared" si="0"/>
        <v>-230</v>
      </c>
      <c r="H7" s="5" t="s">
        <v>100</v>
      </c>
    </row>
    <row r="8" spans="1:22" s="3" customFormat="1" x14ac:dyDescent="0.25">
      <c r="A8" s="12"/>
      <c r="B8" s="13" t="s">
        <v>38</v>
      </c>
      <c r="C8" t="s">
        <v>6</v>
      </c>
      <c r="D8">
        <v>-180</v>
      </c>
      <c r="E8"/>
      <c r="F8" s="3">
        <v>180</v>
      </c>
      <c r="G8" s="3">
        <f t="shared" si="0"/>
        <v>0</v>
      </c>
      <c r="H8" t="s">
        <v>100</v>
      </c>
      <c r="I8"/>
      <c r="J8" s="26"/>
      <c r="K8" s="26" t="s">
        <v>192</v>
      </c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1:22" s="3" customFormat="1" x14ac:dyDescent="0.25">
      <c r="A9" s="13"/>
      <c r="B9" s="13" t="s">
        <v>38</v>
      </c>
      <c r="C9" t="s">
        <v>126</v>
      </c>
      <c r="D9">
        <v>-240</v>
      </c>
      <c r="E9"/>
      <c r="F9" s="3">
        <v>240</v>
      </c>
      <c r="G9" s="5">
        <f t="shared" si="0"/>
        <v>0</v>
      </c>
      <c r="H9" t="s">
        <v>98</v>
      </c>
      <c r="I9"/>
      <c r="J9"/>
      <c r="K9"/>
      <c r="L9"/>
      <c r="M9"/>
      <c r="N9"/>
      <c r="O9"/>
      <c r="P9"/>
      <c r="Q9"/>
      <c r="R9"/>
      <c r="S9"/>
      <c r="T9"/>
      <c r="U9"/>
    </row>
    <row r="10" spans="1:22" s="4" customFormat="1" x14ac:dyDescent="0.25">
      <c r="A10" s="13"/>
      <c r="B10" s="13" t="s">
        <v>38</v>
      </c>
      <c r="C10" t="s">
        <v>74</v>
      </c>
      <c r="D10">
        <v>-85</v>
      </c>
      <c r="E10"/>
      <c r="F10" s="3">
        <f>($E$54/$E$53)*D10*-1</f>
        <v>48.166666666666664</v>
      </c>
      <c r="G10" s="3">
        <f t="shared" si="0"/>
        <v>-36.833333333333336</v>
      </c>
      <c r="H10" t="s">
        <v>100</v>
      </c>
      <c r="I10"/>
      <c r="J10" t="s">
        <v>101</v>
      </c>
      <c r="K10"/>
      <c r="L10"/>
      <c r="M10"/>
      <c r="N10"/>
      <c r="O10"/>
      <c r="P10"/>
      <c r="Q10"/>
      <c r="R10"/>
      <c r="S10"/>
      <c r="T10"/>
      <c r="U10"/>
      <c r="V10" s="26"/>
    </row>
    <row r="11" spans="1:22" s="4" customFormat="1" x14ac:dyDescent="0.25">
      <c r="A11" s="13"/>
      <c r="B11" s="13" t="s">
        <v>38</v>
      </c>
      <c r="C11" t="s">
        <v>96</v>
      </c>
      <c r="D11">
        <v>-260</v>
      </c>
      <c r="E11"/>
      <c r="F11" s="3">
        <f>($E$54/$E$53)*D11*-1</f>
        <v>147.33333333333334</v>
      </c>
      <c r="G11" s="3">
        <f t="shared" si="0"/>
        <v>-112.66666666666666</v>
      </c>
      <c r="H11" t="s">
        <v>98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 s="26"/>
    </row>
    <row r="12" spans="1:22" s="4" customFormat="1" x14ac:dyDescent="0.25">
      <c r="A12" s="13"/>
      <c r="B12" s="13"/>
      <c r="C12"/>
      <c r="D12"/>
      <c r="E12"/>
      <c r="F12" s="3"/>
      <c r="G12" s="3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 s="26"/>
    </row>
    <row r="13" spans="1:22" s="4" customFormat="1" x14ac:dyDescent="0.25">
      <c r="A13" s="13">
        <v>1</v>
      </c>
      <c r="B13" s="13" t="s">
        <v>42</v>
      </c>
      <c r="C13" t="s">
        <v>26</v>
      </c>
      <c r="D13">
        <v>-2400</v>
      </c>
      <c r="E13"/>
      <c r="F13" s="4">
        <v>2400</v>
      </c>
      <c r="G13" s="3">
        <f t="shared" si="0"/>
        <v>0</v>
      </c>
      <c r="H13" s="4" t="s">
        <v>100</v>
      </c>
      <c r="I13">
        <v>365000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s="4" customFormat="1" x14ac:dyDescent="0.25">
      <c r="A14" s="13">
        <v>5</v>
      </c>
      <c r="B14" s="13" t="s">
        <v>42</v>
      </c>
      <c r="C14" t="s">
        <v>2</v>
      </c>
      <c r="D14">
        <v>-80</v>
      </c>
      <c r="E14"/>
      <c r="F14" s="4">
        <v>80</v>
      </c>
      <c r="G14" s="3">
        <f t="shared" si="0"/>
        <v>0</v>
      </c>
      <c r="H14" t="s">
        <v>98</v>
      </c>
      <c r="I14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x14ac:dyDescent="0.25">
      <c r="A15" s="11"/>
      <c r="B15" s="24" t="s">
        <v>40</v>
      </c>
      <c r="C15" s="5" t="s">
        <v>113</v>
      </c>
      <c r="D15" s="5">
        <v>-25</v>
      </c>
      <c r="E15" s="3"/>
      <c r="F15" s="5">
        <v>25</v>
      </c>
      <c r="G15" s="3">
        <f t="shared" si="0"/>
        <v>0</v>
      </c>
      <c r="H15" s="5" t="s">
        <v>100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26"/>
    </row>
    <row r="16" spans="1:22" x14ac:dyDescent="0.25">
      <c r="A16" s="10">
        <v>13</v>
      </c>
      <c r="B16" s="10" t="s">
        <v>40</v>
      </c>
      <c r="C16" s="4" t="s">
        <v>0</v>
      </c>
      <c r="D16" s="4">
        <v>-180</v>
      </c>
      <c r="E16" s="4"/>
      <c r="F16" s="5">
        <v>180</v>
      </c>
      <c r="G16" s="3">
        <f t="shared" si="0"/>
        <v>0</v>
      </c>
      <c r="H16" s="4" t="s">
        <v>98</v>
      </c>
      <c r="I16" s="4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x14ac:dyDescent="0.25">
      <c r="A17" s="10">
        <v>9</v>
      </c>
      <c r="B17" s="10" t="s">
        <v>40</v>
      </c>
      <c r="C17" s="4" t="s">
        <v>117</v>
      </c>
      <c r="D17" s="4">
        <v>-70</v>
      </c>
      <c r="E17" s="4"/>
      <c r="F17" s="5">
        <v>70</v>
      </c>
      <c r="G17" s="3">
        <f t="shared" si="0"/>
        <v>0</v>
      </c>
      <c r="H17" s="4" t="s">
        <v>100</v>
      </c>
      <c r="I17" s="4">
        <v>5000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x14ac:dyDescent="0.25">
      <c r="A18" s="13">
        <v>13</v>
      </c>
      <c r="B18" s="13" t="s">
        <v>40</v>
      </c>
      <c r="C18" t="s">
        <v>4</v>
      </c>
      <c r="D18">
        <v>-120</v>
      </c>
      <c r="F18" s="5">
        <v>0</v>
      </c>
      <c r="G18" s="3">
        <f t="shared" si="0"/>
        <v>-120</v>
      </c>
      <c r="H18" t="s">
        <v>100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25">
      <c r="A19" s="13">
        <v>13</v>
      </c>
      <c r="B19" s="12" t="s">
        <v>40</v>
      </c>
      <c r="C19" t="s">
        <v>122</v>
      </c>
      <c r="D19">
        <v>-60</v>
      </c>
      <c r="F19" s="5">
        <v>0</v>
      </c>
      <c r="G19" s="3">
        <f t="shared" si="0"/>
        <v>-60</v>
      </c>
      <c r="H19" t="s">
        <v>100</v>
      </c>
      <c r="V19" s="26"/>
    </row>
    <row r="20" spans="1:22" x14ac:dyDescent="0.25">
      <c r="A20" s="13">
        <v>42385</v>
      </c>
      <c r="B20" s="13" t="s">
        <v>40</v>
      </c>
      <c r="C20" t="s">
        <v>145</v>
      </c>
      <c r="D20">
        <v>-192</v>
      </c>
      <c r="F20" s="5">
        <v>0</v>
      </c>
      <c r="G20" s="5">
        <f t="shared" si="0"/>
        <v>-192</v>
      </c>
      <c r="V20" s="26"/>
    </row>
    <row r="21" spans="1:22" x14ac:dyDescent="0.25">
      <c r="A21" s="13">
        <v>42389</v>
      </c>
      <c r="B21" s="13" t="s">
        <v>39</v>
      </c>
      <c r="C21" t="s">
        <v>79</v>
      </c>
      <c r="D21">
        <v>-30</v>
      </c>
      <c r="F21" s="5">
        <v>0</v>
      </c>
      <c r="G21" s="3">
        <f t="shared" si="0"/>
        <v>-30</v>
      </c>
      <c r="H21" t="s">
        <v>98</v>
      </c>
      <c r="V21" s="26"/>
    </row>
    <row r="22" spans="1:22" x14ac:dyDescent="0.25">
      <c r="A22" s="13">
        <v>10</v>
      </c>
      <c r="B22" s="13" t="s">
        <v>40</v>
      </c>
      <c r="C22" t="s">
        <v>76</v>
      </c>
      <c r="D22">
        <v>-30</v>
      </c>
      <c r="F22" s="5">
        <v>0</v>
      </c>
      <c r="G22" s="3">
        <f t="shared" si="0"/>
        <v>-30</v>
      </c>
      <c r="H22" t="s">
        <v>100</v>
      </c>
      <c r="I22">
        <v>1550</v>
      </c>
      <c r="K22" s="26"/>
    </row>
    <row r="23" spans="1:22" x14ac:dyDescent="0.25">
      <c r="A23" s="27">
        <v>20</v>
      </c>
      <c r="B23" s="27" t="s">
        <v>39</v>
      </c>
      <c r="C23" s="26" t="s">
        <v>5</v>
      </c>
      <c r="D23" s="26">
        <v>-200</v>
      </c>
      <c r="E23" s="26"/>
      <c r="F23" s="29">
        <v>0</v>
      </c>
      <c r="G23" s="28">
        <f t="shared" si="0"/>
        <v>-200</v>
      </c>
      <c r="H23" s="29" t="s">
        <v>100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2" x14ac:dyDescent="0.25">
      <c r="A24" s="10">
        <v>23</v>
      </c>
      <c r="B24" s="10" t="s">
        <v>39</v>
      </c>
      <c r="C24" s="4" t="s">
        <v>116</v>
      </c>
      <c r="D24" s="4">
        <v>0</v>
      </c>
      <c r="E24" s="4"/>
      <c r="F24" s="29">
        <v>0</v>
      </c>
      <c r="G24" s="28">
        <f t="shared" si="0"/>
        <v>0</v>
      </c>
      <c r="H24" s="4" t="s">
        <v>100</v>
      </c>
      <c r="I24" s="4">
        <v>0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2" x14ac:dyDescent="0.25">
      <c r="A25" s="13">
        <v>42377</v>
      </c>
      <c r="B25" s="13" t="s">
        <v>40</v>
      </c>
      <c r="C25" t="s">
        <v>125</v>
      </c>
      <c r="D25">
        <v>-75</v>
      </c>
      <c r="F25" s="29">
        <v>75</v>
      </c>
      <c r="G25" s="5">
        <f t="shared" si="0"/>
        <v>0</v>
      </c>
      <c r="H25" t="s">
        <v>98</v>
      </c>
      <c r="K25" t="s">
        <v>127</v>
      </c>
    </row>
    <row r="26" spans="1:22" x14ac:dyDescent="0.25">
      <c r="A26" s="13">
        <v>42390</v>
      </c>
      <c r="B26" s="13" t="s">
        <v>39</v>
      </c>
      <c r="C26" t="s">
        <v>104</v>
      </c>
      <c r="D26">
        <v>-300</v>
      </c>
      <c r="F26" s="29">
        <v>150</v>
      </c>
      <c r="G26" s="5">
        <f t="shared" si="0"/>
        <v>-150</v>
      </c>
      <c r="H26" t="s">
        <v>98</v>
      </c>
      <c r="I26">
        <v>-320</v>
      </c>
    </row>
    <row r="27" spans="1:22" x14ac:dyDescent="0.25">
      <c r="A27" s="13">
        <v>31</v>
      </c>
      <c r="B27" s="13" t="s">
        <v>41</v>
      </c>
      <c r="C27" t="s">
        <v>1</v>
      </c>
      <c r="D27">
        <v>-40</v>
      </c>
      <c r="F27" s="29">
        <v>0</v>
      </c>
      <c r="G27" s="3">
        <f t="shared" si="0"/>
        <v>-40</v>
      </c>
      <c r="H27" s="4" t="s">
        <v>98</v>
      </c>
      <c r="I27" s="4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spans="1:22" x14ac:dyDescent="0.25">
      <c r="A28" s="13">
        <v>42393</v>
      </c>
      <c r="B28" s="13" t="s">
        <v>41</v>
      </c>
      <c r="C28" t="s">
        <v>163</v>
      </c>
      <c r="D28">
        <v>-260</v>
      </c>
      <c r="F28" s="3">
        <v>0</v>
      </c>
      <c r="G28" s="3">
        <f t="shared" si="0"/>
        <v>-260</v>
      </c>
      <c r="H28" t="s">
        <v>100</v>
      </c>
      <c r="I28">
        <v>10890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2" x14ac:dyDescent="0.25">
      <c r="A29" s="13">
        <v>42760</v>
      </c>
      <c r="B29" s="13" t="s">
        <v>41</v>
      </c>
      <c r="C29" t="s">
        <v>164</v>
      </c>
      <c r="D29">
        <v>-200</v>
      </c>
      <c r="F29" s="5">
        <v>0</v>
      </c>
      <c r="G29" s="5">
        <f t="shared" si="0"/>
        <v>-200</v>
      </c>
      <c r="H29" t="s">
        <v>100</v>
      </c>
      <c r="I29">
        <v>22500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2" x14ac:dyDescent="0.25">
      <c r="A30" s="13">
        <v>28</v>
      </c>
      <c r="B30" s="13" t="s">
        <v>41</v>
      </c>
      <c r="C30" t="s">
        <v>3</v>
      </c>
      <c r="D30">
        <v>-75</v>
      </c>
      <c r="F30" s="5">
        <v>0</v>
      </c>
      <c r="G30" s="3">
        <f t="shared" si="0"/>
        <v>-75</v>
      </c>
      <c r="H30" t="s">
        <v>100</v>
      </c>
    </row>
    <row r="31" spans="1:22" x14ac:dyDescent="0.25">
      <c r="A31" s="13">
        <v>31</v>
      </c>
      <c r="B31" s="13" t="s">
        <v>41</v>
      </c>
      <c r="C31" t="s">
        <v>36</v>
      </c>
      <c r="D31">
        <v>-70</v>
      </c>
      <c r="F31" s="5">
        <v>0</v>
      </c>
      <c r="G31" s="3">
        <f t="shared" si="0"/>
        <v>-70</v>
      </c>
      <c r="H31" t="s">
        <v>98</v>
      </c>
      <c r="K31" t="s">
        <v>77</v>
      </c>
    </row>
    <row r="32" spans="1:22" x14ac:dyDescent="0.25">
      <c r="A32" s="13">
        <v>42392</v>
      </c>
      <c r="B32" s="13" t="s">
        <v>41</v>
      </c>
      <c r="C32" t="s">
        <v>193</v>
      </c>
      <c r="D32">
        <v>-10</v>
      </c>
      <c r="F32" s="5">
        <v>0</v>
      </c>
      <c r="G32" s="3">
        <f t="shared" ref="G32" si="1">SUM(D32:F32)</f>
        <v>-10</v>
      </c>
      <c r="H32" t="s">
        <v>98</v>
      </c>
    </row>
    <row r="33" spans="1:12" x14ac:dyDescent="0.25">
      <c r="A33" s="13"/>
      <c r="B33" s="11" t="s">
        <v>38</v>
      </c>
      <c r="C33" t="s">
        <v>124</v>
      </c>
      <c r="D33">
        <v>-75</v>
      </c>
      <c r="F33" s="5">
        <v>75</v>
      </c>
      <c r="G33" s="5">
        <f t="shared" si="0"/>
        <v>0</v>
      </c>
      <c r="H33" t="s">
        <v>100</v>
      </c>
      <c r="K33" t="s">
        <v>168</v>
      </c>
    </row>
    <row r="34" spans="1:12" x14ac:dyDescent="0.25">
      <c r="A34" s="13"/>
      <c r="B34" s="13" t="s">
        <v>42</v>
      </c>
      <c r="C34" t="s">
        <v>10</v>
      </c>
      <c r="E34">
        <v>2900</v>
      </c>
      <c r="F34">
        <v>-2900</v>
      </c>
      <c r="G34" s="3">
        <f t="shared" ref="G34:G37" si="2">SUM(D34:F34)</f>
        <v>0</v>
      </c>
    </row>
    <row r="35" spans="1:12" x14ac:dyDescent="0.25">
      <c r="A35" s="12"/>
      <c r="B35" s="13" t="s">
        <v>42</v>
      </c>
      <c r="C35" t="s">
        <v>11</v>
      </c>
      <c r="E35">
        <v>1700</v>
      </c>
      <c r="F35">
        <v>-1700</v>
      </c>
      <c r="G35" s="3">
        <f t="shared" si="2"/>
        <v>0</v>
      </c>
    </row>
    <row r="36" spans="1:12" x14ac:dyDescent="0.25">
      <c r="A36" s="12"/>
      <c r="B36" s="12" t="s">
        <v>39</v>
      </c>
      <c r="C36" t="s">
        <v>10</v>
      </c>
      <c r="E36">
        <v>2900</v>
      </c>
      <c r="F36">
        <v>0</v>
      </c>
      <c r="G36" s="3">
        <f t="shared" si="2"/>
        <v>2900</v>
      </c>
    </row>
    <row r="37" spans="1:12" x14ac:dyDescent="0.25">
      <c r="A37" s="12"/>
      <c r="B37" s="12" t="s">
        <v>39</v>
      </c>
      <c r="C37" t="s">
        <v>11</v>
      </c>
      <c r="E37">
        <v>1700</v>
      </c>
      <c r="F37">
        <v>0</v>
      </c>
      <c r="G37" s="3">
        <f t="shared" si="2"/>
        <v>1700</v>
      </c>
    </row>
    <row r="38" spans="1:12" s="16" customFormat="1" x14ac:dyDescent="0.25">
      <c r="A38" s="18" t="s">
        <v>119</v>
      </c>
      <c r="B38" s="16" t="s">
        <v>112</v>
      </c>
      <c r="D38" s="16" t="e">
        <f>SUM(D2:D11)/4+#REF!/4+D33/4</f>
        <v>#REF!</v>
      </c>
      <c r="E38" s="16" t="e">
        <f>SUM(E2:E11)/4+#REF!/4+E33/4</f>
        <v>#REF!</v>
      </c>
      <c r="F38" s="16" t="e">
        <f>SUM(F2:F11)/4+#REF!/4+F33/4</f>
        <v>#REF!</v>
      </c>
      <c r="G38" s="16" t="e">
        <f>D38+E38+F38</f>
        <v>#REF!</v>
      </c>
    </row>
    <row r="39" spans="1:12" s="20" customFormat="1" x14ac:dyDescent="0.25">
      <c r="A39" s="22"/>
      <c r="B39" s="17" t="s">
        <v>42</v>
      </c>
      <c r="D39" s="16" t="e">
        <f>SUM(D13:D14)+D38</f>
        <v>#REF!</v>
      </c>
      <c r="E39" s="16">
        <f>E34+E35</f>
        <v>4600</v>
      </c>
      <c r="F39" s="16" t="e">
        <f>SUM(F13:F14)+F38+F34+F35</f>
        <v>#REF!</v>
      </c>
      <c r="G39" s="16" t="e">
        <f>D39+E39+F39</f>
        <v>#REF!</v>
      </c>
      <c r="J39"/>
      <c r="K39"/>
    </row>
    <row r="40" spans="1:12" x14ac:dyDescent="0.25">
      <c r="A40" s="22"/>
      <c r="B40" s="17" t="s">
        <v>40</v>
      </c>
      <c r="D40" s="16" t="e">
        <f>SUM(D15:D22)+D38</f>
        <v>#REF!</v>
      </c>
      <c r="E40" s="32">
        <v>0</v>
      </c>
      <c r="F40" s="16" t="e">
        <f>SUM(F15:F22)+F38</f>
        <v>#REF!</v>
      </c>
      <c r="G40" s="16" t="e">
        <f t="shared" ref="G40:G42" si="3">D40+E40+F40</f>
        <v>#REF!</v>
      </c>
      <c r="L40">
        <v>500</v>
      </c>
    </row>
    <row r="41" spans="1:12" x14ac:dyDescent="0.25">
      <c r="A41" s="22"/>
      <c r="B41" s="17" t="s">
        <v>39</v>
      </c>
      <c r="D41" s="16" t="e">
        <f>SUM(D23:D26)+D38</f>
        <v>#REF!</v>
      </c>
      <c r="E41" s="32">
        <f>E36+E37</f>
        <v>4600</v>
      </c>
      <c r="F41" s="25" t="e">
        <f>SUM(F23:F26)+F38+F36+F37</f>
        <v>#REF!</v>
      </c>
      <c r="G41" s="16" t="e">
        <f t="shared" si="3"/>
        <v>#REF!</v>
      </c>
    </row>
    <row r="42" spans="1:12" x14ac:dyDescent="0.25">
      <c r="A42" s="23"/>
      <c r="B42" s="34" t="s">
        <v>41</v>
      </c>
      <c r="C42" s="33"/>
      <c r="D42" s="32" t="e">
        <f>SUM(D27:D31)+D38</f>
        <v>#REF!</v>
      </c>
      <c r="E42" s="33" t="e">
        <f>#REF!+#REF!</f>
        <v>#REF!</v>
      </c>
      <c r="F42" s="32" t="e">
        <f>SUM(F27:F31)+F38+#REF!+#REF!</f>
        <v>#REF!</v>
      </c>
      <c r="G42" s="32" t="e">
        <f t="shared" si="3"/>
        <v>#REF!</v>
      </c>
    </row>
    <row r="43" spans="1:12" x14ac:dyDescent="0.25">
      <c r="A43" s="22"/>
      <c r="B43" s="17"/>
      <c r="C43" s="20"/>
      <c r="D43" s="20"/>
      <c r="E43" s="20"/>
      <c r="F43" s="20"/>
      <c r="G43" s="20"/>
    </row>
    <row r="44" spans="1:12" x14ac:dyDescent="0.25">
      <c r="A44" s="23"/>
      <c r="B44" s="17"/>
      <c r="D44" s="20"/>
      <c r="F44" s="20"/>
      <c r="G44" s="31" t="s">
        <v>169</v>
      </c>
    </row>
    <row r="45" spans="1:12" s="8" customFormat="1" x14ac:dyDescent="0.25">
      <c r="A45" s="21"/>
      <c r="B45" s="8" t="s">
        <v>128</v>
      </c>
      <c r="D45" s="8">
        <f>SUM(D2:D37)</f>
        <v>-7022</v>
      </c>
      <c r="E45" s="8">
        <f>SUM(E2:E37)</f>
        <v>9200</v>
      </c>
      <c r="F45" s="8">
        <f>SUM(F2:F37)</f>
        <v>-29.33333333333394</v>
      </c>
      <c r="G45" s="8">
        <f>SUM(G2:G37)</f>
        <v>2148.6666666666665</v>
      </c>
      <c r="I45" s="8">
        <f>SUM(I2:I37)</f>
        <v>404620</v>
      </c>
    </row>
    <row r="46" spans="1:12" s="2" customFormat="1" x14ac:dyDescent="0.25">
      <c r="B46" s="9" t="s">
        <v>120</v>
      </c>
      <c r="G46" s="2">
        <f>G45-F45</f>
        <v>2178.0000000000005</v>
      </c>
    </row>
    <row r="47" spans="1:12" s="2" customFormat="1" x14ac:dyDescent="0.25">
      <c r="B47" s="9"/>
    </row>
    <row r="48" spans="1:12" s="2" customFormat="1" x14ac:dyDescent="0.25">
      <c r="A48" s="9" t="s">
        <v>135</v>
      </c>
    </row>
    <row r="49" spans="1:7" s="2" customFormat="1" x14ac:dyDescent="0.25">
      <c r="A49" s="2" t="s">
        <v>120</v>
      </c>
      <c r="C49" s="2" t="str">
        <f>IF(D49=E49,"PASS","FAIL")</f>
        <v>PASS</v>
      </c>
      <c r="D49" s="2">
        <f>D45+E45</f>
        <v>2178</v>
      </c>
      <c r="E49" s="2">
        <f>G45-F45</f>
        <v>2178.0000000000005</v>
      </c>
    </row>
    <row r="50" spans="1:7" s="2" customFormat="1" x14ac:dyDescent="0.25">
      <c r="A50" s="9" t="s">
        <v>136</v>
      </c>
      <c r="C50" s="2" t="e">
        <f>IF(AND(D50=E50,E50=F50),"PASS","FAIL")</f>
        <v>#REF!</v>
      </c>
      <c r="D50" s="2" t="e">
        <f>SUM(G39:G42)</f>
        <v>#REF!</v>
      </c>
      <c r="E50" s="2">
        <f>SUM(G2:G37)</f>
        <v>2148.6666666666665</v>
      </c>
      <c r="F50" s="2">
        <f>SUM(D45:F45)</f>
        <v>2148.6666666666661</v>
      </c>
    </row>
    <row r="51" spans="1:7" s="2" customFormat="1" x14ac:dyDescent="0.25">
      <c r="B51" s="9"/>
      <c r="D51" s="2" t="s">
        <v>150</v>
      </c>
    </row>
    <row r="52" spans="1:7" s="2" customFormat="1" x14ac:dyDescent="0.25">
      <c r="B52" s="9"/>
    </row>
    <row r="53" spans="1:7" x14ac:dyDescent="0.25">
      <c r="B53" t="s">
        <v>132</v>
      </c>
      <c r="E53">
        <v>30</v>
      </c>
    </row>
    <row r="54" spans="1:7" x14ac:dyDescent="0.25">
      <c r="B54" t="s">
        <v>133</v>
      </c>
      <c r="E54">
        <v>17</v>
      </c>
    </row>
    <row r="55" spans="1:7" x14ac:dyDescent="0.25">
      <c r="B55" t="s">
        <v>167</v>
      </c>
      <c r="E55">
        <v>3486</v>
      </c>
      <c r="G55" t="s">
        <v>178</v>
      </c>
    </row>
    <row r="56" spans="1:7" x14ac:dyDescent="0.25">
      <c r="B56" t="s">
        <v>172</v>
      </c>
      <c r="E56">
        <v>882.3</v>
      </c>
      <c r="G56" t="s">
        <v>173</v>
      </c>
    </row>
    <row r="57" spans="1:7" x14ac:dyDescent="0.25">
      <c r="B57" t="s">
        <v>185</v>
      </c>
      <c r="E57">
        <f>E55+E56+G45</f>
        <v>6516.9666666666672</v>
      </c>
      <c r="F57">
        <v>0</v>
      </c>
      <c r="G57" t="s">
        <v>171</v>
      </c>
    </row>
    <row r="58" spans="1:7" x14ac:dyDescent="0.25">
      <c r="B58" t="s">
        <v>170</v>
      </c>
      <c r="E58" t="e">
        <f>#REF!-E56</f>
        <v>#REF!</v>
      </c>
    </row>
    <row r="60" spans="1:7" x14ac:dyDescent="0.25">
      <c r="E60" s="30"/>
    </row>
    <row r="62" spans="1:7" x14ac:dyDescent="0.25">
      <c r="A62" t="s">
        <v>121</v>
      </c>
      <c r="C62" t="s">
        <v>175</v>
      </c>
      <c r="D62" t="s">
        <v>176</v>
      </c>
      <c r="E62" t="s">
        <v>177</v>
      </c>
      <c r="F62" t="s">
        <v>14</v>
      </c>
    </row>
    <row r="63" spans="1:7" x14ac:dyDescent="0.25">
      <c r="B63" t="s">
        <v>174</v>
      </c>
      <c r="C63">
        <v>4600</v>
      </c>
      <c r="D63">
        <v>1200</v>
      </c>
    </row>
    <row r="64" spans="1:7" x14ac:dyDescent="0.25">
      <c r="B64" t="s">
        <v>29</v>
      </c>
      <c r="D64">
        <v>-1200</v>
      </c>
      <c r="F64" t="s">
        <v>179</v>
      </c>
    </row>
    <row r="65" spans="2:8" x14ac:dyDescent="0.25">
      <c r="B65" t="s">
        <v>30</v>
      </c>
      <c r="D65">
        <v>0</v>
      </c>
      <c r="F65" t="s">
        <v>180</v>
      </c>
    </row>
    <row r="66" spans="2:8" x14ac:dyDescent="0.25">
      <c r="B66" s="2" t="s">
        <v>12</v>
      </c>
      <c r="C66">
        <f>SUM(C64:C64)</f>
        <v>0</v>
      </c>
      <c r="D66">
        <f>SUM(D63:D65)</f>
        <v>0</v>
      </c>
      <c r="E66" t="e">
        <f>SUM(#REF!)</f>
        <v>#REF!</v>
      </c>
    </row>
    <row r="67" spans="2:8" x14ac:dyDescent="0.25">
      <c r="H67" s="2"/>
    </row>
  </sheetData>
  <sortState ref="A2:U36">
    <sortCondition ref="B2:B3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80" workbookViewId="0">
      <selection activeCell="F100" sqref="F100"/>
    </sheetView>
  </sheetViews>
  <sheetFormatPr defaultRowHeight="15" x14ac:dyDescent="0.25"/>
  <cols>
    <col min="1" max="1" width="10.7109375" bestFit="1" customWidth="1"/>
    <col min="9" max="9" width="9.7109375" bestFit="1" customWidth="1"/>
    <col min="11" max="11" width="10.5703125" customWidth="1"/>
  </cols>
  <sheetData>
    <row r="1" spans="1:4" x14ac:dyDescent="0.25">
      <c r="A1" s="2" t="s">
        <v>141</v>
      </c>
      <c r="B1" s="2" t="s">
        <v>139</v>
      </c>
      <c r="C1" s="2" t="s">
        <v>137</v>
      </c>
      <c r="D1" s="2" t="s">
        <v>140</v>
      </c>
    </row>
    <row r="2" spans="1:4" x14ac:dyDescent="0.25">
      <c r="A2" s="6">
        <v>42373</v>
      </c>
      <c r="B2">
        <v>-21.61</v>
      </c>
      <c r="C2" s="3" t="s">
        <v>15</v>
      </c>
      <c r="D2" t="s">
        <v>142</v>
      </c>
    </row>
    <row r="3" spans="1:4" x14ac:dyDescent="0.25">
      <c r="A3" s="6">
        <v>42373</v>
      </c>
      <c r="B3">
        <v>-21.64</v>
      </c>
      <c r="C3" s="3" t="s">
        <v>15</v>
      </c>
      <c r="D3" t="s">
        <v>142</v>
      </c>
    </row>
    <row r="4" spans="1:4" x14ac:dyDescent="0.25">
      <c r="A4" s="6">
        <v>42380</v>
      </c>
      <c r="B4">
        <v>-24.77</v>
      </c>
      <c r="C4" s="3" t="s">
        <v>15</v>
      </c>
      <c r="D4" t="s">
        <v>194</v>
      </c>
    </row>
    <row r="5" spans="1:4" x14ac:dyDescent="0.25">
      <c r="A5" s="6">
        <v>42388</v>
      </c>
      <c r="B5">
        <v>-23</v>
      </c>
      <c r="C5" s="3" t="s">
        <v>15</v>
      </c>
      <c r="D5" t="s">
        <v>194</v>
      </c>
    </row>
    <row r="6" spans="1:4" x14ac:dyDescent="0.25">
      <c r="A6" s="6">
        <v>42388</v>
      </c>
      <c r="B6">
        <v>-21.3</v>
      </c>
      <c r="C6" s="3" t="s">
        <v>15</v>
      </c>
      <c r="D6" t="s">
        <v>142</v>
      </c>
    </row>
    <row r="7" spans="1:4" x14ac:dyDescent="0.25">
      <c r="A7" s="6">
        <v>42390</v>
      </c>
      <c r="B7">
        <v>-9.93</v>
      </c>
      <c r="C7" s="3" t="s">
        <v>15</v>
      </c>
      <c r="D7" t="s">
        <v>194</v>
      </c>
    </row>
    <row r="8" spans="1:4" x14ac:dyDescent="0.25">
      <c r="A8" s="6">
        <v>42397</v>
      </c>
      <c r="B8">
        <v>-5.74</v>
      </c>
      <c r="C8" s="3" t="s">
        <v>15</v>
      </c>
      <c r="D8" t="s">
        <v>194</v>
      </c>
    </row>
    <row r="9" spans="1:4" x14ac:dyDescent="0.25">
      <c r="A9" s="6">
        <v>42397</v>
      </c>
      <c r="B9">
        <v>-23.89</v>
      </c>
      <c r="C9" s="3" t="s">
        <v>15</v>
      </c>
      <c r="D9" t="s">
        <v>194</v>
      </c>
    </row>
    <row r="10" spans="1:4" x14ac:dyDescent="0.25">
      <c r="A10" s="6">
        <v>42402</v>
      </c>
      <c r="B10">
        <v>-5.74</v>
      </c>
      <c r="C10" s="3" t="s">
        <v>15</v>
      </c>
      <c r="D10" t="s">
        <v>194</v>
      </c>
    </row>
    <row r="11" spans="1:4" x14ac:dyDescent="0.25">
      <c r="A11" s="6">
        <v>42402</v>
      </c>
      <c r="B11">
        <v>-20.68</v>
      </c>
      <c r="C11" s="3" t="s">
        <v>15</v>
      </c>
      <c r="D11" t="s">
        <v>142</v>
      </c>
    </row>
    <row r="12" spans="1:4" x14ac:dyDescent="0.25">
      <c r="A12" s="6">
        <v>42408</v>
      </c>
      <c r="B12">
        <v>-15</v>
      </c>
      <c r="C12" s="3" t="s">
        <v>15</v>
      </c>
      <c r="D12" t="s">
        <v>143</v>
      </c>
    </row>
    <row r="13" spans="1:4" x14ac:dyDescent="0.25">
      <c r="A13" s="6">
        <v>42411</v>
      </c>
      <c r="B13">
        <v>-18.02</v>
      </c>
      <c r="C13" s="3" t="s">
        <v>15</v>
      </c>
      <c r="D13" t="s">
        <v>194</v>
      </c>
    </row>
    <row r="14" spans="1:4" x14ac:dyDescent="0.25">
      <c r="A14" s="6">
        <v>42416</v>
      </c>
      <c r="B14">
        <v>-10.07</v>
      </c>
      <c r="C14" s="3" t="s">
        <v>15</v>
      </c>
      <c r="D14" t="s">
        <v>194</v>
      </c>
    </row>
    <row r="15" spans="1:4" x14ac:dyDescent="0.25">
      <c r="A15" s="6">
        <v>42416</v>
      </c>
      <c r="B15">
        <v>-19.34</v>
      </c>
      <c r="C15" s="3" t="s">
        <v>15</v>
      </c>
      <c r="D15" t="s">
        <v>142</v>
      </c>
    </row>
    <row r="16" spans="1:4" x14ac:dyDescent="0.25">
      <c r="A16" s="6">
        <v>42417</v>
      </c>
      <c r="B16">
        <v>-23.67</v>
      </c>
      <c r="C16" s="3" t="s">
        <v>15</v>
      </c>
      <c r="D16" t="s">
        <v>143</v>
      </c>
    </row>
    <row r="17" spans="1:4" x14ac:dyDescent="0.25">
      <c r="A17" s="6">
        <v>42426</v>
      </c>
      <c r="B17">
        <v>-20.04</v>
      </c>
      <c r="C17" s="3" t="s">
        <v>15</v>
      </c>
      <c r="D17" t="s">
        <v>194</v>
      </c>
    </row>
    <row r="18" spans="1:4" x14ac:dyDescent="0.25">
      <c r="A18" s="6">
        <v>42436</v>
      </c>
      <c r="B18">
        <v>-15.06</v>
      </c>
      <c r="C18" s="3" t="s">
        <v>15</v>
      </c>
      <c r="D18" t="s">
        <v>194</v>
      </c>
    </row>
    <row r="19" spans="1:4" x14ac:dyDescent="0.25">
      <c r="A19" s="6">
        <v>42443</v>
      </c>
      <c r="B19">
        <v>-13.75</v>
      </c>
      <c r="C19" s="3" t="s">
        <v>15</v>
      </c>
      <c r="D19" t="s">
        <v>142</v>
      </c>
    </row>
    <row r="20" spans="1:4" x14ac:dyDescent="0.25">
      <c r="A20" s="6">
        <v>42443</v>
      </c>
      <c r="B20">
        <v>-16.5</v>
      </c>
      <c r="C20" s="3" t="s">
        <v>15</v>
      </c>
      <c r="D20" t="s">
        <v>142</v>
      </c>
    </row>
    <row r="21" spans="1:4" x14ac:dyDescent="0.25">
      <c r="A21" s="6">
        <v>42443</v>
      </c>
      <c r="B21">
        <v>-4.0199999999999996</v>
      </c>
      <c r="C21" s="3" t="s">
        <v>15</v>
      </c>
      <c r="D21" t="s">
        <v>142</v>
      </c>
    </row>
    <row r="22" spans="1:4" x14ac:dyDescent="0.25">
      <c r="A22" s="6">
        <v>42444</v>
      </c>
      <c r="B22">
        <v>-21.7</v>
      </c>
      <c r="C22" s="3" t="s">
        <v>15</v>
      </c>
      <c r="D22" t="s">
        <v>142</v>
      </c>
    </row>
    <row r="23" spans="1:4" x14ac:dyDescent="0.25">
      <c r="A23" s="6">
        <v>42451</v>
      </c>
      <c r="B23">
        <v>-33.299999999999997</v>
      </c>
      <c r="C23" s="3" t="s">
        <v>15</v>
      </c>
      <c r="D23" t="s">
        <v>143</v>
      </c>
    </row>
    <row r="24" spans="1:4" x14ac:dyDescent="0.25">
      <c r="A24" s="6">
        <v>42454</v>
      </c>
      <c r="B24">
        <v>-15.05</v>
      </c>
      <c r="C24" s="3" t="s">
        <v>15</v>
      </c>
      <c r="D24" t="s">
        <v>143</v>
      </c>
    </row>
    <row r="25" spans="1:4" x14ac:dyDescent="0.25">
      <c r="A25" s="6">
        <v>42458</v>
      </c>
      <c r="B25">
        <v>-23.07</v>
      </c>
      <c r="C25" s="3" t="s">
        <v>15</v>
      </c>
      <c r="D25" t="s">
        <v>142</v>
      </c>
    </row>
    <row r="26" spans="1:4" x14ac:dyDescent="0.25">
      <c r="A26" s="6">
        <v>42464</v>
      </c>
      <c r="B26">
        <v>-21.24</v>
      </c>
      <c r="C26" s="3" t="s">
        <v>15</v>
      </c>
      <c r="D26" t="s">
        <v>143</v>
      </c>
    </row>
    <row r="27" spans="1:4" x14ac:dyDescent="0.25">
      <c r="A27" s="6">
        <v>42466</v>
      </c>
      <c r="B27">
        <v>-24.81</v>
      </c>
      <c r="C27" s="3" t="s">
        <v>15</v>
      </c>
      <c r="D27" t="s">
        <v>143</v>
      </c>
    </row>
    <row r="28" spans="1:4" x14ac:dyDescent="0.25">
      <c r="A28" s="6">
        <v>42468</v>
      </c>
      <c r="B28">
        <v>-19.97</v>
      </c>
      <c r="C28" s="3" t="s">
        <v>15</v>
      </c>
      <c r="D28" t="s">
        <v>142</v>
      </c>
    </row>
    <row r="29" spans="1:4" x14ac:dyDescent="0.25">
      <c r="A29" s="6">
        <v>42479</v>
      </c>
      <c r="B29">
        <v>-19.98</v>
      </c>
      <c r="C29" s="3" t="s">
        <v>15</v>
      </c>
      <c r="D29" t="s">
        <v>194</v>
      </c>
    </row>
    <row r="30" spans="1:4" x14ac:dyDescent="0.25">
      <c r="A30" s="6">
        <v>42482</v>
      </c>
      <c r="B30">
        <v>-26.09</v>
      </c>
      <c r="C30" s="3" t="s">
        <v>15</v>
      </c>
      <c r="D30" t="s">
        <v>143</v>
      </c>
    </row>
    <row r="31" spans="1:4" x14ac:dyDescent="0.25">
      <c r="A31" s="6">
        <v>42486</v>
      </c>
      <c r="B31">
        <v>-15</v>
      </c>
      <c r="C31" s="3" t="s">
        <v>15</v>
      </c>
      <c r="D31" t="s">
        <v>194</v>
      </c>
    </row>
    <row r="32" spans="1:4" x14ac:dyDescent="0.25">
      <c r="A32" s="6">
        <v>42486</v>
      </c>
      <c r="B32">
        <v>-23.54</v>
      </c>
      <c r="C32" s="3" t="s">
        <v>15</v>
      </c>
      <c r="D32" t="s">
        <v>142</v>
      </c>
    </row>
    <row r="33" spans="1:4" x14ac:dyDescent="0.25">
      <c r="A33" s="6">
        <v>42488</v>
      </c>
      <c r="B33">
        <v>-20</v>
      </c>
      <c r="C33" s="3" t="s">
        <v>15</v>
      </c>
      <c r="D33" t="s">
        <v>194</v>
      </c>
    </row>
    <row r="34" spans="1:4" x14ac:dyDescent="0.25">
      <c r="A34" s="6">
        <v>42492</v>
      </c>
      <c r="B34">
        <v>-25.38</v>
      </c>
      <c r="C34" s="3" t="s">
        <v>15</v>
      </c>
      <c r="D34" t="s">
        <v>142</v>
      </c>
    </row>
    <row r="35" spans="1:4" x14ac:dyDescent="0.25">
      <c r="A35" s="6">
        <v>42503</v>
      </c>
      <c r="B35">
        <v>-25.07</v>
      </c>
      <c r="C35" s="3" t="s">
        <v>15</v>
      </c>
      <c r="D35" t="s">
        <v>142</v>
      </c>
    </row>
    <row r="36" spans="1:4" x14ac:dyDescent="0.25">
      <c r="A36" s="6">
        <v>42513</v>
      </c>
      <c r="B36">
        <v>-6.76</v>
      </c>
      <c r="C36" s="3" t="s">
        <v>15</v>
      </c>
      <c r="D36" t="s">
        <v>194</v>
      </c>
    </row>
    <row r="37" spans="1:4" x14ac:dyDescent="0.25">
      <c r="A37" s="6">
        <v>42513</v>
      </c>
      <c r="B37">
        <v>-28.73</v>
      </c>
      <c r="C37" s="3" t="s">
        <v>15</v>
      </c>
      <c r="D37" t="s">
        <v>143</v>
      </c>
    </row>
    <row r="38" spans="1:4" x14ac:dyDescent="0.25">
      <c r="A38" s="6">
        <v>42514</v>
      </c>
      <c r="B38">
        <v>-20.09</v>
      </c>
      <c r="C38" s="3" t="s">
        <v>15</v>
      </c>
      <c r="D38" t="s">
        <v>142</v>
      </c>
    </row>
    <row r="39" spans="1:4" x14ac:dyDescent="0.25">
      <c r="A39" s="6">
        <v>42521</v>
      </c>
      <c r="B39">
        <v>-18.77</v>
      </c>
      <c r="C39" s="3" t="s">
        <v>15</v>
      </c>
      <c r="D39" t="s">
        <v>194</v>
      </c>
    </row>
    <row r="40" spans="1:4" x14ac:dyDescent="0.25">
      <c r="A40" s="6">
        <v>42523</v>
      </c>
      <c r="B40">
        <v>-28.97</v>
      </c>
      <c r="C40" s="3" t="s">
        <v>15</v>
      </c>
      <c r="D40" t="s">
        <v>142</v>
      </c>
    </row>
    <row r="41" spans="1:4" x14ac:dyDescent="0.25">
      <c r="A41" s="6">
        <v>42530</v>
      </c>
      <c r="B41">
        <v>-21.47</v>
      </c>
      <c r="C41" s="3" t="s">
        <v>15</v>
      </c>
      <c r="D41" t="s">
        <v>142</v>
      </c>
    </row>
    <row r="42" spans="1:4" x14ac:dyDescent="0.25">
      <c r="A42" s="6">
        <v>42531</v>
      </c>
      <c r="B42">
        <v>-23.15</v>
      </c>
      <c r="C42" s="3" t="s">
        <v>15</v>
      </c>
      <c r="D42" t="s">
        <v>194</v>
      </c>
    </row>
    <row r="43" spans="1:4" x14ac:dyDescent="0.25">
      <c r="A43" s="6">
        <v>42534</v>
      </c>
      <c r="B43">
        <v>-29</v>
      </c>
      <c r="C43" s="3" t="s">
        <v>15</v>
      </c>
      <c r="D43" t="s">
        <v>143</v>
      </c>
    </row>
    <row r="44" spans="1:4" x14ac:dyDescent="0.25">
      <c r="A44" s="6">
        <v>42537</v>
      </c>
      <c r="B44">
        <v>-20</v>
      </c>
      <c r="C44" s="3" t="s">
        <v>15</v>
      </c>
      <c r="D44" t="s">
        <v>194</v>
      </c>
    </row>
    <row r="45" spans="1:4" x14ac:dyDescent="0.25">
      <c r="A45" s="6">
        <v>42548</v>
      </c>
      <c r="B45">
        <v>-11.05</v>
      </c>
      <c r="C45" s="3" t="s">
        <v>15</v>
      </c>
      <c r="D45" t="s">
        <v>194</v>
      </c>
    </row>
    <row r="46" spans="1:4" x14ac:dyDescent="0.25">
      <c r="A46" s="6">
        <v>42550</v>
      </c>
      <c r="B46">
        <v>-29.61</v>
      </c>
      <c r="C46" s="3" t="s">
        <v>15</v>
      </c>
      <c r="D46" t="s">
        <v>142</v>
      </c>
    </row>
    <row r="47" spans="1:4" x14ac:dyDescent="0.25">
      <c r="A47" s="6">
        <v>42556</v>
      </c>
      <c r="B47">
        <v>-7.39</v>
      </c>
      <c r="C47" s="3" t="s">
        <v>15</v>
      </c>
      <c r="D47" t="s">
        <v>194</v>
      </c>
    </row>
    <row r="48" spans="1:4" x14ac:dyDescent="0.25">
      <c r="A48" s="6">
        <v>42556</v>
      </c>
      <c r="B48">
        <v>-4.04</v>
      </c>
      <c r="C48" s="3" t="s">
        <v>15</v>
      </c>
      <c r="D48" t="s">
        <v>194</v>
      </c>
    </row>
    <row r="49" spans="1:4" x14ac:dyDescent="0.25">
      <c r="A49" s="6">
        <v>42556</v>
      </c>
      <c r="B49">
        <v>-16.64</v>
      </c>
      <c r="C49" s="3" t="s">
        <v>15</v>
      </c>
      <c r="D49" t="s">
        <v>143</v>
      </c>
    </row>
    <row r="50" spans="1:4" x14ac:dyDescent="0.25">
      <c r="A50" s="6">
        <v>42562</v>
      </c>
      <c r="B50">
        <v>-20.55</v>
      </c>
      <c r="C50" s="3" t="s">
        <v>15</v>
      </c>
      <c r="D50" t="s">
        <v>194</v>
      </c>
    </row>
    <row r="51" spans="1:4" x14ac:dyDescent="0.25">
      <c r="A51" s="6">
        <v>42563</v>
      </c>
      <c r="B51">
        <v>-14.75</v>
      </c>
      <c r="C51" s="3" t="s">
        <v>15</v>
      </c>
      <c r="D51" t="s">
        <v>194</v>
      </c>
    </row>
    <row r="52" spans="1:4" x14ac:dyDescent="0.25">
      <c r="A52" s="6">
        <v>42565</v>
      </c>
      <c r="B52">
        <v>-15.88</v>
      </c>
      <c r="C52" s="3" t="s">
        <v>15</v>
      </c>
      <c r="D52" t="s">
        <v>194</v>
      </c>
    </row>
    <row r="53" spans="1:4" x14ac:dyDescent="0.25">
      <c r="A53" s="6">
        <v>42569</v>
      </c>
      <c r="B53">
        <v>-6.52</v>
      </c>
      <c r="C53" s="3" t="s">
        <v>15</v>
      </c>
      <c r="D53" t="s">
        <v>194</v>
      </c>
    </row>
    <row r="54" spans="1:4" x14ac:dyDescent="0.25">
      <c r="A54" s="6">
        <v>42569</v>
      </c>
      <c r="B54">
        <v>-26.94</v>
      </c>
      <c r="C54" s="3" t="s">
        <v>15</v>
      </c>
      <c r="D54" t="s">
        <v>194</v>
      </c>
    </row>
    <row r="55" spans="1:4" x14ac:dyDescent="0.25">
      <c r="A55" s="6">
        <v>42569</v>
      </c>
      <c r="B55">
        <v>-9.6</v>
      </c>
      <c r="C55" s="3" t="s">
        <v>15</v>
      </c>
      <c r="D55" t="s">
        <v>194</v>
      </c>
    </row>
    <row r="56" spans="1:4" x14ac:dyDescent="0.25">
      <c r="A56" s="6">
        <v>42578</v>
      </c>
      <c r="B56">
        <v>-25.81</v>
      </c>
      <c r="C56" s="3" t="s">
        <v>15</v>
      </c>
      <c r="D56" t="s">
        <v>194</v>
      </c>
    </row>
    <row r="57" spans="1:4" x14ac:dyDescent="0.25">
      <c r="A57" s="6">
        <v>42583</v>
      </c>
      <c r="B57">
        <v>-26.98</v>
      </c>
      <c r="C57" s="3" t="s">
        <v>15</v>
      </c>
      <c r="D57" t="s">
        <v>142</v>
      </c>
    </row>
    <row r="58" spans="1:4" x14ac:dyDescent="0.25">
      <c r="A58" s="6">
        <v>42583</v>
      </c>
      <c r="B58">
        <v>-13.77</v>
      </c>
      <c r="C58" s="3" t="s">
        <v>15</v>
      </c>
      <c r="D58" t="s">
        <v>143</v>
      </c>
    </row>
    <row r="59" spans="1:4" x14ac:dyDescent="0.25">
      <c r="A59" s="6">
        <v>42590</v>
      </c>
      <c r="B59">
        <v>-20.62</v>
      </c>
      <c r="C59" s="3" t="s">
        <v>15</v>
      </c>
      <c r="D59" t="s">
        <v>143</v>
      </c>
    </row>
    <row r="60" spans="1:4" x14ac:dyDescent="0.25">
      <c r="A60" s="6">
        <v>42597</v>
      </c>
      <c r="B60">
        <v>-25.13</v>
      </c>
      <c r="C60" s="3" t="s">
        <v>15</v>
      </c>
      <c r="D60" t="s">
        <v>194</v>
      </c>
    </row>
    <row r="61" spans="1:4" x14ac:dyDescent="0.25">
      <c r="A61" s="6">
        <v>42599</v>
      </c>
      <c r="B61">
        <v>-5.58</v>
      </c>
      <c r="C61" s="3" t="s">
        <v>15</v>
      </c>
      <c r="D61" t="s">
        <v>194</v>
      </c>
    </row>
    <row r="62" spans="1:4" x14ac:dyDescent="0.25">
      <c r="A62" s="6">
        <v>42600</v>
      </c>
      <c r="B62">
        <v>-34.89</v>
      </c>
      <c r="C62" s="3" t="s">
        <v>15</v>
      </c>
      <c r="D62" t="s">
        <v>194</v>
      </c>
    </row>
    <row r="63" spans="1:4" x14ac:dyDescent="0.25">
      <c r="A63" s="6">
        <v>42717</v>
      </c>
      <c r="B63">
        <v>-25.1</v>
      </c>
      <c r="C63" s="3" t="s">
        <v>15</v>
      </c>
      <c r="D63" t="s">
        <v>143</v>
      </c>
    </row>
    <row r="64" spans="1:4" x14ac:dyDescent="0.25">
      <c r="A64" s="6">
        <v>42718</v>
      </c>
      <c r="B64">
        <v>-19.98</v>
      </c>
      <c r="C64" s="3" t="s">
        <v>15</v>
      </c>
      <c r="D64" t="s">
        <v>194</v>
      </c>
    </row>
    <row r="65" spans="1:4" x14ac:dyDescent="0.25">
      <c r="A65" s="6">
        <v>42725</v>
      </c>
      <c r="B65">
        <v>-19.55</v>
      </c>
      <c r="C65" s="3" t="s">
        <v>15</v>
      </c>
      <c r="D65" t="s">
        <v>143</v>
      </c>
    </row>
    <row r="66" spans="1:4" x14ac:dyDescent="0.25">
      <c r="A66" s="6">
        <v>42731</v>
      </c>
      <c r="B66">
        <v>-20.89</v>
      </c>
      <c r="C66" s="3" t="s">
        <v>15</v>
      </c>
      <c r="D66" t="s">
        <v>143</v>
      </c>
    </row>
    <row r="67" spans="1:4" x14ac:dyDescent="0.25">
      <c r="A67" s="6">
        <v>42733</v>
      </c>
      <c r="B67">
        <v>-29.95</v>
      </c>
      <c r="C67" s="3" t="s">
        <v>15</v>
      </c>
      <c r="D67" t="s">
        <v>143</v>
      </c>
    </row>
    <row r="68" spans="1:4" x14ac:dyDescent="0.25">
      <c r="A68" s="6">
        <v>42775</v>
      </c>
      <c r="B68">
        <v>-24.3</v>
      </c>
      <c r="C68" s="3" t="s">
        <v>15</v>
      </c>
      <c r="D68" t="s">
        <v>194</v>
      </c>
    </row>
    <row r="69" spans="1:4" x14ac:dyDescent="0.25">
      <c r="A69" s="6">
        <v>42780</v>
      </c>
      <c r="B69">
        <v>-33.4</v>
      </c>
      <c r="C69" s="3" t="s">
        <v>15</v>
      </c>
      <c r="D69" t="s">
        <v>143</v>
      </c>
    </row>
    <row r="70" spans="1:4" x14ac:dyDescent="0.25">
      <c r="A70" s="6">
        <v>42783</v>
      </c>
      <c r="B70">
        <v>-20.07</v>
      </c>
      <c r="C70" s="3" t="s">
        <v>15</v>
      </c>
      <c r="D70" t="s">
        <v>194</v>
      </c>
    </row>
    <row r="71" spans="1:4" x14ac:dyDescent="0.25">
      <c r="A71" s="6">
        <v>42789</v>
      </c>
      <c r="B71">
        <v>-27.89</v>
      </c>
      <c r="C71" s="3" t="s">
        <v>15</v>
      </c>
      <c r="D71" t="s">
        <v>194</v>
      </c>
    </row>
    <row r="72" spans="1:4" x14ac:dyDescent="0.25">
      <c r="A72" s="6">
        <v>42856</v>
      </c>
      <c r="B72">
        <v>-32.68</v>
      </c>
      <c r="C72" s="3" t="s">
        <v>15</v>
      </c>
      <c r="D72" t="s">
        <v>143</v>
      </c>
    </row>
    <row r="73" spans="1:4" x14ac:dyDescent="0.25">
      <c r="A73" s="6">
        <v>42865</v>
      </c>
      <c r="B73">
        <v>-19.940000000000001</v>
      </c>
      <c r="C73" s="3" t="s">
        <v>15</v>
      </c>
      <c r="D73" t="s">
        <v>142</v>
      </c>
    </row>
    <row r="74" spans="1:4" x14ac:dyDescent="0.25">
      <c r="A74" s="6">
        <v>42877</v>
      </c>
      <c r="B74">
        <v>-20.04</v>
      </c>
      <c r="C74" s="3" t="s">
        <v>15</v>
      </c>
      <c r="D74" t="s">
        <v>143</v>
      </c>
    </row>
    <row r="75" spans="1:4" x14ac:dyDescent="0.25">
      <c r="A75" s="6">
        <v>42881</v>
      </c>
      <c r="B75">
        <v>-17.41</v>
      </c>
      <c r="C75" s="3" t="s">
        <v>15</v>
      </c>
      <c r="D75" t="s">
        <v>143</v>
      </c>
    </row>
    <row r="76" spans="1:4" x14ac:dyDescent="0.25">
      <c r="A76" s="6">
        <v>42881</v>
      </c>
      <c r="B76">
        <v>-26.5</v>
      </c>
      <c r="C76" s="3" t="s">
        <v>15</v>
      </c>
      <c r="D76" t="s">
        <v>194</v>
      </c>
    </row>
    <row r="77" spans="1:4" x14ac:dyDescent="0.25">
      <c r="A77" s="6">
        <v>42885</v>
      </c>
      <c r="B77">
        <v>-25.04</v>
      </c>
      <c r="C77" s="3" t="s">
        <v>15</v>
      </c>
      <c r="D77" t="s">
        <v>194</v>
      </c>
    </row>
    <row r="78" spans="1:4" x14ac:dyDescent="0.25">
      <c r="A78" s="6">
        <v>42919</v>
      </c>
      <c r="B78">
        <v>-10.53</v>
      </c>
      <c r="C78" s="3" t="s">
        <v>15</v>
      </c>
      <c r="D78" t="s">
        <v>143</v>
      </c>
    </row>
    <row r="79" spans="1:4" x14ac:dyDescent="0.25">
      <c r="A79" s="6">
        <v>42919</v>
      </c>
      <c r="B79">
        <v>-16.39</v>
      </c>
      <c r="C79" s="3" t="s">
        <v>15</v>
      </c>
      <c r="D79" t="s">
        <v>143</v>
      </c>
    </row>
    <row r="80" spans="1:4" x14ac:dyDescent="0.25">
      <c r="A80" s="6">
        <v>42937</v>
      </c>
      <c r="B80">
        <v>-9.15</v>
      </c>
      <c r="C80" s="3" t="s">
        <v>15</v>
      </c>
      <c r="D80" t="s">
        <v>143</v>
      </c>
    </row>
    <row r="81" spans="1:4" x14ac:dyDescent="0.25">
      <c r="A81" s="6">
        <v>42940</v>
      </c>
      <c r="B81">
        <v>-8.44</v>
      </c>
      <c r="C81" s="3" t="s">
        <v>15</v>
      </c>
      <c r="D81" t="s">
        <v>143</v>
      </c>
    </row>
    <row r="82" spans="1:4" x14ac:dyDescent="0.25">
      <c r="A82" s="6">
        <v>42949</v>
      </c>
      <c r="B82">
        <v>-6</v>
      </c>
      <c r="C82" s="3" t="s">
        <v>15</v>
      </c>
      <c r="D82" t="s">
        <v>143</v>
      </c>
    </row>
    <row r="83" spans="1:4" x14ac:dyDescent="0.25">
      <c r="A83" s="6">
        <v>42968</v>
      </c>
      <c r="B83">
        <v>-36.29</v>
      </c>
      <c r="C83" s="3" t="s">
        <v>15</v>
      </c>
      <c r="D83" t="s">
        <v>142</v>
      </c>
    </row>
    <row r="84" spans="1:4" x14ac:dyDescent="0.25">
      <c r="A84" s="6">
        <v>42975</v>
      </c>
      <c r="B84">
        <v>-22.71</v>
      </c>
      <c r="C84" s="3" t="s">
        <v>15</v>
      </c>
      <c r="D84" t="s">
        <v>143</v>
      </c>
    </row>
    <row r="85" spans="1:4" x14ac:dyDescent="0.25">
      <c r="A85" s="6">
        <v>42977</v>
      </c>
      <c r="B85">
        <v>-20</v>
      </c>
      <c r="C85" s="3" t="s">
        <v>15</v>
      </c>
      <c r="D85" t="s">
        <v>143</v>
      </c>
    </row>
    <row r="86" spans="1:4" x14ac:dyDescent="0.25">
      <c r="A86" s="6">
        <v>42983</v>
      </c>
      <c r="B86">
        <v>-20.73</v>
      </c>
      <c r="C86" s="3" t="s">
        <v>15</v>
      </c>
      <c r="D86" t="s">
        <v>143</v>
      </c>
    </row>
    <row r="87" spans="1:4" x14ac:dyDescent="0.25">
      <c r="A87" s="6">
        <v>42983</v>
      </c>
      <c r="B87">
        <v>-43.48</v>
      </c>
      <c r="C87" s="3" t="s">
        <v>15</v>
      </c>
      <c r="D87" t="s">
        <v>143</v>
      </c>
    </row>
    <row r="88" spans="1:4" x14ac:dyDescent="0.25">
      <c r="A88" s="6">
        <v>42990</v>
      </c>
      <c r="B88">
        <v>-12.7</v>
      </c>
      <c r="C88" s="3" t="s">
        <v>15</v>
      </c>
      <c r="D88" t="s">
        <v>142</v>
      </c>
    </row>
    <row r="89" spans="1:4" x14ac:dyDescent="0.25">
      <c r="A89" s="6">
        <v>42996</v>
      </c>
      <c r="B89">
        <v>-45.52</v>
      </c>
      <c r="C89" s="3" t="s">
        <v>15</v>
      </c>
      <c r="D89" t="s">
        <v>142</v>
      </c>
    </row>
    <row r="90" spans="1:4" x14ac:dyDescent="0.25">
      <c r="A90" s="6">
        <v>43007</v>
      </c>
      <c r="B90">
        <v>-22.82</v>
      </c>
      <c r="C90" s="3" t="s">
        <v>15</v>
      </c>
      <c r="D90" t="s">
        <v>143</v>
      </c>
    </row>
    <row r="91" spans="1:4" x14ac:dyDescent="0.25">
      <c r="A91" s="6">
        <v>43011</v>
      </c>
      <c r="B91">
        <v>-7.04</v>
      </c>
      <c r="C91" s="3" t="s">
        <v>15</v>
      </c>
      <c r="D91" t="s">
        <v>142</v>
      </c>
    </row>
    <row r="92" spans="1:4" x14ac:dyDescent="0.25">
      <c r="A92" s="6">
        <v>43012</v>
      </c>
      <c r="B92">
        <v>-5.55</v>
      </c>
      <c r="C92" s="3" t="s">
        <v>15</v>
      </c>
      <c r="D92" t="s">
        <v>143</v>
      </c>
    </row>
    <row r="93" spans="1:4" x14ac:dyDescent="0.25">
      <c r="A93" s="6">
        <v>43028</v>
      </c>
      <c r="B93">
        <v>-6.35</v>
      </c>
      <c r="C93" s="3" t="s">
        <v>15</v>
      </c>
      <c r="D93" t="s">
        <v>143</v>
      </c>
    </row>
    <row r="94" spans="1:4" x14ac:dyDescent="0.25">
      <c r="A94" s="6">
        <v>43031</v>
      </c>
      <c r="B94">
        <v>-13.06</v>
      </c>
      <c r="C94" s="3" t="s">
        <v>15</v>
      </c>
      <c r="D94" t="s">
        <v>142</v>
      </c>
    </row>
    <row r="95" spans="1:4" x14ac:dyDescent="0.25">
      <c r="A95" s="6">
        <v>43045</v>
      </c>
      <c r="B95">
        <v>-31.77</v>
      </c>
      <c r="C95" s="3" t="s">
        <v>15</v>
      </c>
      <c r="D95" t="s">
        <v>143</v>
      </c>
    </row>
    <row r="96" spans="1:4" x14ac:dyDescent="0.25">
      <c r="A96" s="6">
        <v>43045</v>
      </c>
      <c r="B96">
        <v>-3.48</v>
      </c>
      <c r="C96" s="3" t="s">
        <v>15</v>
      </c>
      <c r="D96" t="s">
        <v>143</v>
      </c>
    </row>
    <row r="97" spans="1:4" x14ac:dyDescent="0.25">
      <c r="A97" s="6">
        <v>43059</v>
      </c>
      <c r="B97">
        <v>-27.55</v>
      </c>
      <c r="C97" s="3" t="s">
        <v>15</v>
      </c>
      <c r="D97" t="s">
        <v>143</v>
      </c>
    </row>
    <row r="98" spans="1:4" x14ac:dyDescent="0.25">
      <c r="A98" s="6">
        <v>43063</v>
      </c>
      <c r="B98">
        <v>-30.75</v>
      </c>
      <c r="C98" s="3" t="s">
        <v>15</v>
      </c>
      <c r="D98" t="s">
        <v>143</v>
      </c>
    </row>
    <row r="99" spans="1:4" x14ac:dyDescent="0.25">
      <c r="A99" s="6">
        <v>43068</v>
      </c>
      <c r="B99">
        <v>-33.54</v>
      </c>
      <c r="C99" s="3" t="s">
        <v>15</v>
      </c>
      <c r="D99" t="s">
        <v>143</v>
      </c>
    </row>
    <row r="100" spans="1:4" x14ac:dyDescent="0.25">
      <c r="A100" s="6">
        <v>43073</v>
      </c>
      <c r="B100">
        <v>-33.35</v>
      </c>
      <c r="C100" s="3" t="s">
        <v>15</v>
      </c>
      <c r="D100" t="s">
        <v>143</v>
      </c>
    </row>
    <row r="101" spans="1:4" x14ac:dyDescent="0.25">
      <c r="A101" s="6">
        <v>43075</v>
      </c>
      <c r="B101">
        <v>-93</v>
      </c>
      <c r="C101" s="3" t="s">
        <v>15</v>
      </c>
      <c r="D101" t="s">
        <v>194</v>
      </c>
    </row>
    <row r="102" spans="1:4" x14ac:dyDescent="0.25">
      <c r="A102" s="6">
        <v>43087</v>
      </c>
      <c r="B102">
        <v>-37.65</v>
      </c>
      <c r="C102" s="3" t="s">
        <v>15</v>
      </c>
      <c r="D102" t="s">
        <v>143</v>
      </c>
    </row>
    <row r="103" spans="1:4" x14ac:dyDescent="0.25">
      <c r="A103" s="6">
        <v>43108</v>
      </c>
      <c r="B103">
        <v>-30.59</v>
      </c>
      <c r="C103" s="3" t="s">
        <v>15</v>
      </c>
      <c r="D103" t="s">
        <v>142</v>
      </c>
    </row>
    <row r="104" spans="1:4" x14ac:dyDescent="0.25">
      <c r="A104" s="6">
        <v>43116</v>
      </c>
      <c r="B104">
        <v>-29.61</v>
      </c>
      <c r="C104" s="3" t="s">
        <v>15</v>
      </c>
      <c r="D104" t="s">
        <v>143</v>
      </c>
    </row>
    <row r="105" spans="1:4" x14ac:dyDescent="0.25">
      <c r="A105" s="6">
        <v>43122</v>
      </c>
      <c r="B105">
        <v>-31.84</v>
      </c>
      <c r="C105" s="3" t="s">
        <v>15</v>
      </c>
      <c r="D105" t="s">
        <v>143</v>
      </c>
    </row>
    <row r="106" spans="1:4" x14ac:dyDescent="0.25">
      <c r="A106" s="6">
        <v>43131</v>
      </c>
      <c r="B106">
        <v>-32.51</v>
      </c>
      <c r="C106" s="3" t="s">
        <v>15</v>
      </c>
      <c r="D106" t="s">
        <v>143</v>
      </c>
    </row>
    <row r="107" spans="1:4" x14ac:dyDescent="0.25">
      <c r="A107" s="6">
        <v>43161</v>
      </c>
      <c r="B107">
        <v>-23.33</v>
      </c>
      <c r="C107" s="3" t="s">
        <v>15</v>
      </c>
      <c r="D107" t="s">
        <v>143</v>
      </c>
    </row>
    <row r="108" spans="1:4" x14ac:dyDescent="0.25">
      <c r="A108" s="6">
        <v>43167</v>
      </c>
      <c r="B108">
        <v>-31.6</v>
      </c>
      <c r="C108" s="3" t="s">
        <v>15</v>
      </c>
      <c r="D108" t="s">
        <v>142</v>
      </c>
    </row>
    <row r="109" spans="1:4" x14ac:dyDescent="0.25">
      <c r="A109" s="6">
        <v>43171</v>
      </c>
      <c r="B109">
        <v>-28.05</v>
      </c>
      <c r="C109" s="3" t="s">
        <v>15</v>
      </c>
      <c r="D109" t="s">
        <v>143</v>
      </c>
    </row>
    <row r="110" spans="1:4" x14ac:dyDescent="0.25">
      <c r="A110" s="6">
        <v>43171</v>
      </c>
      <c r="B110">
        <v>-25.15</v>
      </c>
      <c r="C110" s="3" t="s">
        <v>15</v>
      </c>
      <c r="D110" t="s">
        <v>143</v>
      </c>
    </row>
    <row r="111" spans="1:4" x14ac:dyDescent="0.25">
      <c r="A111" s="6">
        <v>43179</v>
      </c>
      <c r="B111">
        <v>-12.25</v>
      </c>
      <c r="C111" s="3" t="s">
        <v>15</v>
      </c>
      <c r="D111" t="s">
        <v>143</v>
      </c>
    </row>
  </sheetData>
  <sortState ref="A2:D111">
    <sortCondition ref="A2:A1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H6" sqref="H6"/>
    </sheetView>
  </sheetViews>
  <sheetFormatPr defaultRowHeight="15" x14ac:dyDescent="0.25"/>
  <cols>
    <col min="1" max="1" width="7.7109375" bestFit="1" customWidth="1"/>
  </cols>
  <sheetData>
    <row r="1" spans="1:3" x14ac:dyDescent="0.25">
      <c r="A1" s="2" t="s">
        <v>139</v>
      </c>
      <c r="B1" s="2" t="s">
        <v>138</v>
      </c>
      <c r="C1" s="2" t="s">
        <v>137</v>
      </c>
    </row>
    <row r="2" spans="1:3" x14ac:dyDescent="0.25">
      <c r="A2">
        <f>SUM('Factor Ledger'!B2:B9)</f>
        <v>-151.88</v>
      </c>
      <c r="B2">
        <v>1</v>
      </c>
      <c r="C2" t="s">
        <v>15</v>
      </c>
    </row>
    <row r="3" spans="1:3" x14ac:dyDescent="0.25">
      <c r="A3">
        <f>SUM('Factor Ledger'!B10:B17)</f>
        <v>-132.56</v>
      </c>
      <c r="B3">
        <v>2</v>
      </c>
      <c r="C3" t="s">
        <v>15</v>
      </c>
    </row>
    <row r="4" spans="1:3" x14ac:dyDescent="0.25">
      <c r="A4">
        <f>SUM('Factor Ledger'!B18:B25)</f>
        <v>-142.44999999999999</v>
      </c>
      <c r="B4">
        <v>3</v>
      </c>
      <c r="C4" t="s">
        <v>15</v>
      </c>
    </row>
    <row r="5" spans="1:3" x14ac:dyDescent="0.25">
      <c r="A5">
        <f>SUM('Factor Ledger'!B26:B33)</f>
        <v>-170.63</v>
      </c>
      <c r="B5">
        <v>4</v>
      </c>
      <c r="C5" t="s">
        <v>15</v>
      </c>
    </row>
    <row r="6" spans="1:3" x14ac:dyDescent="0.25">
      <c r="A6">
        <f>SUM('Factor Ledger'!B34:B39)</f>
        <v>-124.8</v>
      </c>
      <c r="B6">
        <v>5</v>
      </c>
      <c r="C6" t="s">
        <v>15</v>
      </c>
    </row>
    <row r="7" spans="1:3" x14ac:dyDescent="0.25">
      <c r="A7">
        <f>SUM('Factor Ledger'!B40:B46)</f>
        <v>-163.25</v>
      </c>
      <c r="B7">
        <v>6</v>
      </c>
      <c r="C7" t="s">
        <v>15</v>
      </c>
    </row>
    <row r="8" spans="1:3" x14ac:dyDescent="0.25">
      <c r="A8">
        <f>SUM('Factor Ledger'!B47:B56)</f>
        <v>-148.11999999999998</v>
      </c>
      <c r="B8">
        <v>7</v>
      </c>
      <c r="C8" t="s">
        <v>15</v>
      </c>
    </row>
    <row r="9" spans="1:3" x14ac:dyDescent="0.25">
      <c r="A9">
        <f>SUM('Factor Ledger'!B57:B62)</f>
        <v>-126.97</v>
      </c>
      <c r="B9">
        <v>8</v>
      </c>
      <c r="C9" t="s">
        <v>15</v>
      </c>
    </row>
    <row r="10" spans="1:3" x14ac:dyDescent="0.25">
      <c r="A10">
        <f>SUM('Factor Ledger'!B63:B67)</f>
        <v>-115.47</v>
      </c>
      <c r="B10">
        <v>12</v>
      </c>
      <c r="C10" t="s">
        <v>15</v>
      </c>
    </row>
    <row r="11" spans="1:3" x14ac:dyDescent="0.25">
      <c r="A11">
        <f>SUM('Factor Ledger'!B68:B71)</f>
        <v>-105.66000000000001</v>
      </c>
      <c r="B11">
        <v>14</v>
      </c>
      <c r="C11" t="s">
        <v>15</v>
      </c>
    </row>
    <row r="12" spans="1:3" x14ac:dyDescent="0.25">
      <c r="A12">
        <f>SUM('Factor Ledger'!B72:B77)</f>
        <v>-141.60999999999999</v>
      </c>
      <c r="B12">
        <v>17</v>
      </c>
      <c r="C12" t="s">
        <v>15</v>
      </c>
    </row>
    <row r="13" spans="1:3" x14ac:dyDescent="0.25">
      <c r="A13">
        <f>SUM('Factor Ledger'!B78:B81)</f>
        <v>-44.51</v>
      </c>
      <c r="B13">
        <v>19</v>
      </c>
      <c r="C13" t="s">
        <v>15</v>
      </c>
    </row>
    <row r="14" spans="1:3" x14ac:dyDescent="0.25">
      <c r="A14">
        <f>SUM('Factor Ledger'!B82:B85)</f>
        <v>-85</v>
      </c>
      <c r="B14">
        <v>20</v>
      </c>
      <c r="C14" t="s">
        <v>15</v>
      </c>
    </row>
    <row r="15" spans="1:3" x14ac:dyDescent="0.25">
      <c r="A15">
        <f>SUM('Factor Ledger'!B86:B90)</f>
        <v>-145.25</v>
      </c>
      <c r="B15">
        <v>21</v>
      </c>
      <c r="C15" t="s">
        <v>15</v>
      </c>
    </row>
    <row r="16" spans="1:3" x14ac:dyDescent="0.25">
      <c r="A16">
        <f>SUM('Factor Ledger'!B91:B94)</f>
        <v>-32</v>
      </c>
      <c r="B16">
        <v>22</v>
      </c>
      <c r="C16" t="s">
        <v>15</v>
      </c>
    </row>
    <row r="17" spans="1:3" x14ac:dyDescent="0.25">
      <c r="A17">
        <f>SUM('Factor Ledger'!B95:B99)</f>
        <v>-127.09</v>
      </c>
      <c r="B17">
        <v>23</v>
      </c>
      <c r="C17" t="s">
        <v>15</v>
      </c>
    </row>
    <row r="18" spans="1:3" x14ac:dyDescent="0.25">
      <c r="A18">
        <f>SUM('Factor Ledger'!B100:B102)</f>
        <v>-164</v>
      </c>
      <c r="B18">
        <v>24</v>
      </c>
      <c r="C18" t="s">
        <v>15</v>
      </c>
    </row>
    <row r="19" spans="1:3" x14ac:dyDescent="0.25">
      <c r="A19">
        <f>SUM('Factor Ledger'!B103:B106)</f>
        <v>-124.55000000000001</v>
      </c>
      <c r="B19">
        <v>25</v>
      </c>
      <c r="C19" t="s">
        <v>15</v>
      </c>
    </row>
    <row r="20" spans="1:3" x14ac:dyDescent="0.25">
      <c r="A20">
        <f>SUM('Factor Ledger'!B107:B111)</f>
        <v>-120.38</v>
      </c>
      <c r="B20">
        <v>27</v>
      </c>
      <c r="C20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D36" sqref="D36"/>
    </sheetView>
  </sheetViews>
  <sheetFormatPr defaultRowHeight="15" x14ac:dyDescent="0.25"/>
  <cols>
    <col min="2" max="2" width="27.4257812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6" s="1" customFormat="1" x14ac:dyDescent="0.25">
      <c r="A1" s="1" t="s">
        <v>7</v>
      </c>
      <c r="B1" s="1" t="s">
        <v>22</v>
      </c>
      <c r="C1" s="1" t="s">
        <v>29</v>
      </c>
      <c r="D1" s="1" t="s">
        <v>30</v>
      </c>
      <c r="E1" s="1" t="s">
        <v>21</v>
      </c>
      <c r="F1" s="1" t="s">
        <v>14</v>
      </c>
    </row>
    <row r="2" spans="1:6" x14ac:dyDescent="0.25">
      <c r="B2" t="s">
        <v>23</v>
      </c>
      <c r="C2">
        <v>4600</v>
      </c>
    </row>
    <row r="3" spans="1:6" x14ac:dyDescent="0.25">
      <c r="B3" t="s">
        <v>149</v>
      </c>
      <c r="C3">
        <v>200</v>
      </c>
    </row>
    <row r="4" spans="1:6" x14ac:dyDescent="0.25">
      <c r="B4" t="s">
        <v>104</v>
      </c>
      <c r="C4">
        <v>3000</v>
      </c>
    </row>
    <row r="5" spans="1:6" x14ac:dyDescent="0.25">
      <c r="B5" t="s">
        <v>88</v>
      </c>
      <c r="C5">
        <v>1400</v>
      </c>
    </row>
    <row r="6" spans="1:6" x14ac:dyDescent="0.25">
      <c r="B6" t="s">
        <v>24</v>
      </c>
      <c r="C6">
        <v>0</v>
      </c>
    </row>
    <row r="7" spans="1:6" x14ac:dyDescent="0.25">
      <c r="B7" t="s">
        <v>25</v>
      </c>
      <c r="C7">
        <v>50</v>
      </c>
    </row>
    <row r="8" spans="1:6" x14ac:dyDescent="0.25">
      <c r="B8" t="s">
        <v>31</v>
      </c>
      <c r="D8">
        <v>5000</v>
      </c>
    </row>
    <row r="9" spans="1:6" x14ac:dyDescent="0.25">
      <c r="B9" t="s">
        <v>32</v>
      </c>
      <c r="D9">
        <v>6000</v>
      </c>
      <c r="E9">
        <v>7005</v>
      </c>
    </row>
    <row r="10" spans="1:6" x14ac:dyDescent="0.25">
      <c r="B10" t="s">
        <v>195</v>
      </c>
      <c r="D10">
        <v>380000</v>
      </c>
      <c r="F10" t="s">
        <v>131</v>
      </c>
    </row>
    <row r="11" spans="1:6" x14ac:dyDescent="0.25">
      <c r="B11" t="s">
        <v>89</v>
      </c>
      <c r="D11">
        <v>10000</v>
      </c>
      <c r="F11" t="s">
        <v>131</v>
      </c>
    </row>
    <row r="12" spans="1:6" x14ac:dyDescent="0.25">
      <c r="B12" t="s">
        <v>186</v>
      </c>
      <c r="D12">
        <v>10300</v>
      </c>
    </row>
    <row r="13" spans="1:6" x14ac:dyDescent="0.25">
      <c r="B13" t="s">
        <v>129</v>
      </c>
      <c r="E13">
        <v>130000</v>
      </c>
      <c r="F13" t="s">
        <v>131</v>
      </c>
    </row>
    <row r="14" spans="1:6" x14ac:dyDescent="0.25">
      <c r="B14" t="s">
        <v>130</v>
      </c>
      <c r="E14">
        <v>31700</v>
      </c>
    </row>
    <row r="15" spans="1:6" x14ac:dyDescent="0.25">
      <c r="B15" t="s">
        <v>26</v>
      </c>
      <c r="E15">
        <v>361000</v>
      </c>
    </row>
    <row r="16" spans="1:6" x14ac:dyDescent="0.25">
      <c r="B16" t="s">
        <v>27</v>
      </c>
      <c r="E16">
        <v>1550</v>
      </c>
    </row>
    <row r="17" spans="1:5" x14ac:dyDescent="0.25">
      <c r="B17" t="s">
        <v>105</v>
      </c>
      <c r="E17">
        <v>0</v>
      </c>
    </row>
    <row r="18" spans="1:5" x14ac:dyDescent="0.25">
      <c r="B18" t="s">
        <v>106</v>
      </c>
      <c r="E18">
        <v>1550</v>
      </c>
    </row>
    <row r="19" spans="1:5" x14ac:dyDescent="0.25">
      <c r="B19" t="s">
        <v>28</v>
      </c>
      <c r="E19">
        <v>1450</v>
      </c>
    </row>
    <row r="20" spans="1:5" x14ac:dyDescent="0.25">
      <c r="B20" t="s">
        <v>116</v>
      </c>
      <c r="E20">
        <v>3360</v>
      </c>
    </row>
    <row r="21" spans="1:5" x14ac:dyDescent="0.25">
      <c r="B21" t="s">
        <v>117</v>
      </c>
      <c r="E21">
        <v>4200</v>
      </c>
    </row>
    <row r="22" spans="1:5" x14ac:dyDescent="0.25">
      <c r="B22" t="s">
        <v>75</v>
      </c>
      <c r="E22">
        <v>0</v>
      </c>
    </row>
    <row r="23" spans="1:5" x14ac:dyDescent="0.25">
      <c r="B23" t="s">
        <v>90</v>
      </c>
      <c r="E23">
        <v>0</v>
      </c>
    </row>
    <row r="24" spans="1:5" x14ac:dyDescent="0.25">
      <c r="B24" t="s">
        <v>87</v>
      </c>
      <c r="C24">
        <v>0</v>
      </c>
      <c r="E24">
        <v>0</v>
      </c>
    </row>
    <row r="25" spans="1:5" s="8" customFormat="1" x14ac:dyDescent="0.25">
      <c r="A25" s="7"/>
      <c r="B25" s="8" t="s">
        <v>12</v>
      </c>
      <c r="C25" s="8">
        <f>SUM(C2:C24)</f>
        <v>9250</v>
      </c>
      <c r="D25" s="8">
        <f>SUM(D2:D24)</f>
        <v>411300</v>
      </c>
      <c r="E25" s="8">
        <f>SUM(E2:E24)</f>
        <v>541815</v>
      </c>
    </row>
    <row r="26" spans="1:5" x14ac:dyDescent="0.25">
      <c r="D26" t="s">
        <v>33</v>
      </c>
      <c r="E26">
        <f>SUM(C25:D25)</f>
        <v>420550</v>
      </c>
    </row>
    <row r="27" spans="1:5" x14ac:dyDescent="0.25">
      <c r="D27" t="s">
        <v>71</v>
      </c>
      <c r="E27">
        <f>E26-E25</f>
        <v>-121265</v>
      </c>
    </row>
    <row r="30" spans="1:5" x14ac:dyDescent="0.25">
      <c r="B30" t="s">
        <v>196</v>
      </c>
    </row>
    <row r="31" spans="1:5" x14ac:dyDescent="0.25">
      <c r="B31" t="s">
        <v>197</v>
      </c>
      <c r="C31" t="s">
        <v>199</v>
      </c>
    </row>
    <row r="32" spans="1:5" x14ac:dyDescent="0.25">
      <c r="B32" t="s">
        <v>198</v>
      </c>
      <c r="C32" t="s">
        <v>200</v>
      </c>
    </row>
    <row r="33" spans="2:4" x14ac:dyDescent="0.25">
      <c r="B33" t="s">
        <v>201</v>
      </c>
      <c r="C33" t="s">
        <v>202</v>
      </c>
    </row>
    <row r="34" spans="2:4" x14ac:dyDescent="0.25">
      <c r="B34" t="s">
        <v>203</v>
      </c>
      <c r="C34" t="s">
        <v>204</v>
      </c>
    </row>
    <row r="35" spans="2:4" x14ac:dyDescent="0.25">
      <c r="B35" t="s">
        <v>206</v>
      </c>
      <c r="C35" t="s">
        <v>205</v>
      </c>
      <c r="D35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11" sqref="C11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13" s="1" customFormat="1" x14ac:dyDescent="0.25">
      <c r="A1" s="1" t="s">
        <v>7</v>
      </c>
      <c r="B1" s="1" t="s">
        <v>9</v>
      </c>
      <c r="C1" s="1" t="s">
        <v>13</v>
      </c>
      <c r="D1" s="1" t="s">
        <v>8</v>
      </c>
      <c r="E1" s="1" t="s">
        <v>73</v>
      </c>
      <c r="F1" s="1" t="s">
        <v>72</v>
      </c>
      <c r="G1" s="1" t="s">
        <v>14</v>
      </c>
      <c r="J1" s="1" t="s">
        <v>91</v>
      </c>
      <c r="K1" s="1" t="s">
        <v>92</v>
      </c>
      <c r="L1" s="1" t="s">
        <v>93</v>
      </c>
      <c r="M1" s="1" t="s">
        <v>14</v>
      </c>
    </row>
    <row r="2" spans="1:13" x14ac:dyDescent="0.25">
      <c r="A2" s="19">
        <v>42370</v>
      </c>
      <c r="B2" t="s">
        <v>81</v>
      </c>
      <c r="D2">
        <v>875</v>
      </c>
      <c r="E2">
        <f>E3-875</f>
        <v>-156795</v>
      </c>
      <c r="J2">
        <f>SUM(C2:D13)/12</f>
        <v>1555.4166666666667</v>
      </c>
      <c r="K2">
        <f>(-1*F3)/J2</f>
        <v>100.24323600321456</v>
      </c>
      <c r="L2">
        <f>K2/12</f>
        <v>8.3536030002678796</v>
      </c>
      <c r="M2" t="s">
        <v>94</v>
      </c>
    </row>
    <row r="3" spans="1:13" x14ac:dyDescent="0.25">
      <c r="A3" s="19">
        <v>42401</v>
      </c>
      <c r="B3" t="s">
        <v>80</v>
      </c>
      <c r="D3">
        <v>875</v>
      </c>
      <c r="E3">
        <v>-155920</v>
      </c>
      <c r="F3">
        <v>-155920</v>
      </c>
      <c r="J3">
        <v>1100</v>
      </c>
      <c r="K3">
        <f>(-1*F3)/J3</f>
        <v>141.74545454545455</v>
      </c>
      <c r="L3">
        <f>K3/12</f>
        <v>11.812121212121212</v>
      </c>
      <c r="M3" t="s">
        <v>95</v>
      </c>
    </row>
    <row r="4" spans="1:13" x14ac:dyDescent="0.25">
      <c r="A4" s="19">
        <v>42430</v>
      </c>
      <c r="B4" t="s">
        <v>86</v>
      </c>
      <c r="C4">
        <v>-3000</v>
      </c>
      <c r="D4">
        <v>4125</v>
      </c>
      <c r="E4">
        <f>E3+C4+D4</f>
        <v>-154795</v>
      </c>
      <c r="J4">
        <v>1700</v>
      </c>
      <c r="K4">
        <f>(-1*F3)/J4</f>
        <v>91.71764705882353</v>
      </c>
      <c r="L4">
        <f>K4/12</f>
        <v>7.6431372549019612</v>
      </c>
      <c r="M4" t="s">
        <v>95</v>
      </c>
    </row>
    <row r="5" spans="1:13" x14ac:dyDescent="0.25">
      <c r="A5" s="19">
        <v>42461</v>
      </c>
      <c r="B5" t="s">
        <v>20</v>
      </c>
      <c r="D5">
        <v>890</v>
      </c>
      <c r="E5">
        <v>-146830</v>
      </c>
      <c r="F5">
        <v>-146830</v>
      </c>
      <c r="J5">
        <v>1860</v>
      </c>
      <c r="K5">
        <f>(-1*F3)/J5</f>
        <v>83.827956989247312</v>
      </c>
      <c r="L5">
        <f>K5/12</f>
        <v>6.9856630824372763</v>
      </c>
      <c r="M5" t="s">
        <v>95</v>
      </c>
    </row>
    <row r="6" spans="1:13" x14ac:dyDescent="0.25">
      <c r="A6" s="19">
        <v>42491</v>
      </c>
      <c r="B6" t="s">
        <v>20</v>
      </c>
      <c r="D6">
        <v>1700</v>
      </c>
      <c r="E6">
        <f t="shared" ref="E6:E13" si="0">E5+C6+D6</f>
        <v>-145130</v>
      </c>
      <c r="J6">
        <v>2000</v>
      </c>
      <c r="K6">
        <f>(-1*F3)/J6</f>
        <v>77.959999999999994</v>
      </c>
      <c r="L6">
        <f>K6/12</f>
        <v>6.4966666666666661</v>
      </c>
      <c r="M6" t="s">
        <v>95</v>
      </c>
    </row>
    <row r="7" spans="1:13" x14ac:dyDescent="0.25">
      <c r="A7" s="19">
        <v>42522</v>
      </c>
      <c r="B7" t="s">
        <v>85</v>
      </c>
      <c r="D7">
        <v>5500</v>
      </c>
      <c r="E7">
        <f t="shared" si="0"/>
        <v>-139630</v>
      </c>
    </row>
    <row r="8" spans="1:13" x14ac:dyDescent="0.25">
      <c r="A8" s="19">
        <v>42552</v>
      </c>
      <c r="B8" t="s">
        <v>123</v>
      </c>
      <c r="C8">
        <v>-1000</v>
      </c>
      <c r="D8">
        <v>1700</v>
      </c>
      <c r="E8">
        <f t="shared" si="0"/>
        <v>-138930</v>
      </c>
    </row>
    <row r="9" spans="1:13" x14ac:dyDescent="0.25">
      <c r="A9" s="19">
        <v>42583</v>
      </c>
      <c r="B9" t="s">
        <v>84</v>
      </c>
      <c r="C9">
        <v>-250</v>
      </c>
      <c r="D9">
        <v>1700</v>
      </c>
      <c r="E9">
        <f t="shared" si="0"/>
        <v>-137480</v>
      </c>
    </row>
    <row r="10" spans="1:13" x14ac:dyDescent="0.25">
      <c r="A10" s="19">
        <v>42614</v>
      </c>
      <c r="B10" t="s">
        <v>20</v>
      </c>
      <c r="D10">
        <v>1700</v>
      </c>
      <c r="E10">
        <f t="shared" si="0"/>
        <v>-135780</v>
      </c>
    </row>
    <row r="11" spans="1:13" x14ac:dyDescent="0.25">
      <c r="A11" s="19">
        <v>42644</v>
      </c>
      <c r="B11" t="s">
        <v>20</v>
      </c>
      <c r="D11">
        <v>1700</v>
      </c>
      <c r="E11">
        <f t="shared" si="0"/>
        <v>-134080</v>
      </c>
    </row>
    <row r="12" spans="1:13" x14ac:dyDescent="0.25">
      <c r="A12" s="19">
        <v>42675</v>
      </c>
      <c r="B12" t="s">
        <v>82</v>
      </c>
      <c r="C12">
        <v>-250</v>
      </c>
      <c r="D12">
        <v>1700</v>
      </c>
      <c r="E12">
        <f t="shared" si="0"/>
        <v>-132630</v>
      </c>
    </row>
    <row r="13" spans="1:13" x14ac:dyDescent="0.25">
      <c r="A13" s="19">
        <v>42705</v>
      </c>
      <c r="B13" t="s">
        <v>83</v>
      </c>
      <c r="C13">
        <v>-1000</v>
      </c>
      <c r="D13">
        <v>1700</v>
      </c>
      <c r="E13">
        <f t="shared" si="0"/>
        <v>-131930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activeCell="G17" sqref="G17"/>
    </sheetView>
  </sheetViews>
  <sheetFormatPr defaultRowHeight="15" x14ac:dyDescent="0.25"/>
  <cols>
    <col min="1" max="1" width="27.140625" bestFit="1" customWidth="1"/>
    <col min="2" max="2" width="10.85546875" bestFit="1" customWidth="1"/>
    <col min="3" max="3" width="12" bestFit="1" customWidth="1"/>
    <col min="4" max="4" width="9.85546875" bestFit="1" customWidth="1"/>
    <col min="5" max="5" width="19.5703125" bestFit="1" customWidth="1"/>
    <col min="6" max="6" width="16.28515625" bestFit="1" customWidth="1"/>
    <col min="7" max="7" width="16.42578125" customWidth="1"/>
    <col min="8" max="8" width="22.85546875" bestFit="1" customWidth="1"/>
    <col min="9" max="10" width="12" bestFit="1" customWidth="1"/>
    <col min="11" max="11" width="82.42578125" bestFit="1" customWidth="1"/>
    <col min="13" max="13" width="12.85546875" bestFit="1" customWidth="1"/>
    <col min="14" max="14" width="10.85546875" bestFit="1" customWidth="1"/>
    <col min="16" max="16" width="26.42578125" bestFit="1" customWidth="1"/>
    <col min="17" max="17" width="9.85546875" bestFit="1" customWidth="1"/>
    <col min="18" max="18" width="10.85546875" bestFit="1" customWidth="1"/>
    <col min="20" max="20" width="9.85546875" bestFit="1" customWidth="1"/>
  </cols>
  <sheetData>
    <row r="1" spans="1:11" x14ac:dyDescent="0.25">
      <c r="A1" t="s">
        <v>34</v>
      </c>
      <c r="B1" t="s">
        <v>161</v>
      </c>
      <c r="C1" t="s">
        <v>46</v>
      </c>
      <c r="D1" t="s">
        <v>35</v>
      </c>
      <c r="E1" t="s">
        <v>160</v>
      </c>
      <c r="F1" t="s">
        <v>155</v>
      </c>
      <c r="G1" t="s">
        <v>151</v>
      </c>
      <c r="H1" t="s">
        <v>152</v>
      </c>
      <c r="I1" t="s">
        <v>159</v>
      </c>
      <c r="J1" t="s">
        <v>156</v>
      </c>
      <c r="K1" t="s">
        <v>14</v>
      </c>
    </row>
    <row r="2" spans="1:11" x14ac:dyDescent="0.25">
      <c r="A2" t="s">
        <v>147</v>
      </c>
      <c r="B2">
        <v>200</v>
      </c>
      <c r="C2" s="15">
        <v>8.5000000000000006E-2</v>
      </c>
      <c r="D2" t="s">
        <v>54</v>
      </c>
      <c r="E2">
        <v>9700</v>
      </c>
      <c r="F2">
        <f t="shared" ref="F2:F13" si="0">B2/E2</f>
        <v>2.0618556701030927E-2</v>
      </c>
      <c r="G2">
        <f>E2/B2</f>
        <v>48.5</v>
      </c>
      <c r="H2">
        <f>G2*(1/C2)</f>
        <v>570.58823529411757</v>
      </c>
      <c r="I2">
        <f>E2/(B2+1)</f>
        <v>48.258706467661689</v>
      </c>
      <c r="J2">
        <f>I2*(1/(C2+1))</f>
        <v>44.478070477107551</v>
      </c>
    </row>
    <row r="3" spans="1:11" x14ac:dyDescent="0.25">
      <c r="A3" t="s">
        <v>165</v>
      </c>
      <c r="B3">
        <v>260</v>
      </c>
      <c r="C3" s="15">
        <v>5.0200000000000002E-2</v>
      </c>
      <c r="D3" t="s">
        <v>54</v>
      </c>
      <c r="E3">
        <v>22000</v>
      </c>
      <c r="F3">
        <f t="shared" si="0"/>
        <v>1.1818181818181818E-2</v>
      </c>
      <c r="G3">
        <f t="shared" ref="G3:G13" si="1">E3/B3</f>
        <v>84.615384615384613</v>
      </c>
      <c r="H3">
        <f t="shared" ref="H3:H13" si="2">G3*(1/C3)</f>
        <v>1685.5654305853509</v>
      </c>
      <c r="I3">
        <f t="shared" ref="I3:I13" si="3">E3/(B3+1)</f>
        <v>84.291187739463595</v>
      </c>
      <c r="J3">
        <f t="shared" ref="J3:J13" si="4">I3*(1/(C3+1))</f>
        <v>80.262033650222421</v>
      </c>
    </row>
    <row r="4" spans="1:11" x14ac:dyDescent="0.25">
      <c r="A4" t="s">
        <v>43</v>
      </c>
      <c r="B4">
        <v>0</v>
      </c>
      <c r="C4" s="15">
        <v>5.5199999999999999E-2</v>
      </c>
      <c r="D4" t="s">
        <v>54</v>
      </c>
      <c r="E4">
        <v>75000</v>
      </c>
      <c r="F4">
        <f t="shared" si="0"/>
        <v>0</v>
      </c>
      <c r="G4" t="e">
        <f t="shared" si="1"/>
        <v>#DIV/0!</v>
      </c>
      <c r="H4" t="e">
        <f t="shared" si="2"/>
        <v>#DIV/0!</v>
      </c>
      <c r="I4">
        <f t="shared" si="3"/>
        <v>75000</v>
      </c>
      <c r="J4">
        <f t="shared" si="4"/>
        <v>71076.573161485983</v>
      </c>
    </row>
    <row r="5" spans="1:11" x14ac:dyDescent="0.25">
      <c r="A5" t="s">
        <v>44</v>
      </c>
      <c r="B5">
        <v>0</v>
      </c>
      <c r="C5" s="15">
        <v>6.5000000000000002E-2</v>
      </c>
      <c r="D5" t="s">
        <v>54</v>
      </c>
      <c r="E5">
        <v>55000</v>
      </c>
      <c r="F5">
        <f t="shared" si="0"/>
        <v>0</v>
      </c>
      <c r="G5" t="e">
        <f t="shared" si="1"/>
        <v>#DIV/0!</v>
      </c>
      <c r="H5" t="e">
        <f t="shared" si="2"/>
        <v>#DIV/0!</v>
      </c>
      <c r="I5">
        <f t="shared" si="3"/>
        <v>55000</v>
      </c>
      <c r="J5">
        <f t="shared" si="4"/>
        <v>51643.19248826291</v>
      </c>
    </row>
    <row r="6" spans="1:11" x14ac:dyDescent="0.25">
      <c r="A6" t="s">
        <v>26</v>
      </c>
      <c r="B6">
        <v>2400</v>
      </c>
      <c r="C6" s="15">
        <v>3.7499999999999999E-2</v>
      </c>
      <c r="D6" t="s">
        <v>54</v>
      </c>
      <c r="E6">
        <v>364000</v>
      </c>
      <c r="F6">
        <f t="shared" si="0"/>
        <v>6.5934065934065934E-3</v>
      </c>
      <c r="G6">
        <f t="shared" si="1"/>
        <v>151.66666666666666</v>
      </c>
      <c r="H6">
        <f t="shared" si="2"/>
        <v>4044.4444444444443</v>
      </c>
      <c r="I6">
        <f t="shared" si="3"/>
        <v>151.60349854227405</v>
      </c>
      <c r="J6">
        <f t="shared" si="4"/>
        <v>146.12385401664966</v>
      </c>
    </row>
    <row r="7" spans="1:11" x14ac:dyDescent="0.25">
      <c r="A7" t="s">
        <v>28</v>
      </c>
      <c r="B7">
        <v>200</v>
      </c>
      <c r="C7" s="15">
        <v>0</v>
      </c>
      <c r="D7" t="s">
        <v>54</v>
      </c>
      <c r="E7">
        <v>1450</v>
      </c>
      <c r="F7">
        <f t="shared" si="0"/>
        <v>0.13793103448275862</v>
      </c>
      <c r="G7">
        <f t="shared" si="1"/>
        <v>7.25</v>
      </c>
      <c r="H7" t="e">
        <f t="shared" si="2"/>
        <v>#DIV/0!</v>
      </c>
      <c r="I7">
        <f t="shared" si="3"/>
        <v>7.2139303482587067</v>
      </c>
      <c r="J7">
        <f t="shared" si="4"/>
        <v>7.2139303482587067</v>
      </c>
    </row>
    <row r="8" spans="1:11" x14ac:dyDescent="0.25">
      <c r="A8" t="s">
        <v>106</v>
      </c>
      <c r="B8">
        <v>30</v>
      </c>
      <c r="C8" s="15">
        <v>0.28999999999999998</v>
      </c>
      <c r="D8" t="s">
        <v>54</v>
      </c>
      <c r="E8">
        <v>1720</v>
      </c>
      <c r="F8">
        <f t="shared" si="0"/>
        <v>1.7441860465116279E-2</v>
      </c>
      <c r="G8">
        <f t="shared" si="1"/>
        <v>57.333333333333336</v>
      </c>
      <c r="H8">
        <f t="shared" si="2"/>
        <v>197.70114942528738</v>
      </c>
      <c r="I8">
        <f t="shared" si="3"/>
        <v>55.483870967741936</v>
      </c>
      <c r="J8">
        <f t="shared" si="4"/>
        <v>43.01075268817204</v>
      </c>
    </row>
    <row r="9" spans="1:11" x14ac:dyDescent="0.25">
      <c r="A9" t="s">
        <v>115</v>
      </c>
      <c r="B9">
        <v>25</v>
      </c>
      <c r="C9" s="15">
        <v>0.14249999999999999</v>
      </c>
      <c r="D9" t="s">
        <v>54</v>
      </c>
      <c r="E9">
        <v>1450</v>
      </c>
      <c r="F9">
        <f t="shared" si="0"/>
        <v>1.7241379310344827E-2</v>
      </c>
      <c r="G9">
        <f t="shared" si="1"/>
        <v>58</v>
      </c>
      <c r="H9">
        <f t="shared" si="2"/>
        <v>407.01754385964915</v>
      </c>
      <c r="I9">
        <f t="shared" si="3"/>
        <v>55.769230769230766</v>
      </c>
      <c r="J9">
        <f t="shared" si="4"/>
        <v>48.813331089042244</v>
      </c>
    </row>
    <row r="10" spans="1:11" x14ac:dyDescent="0.25">
      <c r="A10" t="s">
        <v>114</v>
      </c>
      <c r="B10">
        <v>70</v>
      </c>
      <c r="C10" s="15">
        <v>0.14249999999999999</v>
      </c>
      <c r="D10" t="s">
        <v>54</v>
      </c>
      <c r="E10">
        <v>3800</v>
      </c>
      <c r="F10">
        <f t="shared" si="0"/>
        <v>1.8421052631578946E-2</v>
      </c>
      <c r="G10">
        <f t="shared" si="1"/>
        <v>54.285714285714285</v>
      </c>
      <c r="H10">
        <f t="shared" si="2"/>
        <v>380.95238095238096</v>
      </c>
      <c r="I10">
        <f t="shared" si="3"/>
        <v>53.521126760563384</v>
      </c>
      <c r="J10">
        <f t="shared" si="4"/>
        <v>46.845625173359636</v>
      </c>
    </row>
    <row r="11" spans="1:11" x14ac:dyDescent="0.25">
      <c r="A11" t="s">
        <v>104</v>
      </c>
      <c r="B11">
        <v>150</v>
      </c>
      <c r="C11" s="15">
        <v>0.05</v>
      </c>
      <c r="D11" t="s">
        <v>146</v>
      </c>
      <c r="E11" s="4">
        <v>1285</v>
      </c>
      <c r="F11">
        <f t="shared" si="0"/>
        <v>0.11673151750972763</v>
      </c>
      <c r="G11">
        <f t="shared" si="1"/>
        <v>8.5666666666666664</v>
      </c>
      <c r="H11">
        <f t="shared" si="2"/>
        <v>171.33333333333331</v>
      </c>
      <c r="I11">
        <f t="shared" si="3"/>
        <v>8.5099337748344368</v>
      </c>
      <c r="J11">
        <f t="shared" si="4"/>
        <v>8.1046988331756538</v>
      </c>
      <c r="K11" t="s">
        <v>148</v>
      </c>
    </row>
    <row r="12" spans="1:11" x14ac:dyDescent="0.25">
      <c r="A12" t="s">
        <v>187</v>
      </c>
      <c r="B12">
        <v>195</v>
      </c>
      <c r="C12" s="15">
        <v>5.74E-2</v>
      </c>
      <c r="D12" t="s">
        <v>54</v>
      </c>
      <c r="E12" s="4">
        <v>7000</v>
      </c>
      <c r="F12">
        <f t="shared" si="0"/>
        <v>2.7857142857142858E-2</v>
      </c>
      <c r="G12">
        <f t="shared" si="1"/>
        <v>35.897435897435898</v>
      </c>
      <c r="H12">
        <f t="shared" si="2"/>
        <v>625.39086929330836</v>
      </c>
      <c r="I12">
        <f t="shared" si="3"/>
        <v>35.714285714285715</v>
      </c>
      <c r="J12">
        <f t="shared" si="4"/>
        <v>33.775568105055534</v>
      </c>
    </row>
    <row r="13" spans="1:11" x14ac:dyDescent="0.25">
      <c r="A13" t="s">
        <v>157</v>
      </c>
      <c r="B13">
        <v>150</v>
      </c>
      <c r="C13" s="15">
        <v>0.05</v>
      </c>
      <c r="D13" t="s">
        <v>146</v>
      </c>
      <c r="E13" s="4">
        <v>1285</v>
      </c>
      <c r="F13">
        <f t="shared" si="0"/>
        <v>0.11673151750972763</v>
      </c>
      <c r="G13">
        <f t="shared" si="1"/>
        <v>8.5666666666666664</v>
      </c>
      <c r="H13">
        <f t="shared" si="2"/>
        <v>171.33333333333331</v>
      </c>
      <c r="I13">
        <f t="shared" si="3"/>
        <v>8.5099337748344368</v>
      </c>
      <c r="J13">
        <f t="shared" si="4"/>
        <v>8.1046988331756538</v>
      </c>
    </row>
    <row r="14" spans="1:11" x14ac:dyDescent="0.25">
      <c r="A14" t="s">
        <v>14</v>
      </c>
      <c r="B14" t="s">
        <v>162</v>
      </c>
      <c r="E14">
        <f>SUM(E3:E5)</f>
        <v>152000</v>
      </c>
      <c r="G14" t="s">
        <v>158</v>
      </c>
    </row>
    <row r="16" spans="1:11" x14ac:dyDescent="0.25">
      <c r="E16" t="s">
        <v>189</v>
      </c>
      <c r="F16" t="s">
        <v>188</v>
      </c>
      <c r="G16" t="s">
        <v>189</v>
      </c>
      <c r="H16" t="s">
        <v>190</v>
      </c>
      <c r="I16" t="s">
        <v>191</v>
      </c>
    </row>
    <row r="18" spans="1:19" x14ac:dyDescent="0.25">
      <c r="A18" t="s">
        <v>166</v>
      </c>
    </row>
    <row r="20" spans="1:19" x14ac:dyDescent="0.25">
      <c r="A20" t="s">
        <v>153</v>
      </c>
    </row>
    <row r="21" spans="1:19" x14ac:dyDescent="0.25">
      <c r="A21" t="s">
        <v>50</v>
      </c>
    </row>
    <row r="22" spans="1:19" x14ac:dyDescent="0.25">
      <c r="C22" t="s">
        <v>45</v>
      </c>
      <c r="D22" t="s">
        <v>46</v>
      </c>
      <c r="E22" t="s">
        <v>154</v>
      </c>
    </row>
    <row r="23" spans="1:19" x14ac:dyDescent="0.25">
      <c r="A23" t="s">
        <v>47</v>
      </c>
      <c r="B23" s="14">
        <v>4500</v>
      </c>
      <c r="C23" s="15">
        <v>4.4999999999999998E-2</v>
      </c>
      <c r="D23" s="14">
        <f>C23*B23</f>
        <v>202.5</v>
      </c>
    </row>
    <row r="24" spans="1:19" x14ac:dyDescent="0.25">
      <c r="A24" t="s">
        <v>48</v>
      </c>
      <c r="B24" s="14">
        <v>2341.14</v>
      </c>
      <c r="C24" s="15">
        <v>6.8000000000000005E-2</v>
      </c>
      <c r="D24" s="14">
        <f t="shared" ref="D24:D31" si="5">C24*B24</f>
        <v>159.19752</v>
      </c>
      <c r="S24" s="15"/>
    </row>
    <row r="25" spans="1:19" x14ac:dyDescent="0.25">
      <c r="A25" t="s">
        <v>47</v>
      </c>
      <c r="B25" s="14">
        <v>5500</v>
      </c>
      <c r="C25" s="15">
        <v>3.4000000000000002E-2</v>
      </c>
      <c r="D25" s="14">
        <f t="shared" si="5"/>
        <v>187</v>
      </c>
    </row>
    <row r="26" spans="1:19" x14ac:dyDescent="0.25">
      <c r="A26" t="s">
        <v>48</v>
      </c>
      <c r="B26" s="14">
        <v>2219.64</v>
      </c>
      <c r="C26" s="15">
        <v>6.8000000000000005E-2</v>
      </c>
      <c r="D26" s="14">
        <f t="shared" si="5"/>
        <v>150.93552</v>
      </c>
    </row>
    <row r="27" spans="1:19" x14ac:dyDescent="0.25">
      <c r="A27" t="s">
        <v>47</v>
      </c>
      <c r="B27" s="14">
        <v>2796.61</v>
      </c>
      <c r="C27" s="15">
        <v>3.4000000000000002E-2</v>
      </c>
      <c r="D27" s="14">
        <f t="shared" si="5"/>
        <v>95.084740000000011</v>
      </c>
    </row>
    <row r="28" spans="1:19" x14ac:dyDescent="0.25">
      <c r="A28" t="s">
        <v>48</v>
      </c>
      <c r="B28" s="14">
        <v>1055.45</v>
      </c>
      <c r="C28" s="15">
        <v>6.8000000000000005E-2</v>
      </c>
      <c r="D28" s="14">
        <f t="shared" si="5"/>
        <v>71.770600000000002</v>
      </c>
    </row>
    <row r="29" spans="1:19" x14ac:dyDescent="0.25">
      <c r="A29" t="s">
        <v>48</v>
      </c>
      <c r="B29" s="14">
        <v>20500</v>
      </c>
      <c r="C29" s="15">
        <v>5.4100000000000002E-2</v>
      </c>
      <c r="D29" s="14">
        <f t="shared" si="5"/>
        <v>1109.05</v>
      </c>
    </row>
    <row r="30" spans="1:19" x14ac:dyDescent="0.25">
      <c r="A30" t="s">
        <v>48</v>
      </c>
      <c r="B30" s="14">
        <v>20500</v>
      </c>
      <c r="C30" s="15">
        <v>6.2100000000000002E-2</v>
      </c>
      <c r="D30" s="14">
        <f t="shared" si="5"/>
        <v>1273.05</v>
      </c>
    </row>
    <row r="31" spans="1:19" x14ac:dyDescent="0.25">
      <c r="A31" t="s">
        <v>48</v>
      </c>
      <c r="B31" s="14">
        <v>10250</v>
      </c>
      <c r="C31" s="15">
        <v>5.8400000000000001E-2</v>
      </c>
      <c r="D31" s="14">
        <f t="shared" si="5"/>
        <v>598.6</v>
      </c>
    </row>
    <row r="32" spans="1:19" x14ac:dyDescent="0.25">
      <c r="A32" s="2" t="s">
        <v>55</v>
      </c>
      <c r="B32" s="14">
        <f>SUM(B23:B31)</f>
        <v>69662.84</v>
      </c>
      <c r="D32" s="14">
        <f>SUM(D23:D31)</f>
        <v>3847.1883800000001</v>
      </c>
    </row>
    <row r="33" spans="1:20" x14ac:dyDescent="0.25">
      <c r="B33" t="s">
        <v>49</v>
      </c>
      <c r="C33">
        <f>D32/B32</f>
        <v>5.522583317016648E-2</v>
      </c>
    </row>
    <row r="35" spans="1:20" x14ac:dyDescent="0.25">
      <c r="A35" t="s">
        <v>51</v>
      </c>
    </row>
    <row r="36" spans="1:20" x14ac:dyDescent="0.25">
      <c r="A36" t="s">
        <v>52</v>
      </c>
      <c r="B36" t="s">
        <v>53</v>
      </c>
      <c r="C36" t="s">
        <v>46</v>
      </c>
    </row>
    <row r="37" spans="1:20" x14ac:dyDescent="0.25">
      <c r="A37" s="14">
        <v>5500</v>
      </c>
      <c r="B37" s="14">
        <v>4368.74</v>
      </c>
      <c r="C37" s="15">
        <v>3.4000000000000002E-2</v>
      </c>
      <c r="D37" s="14">
        <f>C37*B37</f>
        <v>148.53716</v>
      </c>
    </row>
    <row r="38" spans="1:20" x14ac:dyDescent="0.25">
      <c r="A38" s="14">
        <v>2000</v>
      </c>
      <c r="B38" s="14">
        <v>1656.03</v>
      </c>
      <c r="C38" s="15">
        <v>6.8000000000000005E-2</v>
      </c>
      <c r="D38" s="14">
        <f t="shared" ref="D38:D44" si="6">C38*B38</f>
        <v>112.61004000000001</v>
      </c>
      <c r="T38" s="6"/>
    </row>
    <row r="39" spans="1:20" x14ac:dyDescent="0.25">
      <c r="A39" s="14">
        <v>4500</v>
      </c>
      <c r="B39" s="14">
        <v>3536.13</v>
      </c>
      <c r="C39" s="15">
        <v>3.4000000000000002E-2</v>
      </c>
      <c r="D39" s="14">
        <f t="shared" si="6"/>
        <v>120.22842000000001</v>
      </c>
    </row>
    <row r="40" spans="1:20" x14ac:dyDescent="0.25">
      <c r="A40" s="14">
        <v>3500</v>
      </c>
      <c r="B40" s="14">
        <v>2737.91</v>
      </c>
      <c r="C40" s="15">
        <v>4.4999999999999998E-2</v>
      </c>
      <c r="D40" s="14">
        <f t="shared" si="6"/>
        <v>123.20594999999999</v>
      </c>
    </row>
    <row r="41" spans="1:20" x14ac:dyDescent="0.25">
      <c r="A41" s="14">
        <v>3500</v>
      </c>
      <c r="B41" s="14">
        <v>2641.58</v>
      </c>
      <c r="C41" s="15">
        <v>5.6000000000000001E-2</v>
      </c>
      <c r="D41" s="14">
        <f t="shared" si="6"/>
        <v>147.92848000000001</v>
      </c>
    </row>
    <row r="42" spans="1:20" x14ac:dyDescent="0.25">
      <c r="A42" s="14">
        <v>2000</v>
      </c>
      <c r="B42" s="14">
        <v>1851.37</v>
      </c>
      <c r="C42" s="15">
        <v>6.8000000000000005E-2</v>
      </c>
      <c r="D42" s="14">
        <f t="shared" si="6"/>
        <v>125.89315999999999</v>
      </c>
    </row>
    <row r="43" spans="1:20" x14ac:dyDescent="0.25">
      <c r="A43" s="14">
        <v>1975</v>
      </c>
      <c r="B43" s="14">
        <v>1851.36</v>
      </c>
      <c r="C43" s="15">
        <v>6.8000000000000005E-2</v>
      </c>
      <c r="D43" s="14">
        <f t="shared" si="6"/>
        <v>125.89248000000001</v>
      </c>
    </row>
    <row r="44" spans="1:20" x14ac:dyDescent="0.25">
      <c r="A44" s="14">
        <v>2000</v>
      </c>
      <c r="B44" s="14">
        <v>1767.41</v>
      </c>
      <c r="C44" s="15">
        <v>6.8000000000000005E-2</v>
      </c>
      <c r="D44" s="14">
        <f t="shared" si="6"/>
        <v>120.18388000000002</v>
      </c>
    </row>
    <row r="45" spans="1:20" x14ac:dyDescent="0.25">
      <c r="A45" s="2" t="s">
        <v>55</v>
      </c>
      <c r="B45" s="14">
        <f>SUM(B37:B44)</f>
        <v>20410.53</v>
      </c>
      <c r="D45" s="14">
        <f>SUM(D37:D44)</f>
        <v>1024.47957</v>
      </c>
    </row>
    <row r="46" spans="1:20" x14ac:dyDescent="0.25">
      <c r="B46" t="s">
        <v>49</v>
      </c>
      <c r="C46">
        <f>D45/B45</f>
        <v>5.019367796916592E-2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7" sqref="C7"/>
    </sheetView>
  </sheetViews>
  <sheetFormatPr defaultRowHeight="15" x14ac:dyDescent="0.25"/>
  <cols>
    <col min="1" max="1" width="18.140625" customWidth="1"/>
    <col min="3" max="3" width="9.7109375" bestFit="1" customWidth="1"/>
  </cols>
  <sheetData>
    <row r="1" spans="1:4" x14ac:dyDescent="0.25">
      <c r="A1" t="s">
        <v>34</v>
      </c>
      <c r="B1" t="s">
        <v>108</v>
      </c>
      <c r="C1" t="s">
        <v>109</v>
      </c>
      <c r="D1" t="s">
        <v>14</v>
      </c>
    </row>
    <row r="2" spans="1:4" x14ac:dyDescent="0.25">
      <c r="A2" t="s">
        <v>134</v>
      </c>
      <c r="B2">
        <v>300</v>
      </c>
    </row>
    <row r="3" spans="1:4" x14ac:dyDescent="0.25">
      <c r="A3" t="s">
        <v>107</v>
      </c>
      <c r="B3">
        <v>3500</v>
      </c>
      <c r="C3" s="6">
        <v>42795</v>
      </c>
    </row>
    <row r="4" spans="1:4" x14ac:dyDescent="0.25">
      <c r="A4" t="s">
        <v>110</v>
      </c>
      <c r="B4">
        <v>750</v>
      </c>
      <c r="C4" s="6">
        <v>42705</v>
      </c>
    </row>
    <row r="5" spans="1:4" x14ac:dyDescent="0.25">
      <c r="A5" t="s">
        <v>181</v>
      </c>
    </row>
    <row r="6" spans="1:4" x14ac:dyDescent="0.25">
      <c r="A6" t="s">
        <v>182</v>
      </c>
      <c r="B6">
        <v>1500</v>
      </c>
      <c r="C6" s="13">
        <v>42840</v>
      </c>
      <c r="D6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32" sqref="H32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67</v>
      </c>
      <c r="B1" s="1" t="s">
        <v>68</v>
      </c>
      <c r="G1" s="1" t="s">
        <v>62</v>
      </c>
      <c r="H1" s="1" t="s">
        <v>66</v>
      </c>
    </row>
    <row r="2" spans="1:8" x14ac:dyDescent="0.25">
      <c r="A2" t="s">
        <v>63</v>
      </c>
      <c r="B2">
        <v>60</v>
      </c>
      <c r="G2" t="s">
        <v>58</v>
      </c>
      <c r="H2">
        <v>0</v>
      </c>
    </row>
    <row r="3" spans="1:8" x14ac:dyDescent="0.25">
      <c r="A3" t="s">
        <v>57</v>
      </c>
      <c r="B3">
        <v>25</v>
      </c>
      <c r="G3" t="s">
        <v>59</v>
      </c>
      <c r="H3">
        <v>50</v>
      </c>
    </row>
    <row r="4" spans="1:8" x14ac:dyDescent="0.25">
      <c r="A4" t="s">
        <v>56</v>
      </c>
      <c r="B4">
        <v>60</v>
      </c>
      <c r="G4" t="s">
        <v>60</v>
      </c>
      <c r="H4">
        <v>100</v>
      </c>
    </row>
    <row r="5" spans="1:8" x14ac:dyDescent="0.25">
      <c r="A5" t="s">
        <v>64</v>
      </c>
      <c r="B5">
        <v>50</v>
      </c>
      <c r="G5" t="s">
        <v>61</v>
      </c>
      <c r="H5">
        <v>-100</v>
      </c>
    </row>
    <row r="6" spans="1:8" x14ac:dyDescent="0.25">
      <c r="A6" t="s">
        <v>65</v>
      </c>
      <c r="B6">
        <v>50</v>
      </c>
    </row>
    <row r="7" spans="1:8" x14ac:dyDescent="0.25">
      <c r="A7" t="s">
        <v>69</v>
      </c>
      <c r="B7">
        <v>2500</v>
      </c>
      <c r="G7" t="s">
        <v>111</v>
      </c>
    </row>
    <row r="8" spans="1:8" x14ac:dyDescent="0.25">
      <c r="A8" t="s">
        <v>70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Monthly Budget</vt:lpstr>
      <vt:lpstr>Factor Ledger</vt:lpstr>
      <vt:lpstr>Factor Aggregation</vt:lpstr>
      <vt:lpstr>Stock Budget</vt:lpstr>
      <vt:lpstr>Yearly Budget</vt:lpstr>
      <vt:lpstr>Savings Plan</vt:lpstr>
      <vt:lpstr>Events Plan</vt:lpstr>
      <vt:lpstr>Incentives Plan</vt:lpstr>
      <vt:lpstr>'Factor Ledger'!cards</vt:lpstr>
      <vt:lpstr>'Factor Ledger'!cards_clear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2018-03-25T21:40:34Z</dcterms:modified>
</cp:coreProperties>
</file>