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ives/Documents/CINTELI - CATASTRO/96.- SOFTWARE PREDIUM/2022 PRESUPUESTO/"/>
    </mc:Choice>
  </mc:AlternateContent>
  <xr:revisionPtr revIDLastSave="0" documentId="8_{F7AD33CE-904E-FC45-9DBC-349F86B0CEF8}" xr6:coauthVersionLast="47" xr6:coauthVersionMax="47" xr10:uidLastSave="{00000000-0000-0000-0000-000000000000}"/>
  <bookViews>
    <workbookView xWindow="-4660" yWindow="-21600" windowWidth="38400" windowHeight="21600" xr2:uid="{2D6347FD-4589-4B59-BE46-11CFDBCA064C}"/>
  </bookViews>
  <sheets>
    <sheet name="L-SEGREGACIÓN_POR_MES (2)" sheetId="12" r:id="rId1"/>
    <sheet name="L-VENTAS" sheetId="7" r:id="rId2"/>
    <sheet name="L-EQUIPOS" sheetId="9" r:id="rId3"/>
    <sheet name="L-COSTOS" sheetId="8" r:id="rId4"/>
    <sheet name="L-SEGREGACIÓN_POR_MES" sheetId="10" r:id="rId5"/>
    <sheet name="Hoja1" sheetId="11" r:id="rId6"/>
  </sheets>
  <definedNames>
    <definedName name="_xlnm._FilterDatabase" localSheetId="1" hidden="1">'L-VENTAS'!$A$1:$P$1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2" i="12" l="1"/>
  <c r="L62" i="12"/>
  <c r="K62" i="12"/>
  <c r="J62" i="12"/>
  <c r="I62" i="12"/>
  <c r="H62" i="12"/>
  <c r="G62" i="12"/>
  <c r="F62" i="12"/>
  <c r="F66" i="12" s="1"/>
  <c r="E62" i="12"/>
  <c r="N62" i="12" s="1"/>
  <c r="M61" i="12"/>
  <c r="M66" i="12" s="1"/>
  <c r="L61" i="12"/>
  <c r="L66" i="12" s="1"/>
  <c r="K61" i="12"/>
  <c r="K66" i="12" s="1"/>
  <c r="J61" i="12"/>
  <c r="J66" i="12" s="1"/>
  <c r="I61" i="12"/>
  <c r="I66" i="12" s="1"/>
  <c r="H61" i="12"/>
  <c r="H66" i="12" s="1"/>
  <c r="G61" i="12"/>
  <c r="N61" i="12" s="1"/>
  <c r="D60" i="12"/>
  <c r="D66" i="12" s="1"/>
  <c r="B60" i="12"/>
  <c r="B66" i="12" s="1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A45" i="12"/>
  <c r="I44" i="12"/>
  <c r="H44" i="12"/>
  <c r="G44" i="12"/>
  <c r="F44" i="12"/>
  <c r="E44" i="12"/>
  <c r="D44" i="12"/>
  <c r="C44" i="12"/>
  <c r="B44" i="12"/>
  <c r="A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H41" i="12"/>
  <c r="G41" i="12"/>
  <c r="F41" i="12"/>
  <c r="E41" i="12"/>
  <c r="D41" i="12"/>
  <c r="C41" i="12"/>
  <c r="A41" i="12"/>
  <c r="M40" i="12"/>
  <c r="M54" i="12" s="1"/>
  <c r="L40" i="12"/>
  <c r="L54" i="12" s="1"/>
  <c r="K40" i="12"/>
  <c r="K54" i="12" s="1"/>
  <c r="J40" i="12"/>
  <c r="J54" i="12" s="1"/>
  <c r="I40" i="12"/>
  <c r="I54" i="12" s="1"/>
  <c r="H40" i="12"/>
  <c r="H54" i="12" s="1"/>
  <c r="G40" i="12"/>
  <c r="G54" i="12" s="1"/>
  <c r="F40" i="12"/>
  <c r="F54" i="12" s="1"/>
  <c r="E40" i="12"/>
  <c r="E54" i="12" s="1"/>
  <c r="D40" i="12"/>
  <c r="D54" i="12" s="1"/>
  <c r="C40" i="12"/>
  <c r="C54" i="12" s="1"/>
  <c r="B40" i="12"/>
  <c r="B54" i="12" s="1"/>
  <c r="A40" i="12"/>
  <c r="M39" i="12"/>
  <c r="M59" i="12" s="1"/>
  <c r="L39" i="12"/>
  <c r="L59" i="12" s="1"/>
  <c r="K39" i="12"/>
  <c r="K59" i="12" s="1"/>
  <c r="J39" i="12"/>
  <c r="J59" i="12" s="1"/>
  <c r="I39" i="12"/>
  <c r="I59" i="12" s="1"/>
  <c r="H39" i="12"/>
  <c r="H59" i="12" s="1"/>
  <c r="G39" i="12"/>
  <c r="G59" i="12" s="1"/>
  <c r="F39" i="12"/>
  <c r="F59" i="12" s="1"/>
  <c r="E39" i="12"/>
  <c r="E59" i="12" s="1"/>
  <c r="D39" i="12"/>
  <c r="D59" i="12" s="1"/>
  <c r="C39" i="12"/>
  <c r="C59" i="12" s="1"/>
  <c r="B39" i="12"/>
  <c r="B59" i="12" s="1"/>
  <c r="G37" i="12"/>
  <c r="F37" i="12"/>
  <c r="E37" i="12"/>
  <c r="D37" i="12"/>
  <c r="C37" i="12"/>
  <c r="B37" i="12"/>
  <c r="A37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G32" i="12"/>
  <c r="F32" i="12"/>
  <c r="E32" i="12"/>
  <c r="D32" i="12"/>
  <c r="C32" i="12"/>
  <c r="B32" i="12"/>
  <c r="A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M21" i="12"/>
  <c r="L21" i="12"/>
  <c r="K21" i="12"/>
  <c r="J21" i="12"/>
  <c r="I21" i="12"/>
  <c r="H21" i="12"/>
  <c r="G21" i="12"/>
  <c r="F21" i="12"/>
  <c r="A21" i="12"/>
  <c r="I20" i="12"/>
  <c r="H20" i="12"/>
  <c r="G20" i="12"/>
  <c r="F20" i="12"/>
  <c r="E20" i="12"/>
  <c r="D20" i="12"/>
  <c r="C20" i="12"/>
  <c r="B20" i="12"/>
  <c r="A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A18" i="12"/>
  <c r="J17" i="12"/>
  <c r="I17" i="12"/>
  <c r="H17" i="12"/>
  <c r="G17" i="12"/>
  <c r="F17" i="12"/>
  <c r="E17" i="12"/>
  <c r="D17" i="12"/>
  <c r="C17" i="12"/>
  <c r="A17" i="12"/>
  <c r="J16" i="12"/>
  <c r="I16" i="12"/>
  <c r="H16" i="12"/>
  <c r="G16" i="12"/>
  <c r="F16" i="12"/>
  <c r="E16" i="12"/>
  <c r="D16" i="12"/>
  <c r="C16" i="12"/>
  <c r="A16" i="12"/>
  <c r="J15" i="12"/>
  <c r="I15" i="12"/>
  <c r="H15" i="12"/>
  <c r="G15" i="12"/>
  <c r="F15" i="12"/>
  <c r="E15" i="12"/>
  <c r="D15" i="12"/>
  <c r="C15" i="12"/>
  <c r="A15" i="12"/>
  <c r="J14" i="12"/>
  <c r="I14" i="12"/>
  <c r="H14" i="12"/>
  <c r="G14" i="12"/>
  <c r="F14" i="12"/>
  <c r="E14" i="12"/>
  <c r="D14" i="12"/>
  <c r="C14" i="12"/>
  <c r="A14" i="12"/>
  <c r="J13" i="12"/>
  <c r="I13" i="12"/>
  <c r="H13" i="12"/>
  <c r="G13" i="12"/>
  <c r="F13" i="12"/>
  <c r="E13" i="12"/>
  <c r="D13" i="12"/>
  <c r="C13" i="12"/>
  <c r="A13" i="12"/>
  <c r="J12" i="12"/>
  <c r="I12" i="12"/>
  <c r="H12" i="12"/>
  <c r="G12" i="12"/>
  <c r="F12" i="12"/>
  <c r="E12" i="12"/>
  <c r="D12" i="12"/>
  <c r="C12" i="12"/>
  <c r="A12" i="12"/>
  <c r="J11" i="12"/>
  <c r="I11" i="12"/>
  <c r="H11" i="12"/>
  <c r="G11" i="12"/>
  <c r="F11" i="12"/>
  <c r="E11" i="12"/>
  <c r="D11" i="12"/>
  <c r="C11" i="12"/>
  <c r="A11" i="12"/>
  <c r="J10" i="12"/>
  <c r="I10" i="12"/>
  <c r="H10" i="12"/>
  <c r="G10" i="12"/>
  <c r="F10" i="12"/>
  <c r="E10" i="12"/>
  <c r="D10" i="12"/>
  <c r="C10" i="12"/>
  <c r="A10" i="12"/>
  <c r="J9" i="12"/>
  <c r="I9" i="12"/>
  <c r="H9" i="12"/>
  <c r="G9" i="12"/>
  <c r="F9" i="12"/>
  <c r="E9" i="12"/>
  <c r="D9" i="12"/>
  <c r="C9" i="12"/>
  <c r="A9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M7" i="12"/>
  <c r="L7" i="12"/>
  <c r="K7" i="12"/>
  <c r="J7" i="12"/>
  <c r="I7" i="12"/>
  <c r="H7" i="12"/>
  <c r="G7" i="12"/>
  <c r="F7" i="12"/>
  <c r="E7" i="12"/>
  <c r="D7" i="12"/>
  <c r="C7" i="12"/>
  <c r="B7" i="12"/>
  <c r="A7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M4" i="12"/>
  <c r="L4" i="12"/>
  <c r="K4" i="12"/>
  <c r="J4" i="12"/>
  <c r="I4" i="12"/>
  <c r="H4" i="12"/>
  <c r="G4" i="12"/>
  <c r="F4" i="12"/>
  <c r="E4" i="12"/>
  <c r="D4" i="12"/>
  <c r="C4" i="12"/>
  <c r="B4" i="12"/>
  <c r="A4" i="12"/>
  <c r="H3" i="12"/>
  <c r="G3" i="12"/>
  <c r="F3" i="12"/>
  <c r="E3" i="12"/>
  <c r="D3" i="12"/>
  <c r="C3" i="12"/>
  <c r="A3" i="12"/>
  <c r="M2" i="12"/>
  <c r="M38" i="12" s="1"/>
  <c r="M57" i="12" s="1"/>
  <c r="L2" i="12"/>
  <c r="L38" i="12" s="1"/>
  <c r="L57" i="12" s="1"/>
  <c r="K2" i="12"/>
  <c r="K38" i="12" s="1"/>
  <c r="K57" i="12" s="1"/>
  <c r="J2" i="12"/>
  <c r="J38" i="12" s="1"/>
  <c r="J57" i="12" s="1"/>
  <c r="I2" i="12"/>
  <c r="I38" i="12" s="1"/>
  <c r="I57" i="12" s="1"/>
  <c r="H2" i="12"/>
  <c r="H38" i="12" s="1"/>
  <c r="H57" i="12" s="1"/>
  <c r="G2" i="12"/>
  <c r="G38" i="12" s="1"/>
  <c r="G57" i="12" s="1"/>
  <c r="F2" i="12"/>
  <c r="F38" i="12" s="1"/>
  <c r="F57" i="12" s="1"/>
  <c r="E2" i="12"/>
  <c r="E38" i="12" s="1"/>
  <c r="E57" i="12" s="1"/>
  <c r="D2" i="12"/>
  <c r="D38" i="12" s="1"/>
  <c r="D57" i="12" s="1"/>
  <c r="C2" i="12"/>
  <c r="C38" i="12" s="1"/>
  <c r="C57" i="12" s="1"/>
  <c r="B2" i="12"/>
  <c r="B38" i="12" s="1"/>
  <c r="B57" i="12" s="1"/>
  <c r="A2" i="12"/>
  <c r="N63" i="10"/>
  <c r="N64" i="10"/>
  <c r="N65" i="10"/>
  <c r="B69" i="10"/>
  <c r="M65" i="10"/>
  <c r="I65" i="10"/>
  <c r="J65" i="10"/>
  <c r="K65" i="10"/>
  <c r="L65" i="10"/>
  <c r="G65" i="10"/>
  <c r="H65" i="10"/>
  <c r="M64" i="10"/>
  <c r="L64" i="10"/>
  <c r="H64" i="10"/>
  <c r="I64" i="10"/>
  <c r="J64" i="10"/>
  <c r="K64" i="10"/>
  <c r="G64" i="10"/>
  <c r="H63" i="10"/>
  <c r="I63" i="10"/>
  <c r="G63" i="10"/>
  <c r="F63" i="10"/>
  <c r="E63" i="10"/>
  <c r="D63" i="10"/>
  <c r="M63" i="10"/>
  <c r="J63" i="10"/>
  <c r="K63" i="10"/>
  <c r="L63" i="10"/>
  <c r="M62" i="10"/>
  <c r="I62" i="10"/>
  <c r="J62" i="10"/>
  <c r="K62" i="10"/>
  <c r="L62" i="10"/>
  <c r="F62" i="10"/>
  <c r="G62" i="10"/>
  <c r="H62" i="10"/>
  <c r="E62" i="10"/>
  <c r="M61" i="10"/>
  <c r="J61" i="10"/>
  <c r="K61" i="10"/>
  <c r="L61" i="10"/>
  <c r="H61" i="10"/>
  <c r="I61" i="10"/>
  <c r="G61" i="10"/>
  <c r="D60" i="10"/>
  <c r="B60" i="10"/>
  <c r="B99" i="8"/>
  <c r="F20" i="8"/>
  <c r="H30" i="8"/>
  <c r="I30" i="8"/>
  <c r="B105" i="8"/>
  <c r="B104" i="8"/>
  <c r="B107" i="8"/>
  <c r="B3" i="11"/>
  <c r="A23" i="11"/>
  <c r="A22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3" i="11" s="1"/>
  <c r="A13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I10" i="11"/>
  <c r="H10" i="11"/>
  <c r="G10" i="11"/>
  <c r="F10" i="11"/>
  <c r="E10" i="11"/>
  <c r="D10" i="11"/>
  <c r="C10" i="11"/>
  <c r="A10" i="11"/>
  <c r="M9" i="11"/>
  <c r="L9" i="11"/>
  <c r="K9" i="11"/>
  <c r="J9" i="11"/>
  <c r="I9" i="11"/>
  <c r="H9" i="11"/>
  <c r="G9" i="11"/>
  <c r="F9" i="11"/>
  <c r="E9" i="11"/>
  <c r="D9" i="11"/>
  <c r="C9" i="11"/>
  <c r="A9" i="11"/>
  <c r="A8" i="11"/>
  <c r="A7" i="11"/>
  <c r="A6" i="11"/>
  <c r="A5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H3" i="11"/>
  <c r="G3" i="11"/>
  <c r="F3" i="11"/>
  <c r="E3" i="11"/>
  <c r="D3" i="11"/>
  <c r="C3" i="11"/>
  <c r="A3" i="11"/>
  <c r="M2" i="11"/>
  <c r="L2" i="11"/>
  <c r="K2" i="11"/>
  <c r="J2" i="11"/>
  <c r="I2" i="11"/>
  <c r="H2" i="11"/>
  <c r="G2" i="11"/>
  <c r="F2" i="11"/>
  <c r="E2" i="11"/>
  <c r="D2" i="11"/>
  <c r="C2" i="11"/>
  <c r="B2" i="11"/>
  <c r="N2" i="11" s="1"/>
  <c r="A2" i="11"/>
  <c r="M27" i="10"/>
  <c r="A27" i="10"/>
  <c r="E28" i="8"/>
  <c r="F28" i="8" s="1"/>
  <c r="C39" i="10"/>
  <c r="C59" i="10" s="1"/>
  <c r="D39" i="10"/>
  <c r="D59" i="10" s="1"/>
  <c r="E39" i="10"/>
  <c r="E59" i="10" s="1"/>
  <c r="F39" i="10"/>
  <c r="F59" i="10" s="1"/>
  <c r="G39" i="10"/>
  <c r="G59" i="10" s="1"/>
  <c r="H39" i="10"/>
  <c r="H59" i="10" s="1"/>
  <c r="I39" i="10"/>
  <c r="I59" i="10" s="1"/>
  <c r="J39" i="10"/>
  <c r="J59" i="10" s="1"/>
  <c r="K39" i="10"/>
  <c r="K59" i="10" s="1"/>
  <c r="L39" i="10"/>
  <c r="L59" i="10" s="1"/>
  <c r="M39" i="10"/>
  <c r="M59" i="10" s="1"/>
  <c r="B39" i="10"/>
  <c r="B59" i="10" s="1"/>
  <c r="F28" i="10"/>
  <c r="G28" i="10"/>
  <c r="H28" i="10"/>
  <c r="I28" i="10"/>
  <c r="J28" i="10"/>
  <c r="K28" i="10"/>
  <c r="L28" i="10"/>
  <c r="M28" i="10"/>
  <c r="C28" i="10"/>
  <c r="D28" i="10"/>
  <c r="E28" i="10"/>
  <c r="B28" i="10"/>
  <c r="A28" i="10"/>
  <c r="H29" i="8"/>
  <c r="I29" i="8" s="1"/>
  <c r="B108" i="8"/>
  <c r="B106" i="8"/>
  <c r="A95" i="8"/>
  <c r="F75" i="8"/>
  <c r="F76" i="8"/>
  <c r="F77" i="8"/>
  <c r="F78" i="8"/>
  <c r="F79" i="8"/>
  <c r="F80" i="8"/>
  <c r="F74" i="8"/>
  <c r="F88" i="8"/>
  <c r="F86" i="8"/>
  <c r="F65" i="8"/>
  <c r="C48" i="8"/>
  <c r="C47" i="8"/>
  <c r="F36" i="10"/>
  <c r="C37" i="10"/>
  <c r="M21" i="10"/>
  <c r="C4" i="10"/>
  <c r="D4" i="10"/>
  <c r="E4" i="10"/>
  <c r="F4" i="10"/>
  <c r="G4" i="10"/>
  <c r="H4" i="10"/>
  <c r="I4" i="10"/>
  <c r="J4" i="10"/>
  <c r="K4" i="10"/>
  <c r="L4" i="10"/>
  <c r="M4" i="10"/>
  <c r="C5" i="10"/>
  <c r="D5" i="10"/>
  <c r="E5" i="10"/>
  <c r="F5" i="10"/>
  <c r="G5" i="10"/>
  <c r="H5" i="10"/>
  <c r="I5" i="10"/>
  <c r="J5" i="10"/>
  <c r="K5" i="10"/>
  <c r="L5" i="10"/>
  <c r="M5" i="10"/>
  <c r="C6" i="10"/>
  <c r="D6" i="10"/>
  <c r="E6" i="10"/>
  <c r="F6" i="10"/>
  <c r="G6" i="10"/>
  <c r="H6" i="10"/>
  <c r="I6" i="10"/>
  <c r="J6" i="10"/>
  <c r="K6" i="10"/>
  <c r="L6" i="10"/>
  <c r="M6" i="10"/>
  <c r="B6" i="10"/>
  <c r="B5" i="10"/>
  <c r="B4" i="10"/>
  <c r="A5" i="10"/>
  <c r="A6" i="10"/>
  <c r="C34" i="10"/>
  <c r="D34" i="10"/>
  <c r="E34" i="10"/>
  <c r="F34" i="10"/>
  <c r="G34" i="10"/>
  <c r="B33" i="10"/>
  <c r="B34" i="10"/>
  <c r="A34" i="10"/>
  <c r="H36" i="8"/>
  <c r="I36" i="8" s="1"/>
  <c r="F36" i="8"/>
  <c r="D36" i="10"/>
  <c r="A36" i="10"/>
  <c r="A37" i="10"/>
  <c r="A16" i="10"/>
  <c r="A17" i="10"/>
  <c r="A18" i="10"/>
  <c r="A8" i="10"/>
  <c r="A9" i="10"/>
  <c r="A10" i="10"/>
  <c r="A11" i="10"/>
  <c r="A12" i="10"/>
  <c r="A13" i="10"/>
  <c r="A14" i="10"/>
  <c r="A15" i="10"/>
  <c r="C67" i="8"/>
  <c r="G36" i="10"/>
  <c r="H39" i="8"/>
  <c r="I39" i="8" s="1"/>
  <c r="F9" i="8"/>
  <c r="H9" i="8"/>
  <c r="I9" i="8" s="1"/>
  <c r="F10" i="8"/>
  <c r="H10" i="8"/>
  <c r="I10" i="8" s="1"/>
  <c r="F11" i="8"/>
  <c r="H11" i="8"/>
  <c r="I11" i="8" s="1"/>
  <c r="F12" i="8"/>
  <c r="H12" i="8"/>
  <c r="I12" i="8" s="1"/>
  <c r="F13" i="8"/>
  <c r="H13" i="8"/>
  <c r="I13" i="8" s="1"/>
  <c r="F14" i="8"/>
  <c r="H14" i="8"/>
  <c r="I14" i="8" s="1"/>
  <c r="F15" i="8"/>
  <c r="H15" i="8"/>
  <c r="I15" i="8" s="1"/>
  <c r="F16" i="8"/>
  <c r="H16" i="8"/>
  <c r="I16" i="8" s="1"/>
  <c r="F17" i="8"/>
  <c r="H17" i="8"/>
  <c r="I17" i="8" s="1"/>
  <c r="F18" i="8"/>
  <c r="H18" i="8"/>
  <c r="I18" i="8" s="1"/>
  <c r="F19" i="8"/>
  <c r="H19" i="8"/>
  <c r="I19" i="8" s="1"/>
  <c r="H6" i="8"/>
  <c r="I6" i="8" s="1"/>
  <c r="H7" i="8"/>
  <c r="I7" i="8" s="1"/>
  <c r="F6" i="8"/>
  <c r="F7" i="8"/>
  <c r="H3" i="10"/>
  <c r="H19" i="10"/>
  <c r="I19" i="10"/>
  <c r="J19" i="10"/>
  <c r="K19" i="10"/>
  <c r="L19" i="10"/>
  <c r="M19" i="10"/>
  <c r="H20" i="10"/>
  <c r="I20" i="10"/>
  <c r="H21" i="10"/>
  <c r="I21" i="10"/>
  <c r="J21" i="10"/>
  <c r="K21" i="10"/>
  <c r="L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2" i="10"/>
  <c r="I2" i="10"/>
  <c r="J2" i="10"/>
  <c r="K2" i="10"/>
  <c r="L2" i="10"/>
  <c r="M2" i="10"/>
  <c r="A52" i="10"/>
  <c r="A53" i="10"/>
  <c r="A35" i="10"/>
  <c r="A3" i="10"/>
  <c r="A4" i="10"/>
  <c r="A7" i="10"/>
  <c r="A19" i="10"/>
  <c r="A20" i="10"/>
  <c r="A21" i="10"/>
  <c r="A22" i="10"/>
  <c r="A23" i="10"/>
  <c r="A24" i="10"/>
  <c r="A25" i="10"/>
  <c r="A26" i="10"/>
  <c r="A29" i="10"/>
  <c r="A30" i="10"/>
  <c r="A31" i="10"/>
  <c r="A32" i="10"/>
  <c r="A33" i="10"/>
  <c r="A2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B32" i="10"/>
  <c r="B31" i="10"/>
  <c r="B30" i="10"/>
  <c r="B29" i="10"/>
  <c r="B25" i="10"/>
  <c r="B24" i="10"/>
  <c r="B23" i="10"/>
  <c r="F21" i="10"/>
  <c r="G21" i="10"/>
  <c r="C20" i="10"/>
  <c r="D20" i="10"/>
  <c r="E20" i="10"/>
  <c r="F20" i="10"/>
  <c r="G20" i="10"/>
  <c r="C19" i="10"/>
  <c r="D19" i="10"/>
  <c r="E19" i="10"/>
  <c r="F19" i="10"/>
  <c r="G19" i="10"/>
  <c r="C3" i="10"/>
  <c r="D3" i="10"/>
  <c r="E3" i="10"/>
  <c r="F3" i="10"/>
  <c r="G3" i="10"/>
  <c r="C2" i="10"/>
  <c r="D2" i="10"/>
  <c r="E2" i="10"/>
  <c r="F2" i="10"/>
  <c r="G2" i="10"/>
  <c r="B2" i="10"/>
  <c r="E67" i="8"/>
  <c r="D67" i="8"/>
  <c r="A96" i="8"/>
  <c r="A94" i="8"/>
  <c r="A93" i="8"/>
  <c r="D69" i="12" l="1"/>
  <c r="D67" i="12"/>
  <c r="J69" i="12"/>
  <c r="J67" i="12"/>
  <c r="K69" i="12"/>
  <c r="K67" i="12"/>
  <c r="F69" i="12"/>
  <c r="F67" i="12"/>
  <c r="N57" i="12"/>
  <c r="H69" i="12"/>
  <c r="H67" i="12"/>
  <c r="L69" i="12"/>
  <c r="L67" i="12"/>
  <c r="B67" i="12"/>
  <c r="B68" i="12" s="1"/>
  <c r="I67" i="12"/>
  <c r="I69" i="12"/>
  <c r="M67" i="12"/>
  <c r="M69" i="12"/>
  <c r="G66" i="12"/>
  <c r="N60" i="12"/>
  <c r="N66" i="12" s="1"/>
  <c r="N67" i="12" s="1"/>
  <c r="E66" i="12"/>
  <c r="C60" i="12"/>
  <c r="C66" i="12" s="1"/>
  <c r="H66" i="10"/>
  <c r="H69" i="10" s="1"/>
  <c r="D66" i="10"/>
  <c r="D69" i="10" s="1"/>
  <c r="D70" i="10" s="1"/>
  <c r="D71" i="10" s="1"/>
  <c r="D73" i="10" s="1"/>
  <c r="B66" i="10"/>
  <c r="L66" i="10"/>
  <c r="L69" i="10" s="1"/>
  <c r="F66" i="10"/>
  <c r="F69" i="10" s="1"/>
  <c r="F70" i="10" s="1"/>
  <c r="F71" i="10" s="1"/>
  <c r="F72" i="10" s="1"/>
  <c r="J66" i="10"/>
  <c r="J69" i="10" s="1"/>
  <c r="K66" i="10"/>
  <c r="K69" i="10" s="1"/>
  <c r="K70" i="10" s="1"/>
  <c r="K71" i="10" s="1"/>
  <c r="K76" i="10" s="1"/>
  <c r="I66" i="10"/>
  <c r="I69" i="10" s="1"/>
  <c r="N62" i="10"/>
  <c r="M66" i="10"/>
  <c r="M69" i="10" s="1"/>
  <c r="M70" i="10" s="1"/>
  <c r="M71" i="10" s="1"/>
  <c r="M74" i="10" s="1"/>
  <c r="N61" i="10"/>
  <c r="E66" i="10"/>
  <c r="E69" i="10" s="1"/>
  <c r="G66" i="10"/>
  <c r="G69" i="10" s="1"/>
  <c r="C60" i="10"/>
  <c r="C66" i="10" s="1"/>
  <c r="C69" i="10" s="1"/>
  <c r="I27" i="10"/>
  <c r="N4" i="11"/>
  <c r="N12" i="11"/>
  <c r="E27" i="10"/>
  <c r="B6" i="11"/>
  <c r="F6" i="11"/>
  <c r="J6" i="11"/>
  <c r="F7" i="11"/>
  <c r="J7" i="11"/>
  <c r="E8" i="11"/>
  <c r="I8" i="11"/>
  <c r="C6" i="11"/>
  <c r="G6" i="11"/>
  <c r="K6" i="11"/>
  <c r="C7" i="11"/>
  <c r="G7" i="11"/>
  <c r="F8" i="11"/>
  <c r="J8" i="11"/>
  <c r="B8" i="11"/>
  <c r="D6" i="11"/>
  <c r="H6" i="11"/>
  <c r="L6" i="11"/>
  <c r="D7" i="11"/>
  <c r="H7" i="11"/>
  <c r="C8" i="11"/>
  <c r="G8" i="11"/>
  <c r="B7" i="11"/>
  <c r="N7" i="11" s="1"/>
  <c r="N3" i="11"/>
  <c r="E6" i="11"/>
  <c r="I6" i="11"/>
  <c r="M6" i="11"/>
  <c r="E7" i="11"/>
  <c r="I7" i="11"/>
  <c r="D8" i="11"/>
  <c r="H8" i="11"/>
  <c r="L27" i="10"/>
  <c r="H27" i="10"/>
  <c r="D27" i="10"/>
  <c r="K27" i="10"/>
  <c r="G27" i="10"/>
  <c r="C27" i="10"/>
  <c r="B27" i="10"/>
  <c r="J27" i="10"/>
  <c r="F27" i="10"/>
  <c r="H28" i="8"/>
  <c r="I28" i="8" s="1"/>
  <c r="F67" i="8"/>
  <c r="J18" i="10"/>
  <c r="H14" i="10"/>
  <c r="J9" i="10"/>
  <c r="D18" i="10"/>
  <c r="F14" i="10"/>
  <c r="D9" i="10"/>
  <c r="G17" i="10"/>
  <c r="I13" i="10"/>
  <c r="C8" i="10"/>
  <c r="E17" i="10"/>
  <c r="C13" i="10"/>
  <c r="I8" i="10"/>
  <c r="J16" i="10"/>
  <c r="F11" i="10"/>
  <c r="K8" i="10"/>
  <c r="H16" i="10"/>
  <c r="D11" i="10"/>
  <c r="I12" i="10"/>
  <c r="E15" i="10"/>
  <c r="I10" i="10"/>
  <c r="C12" i="10"/>
  <c r="C15" i="10"/>
  <c r="G10" i="10"/>
  <c r="D37" i="10"/>
  <c r="B8" i="10"/>
  <c r="C18" i="10"/>
  <c r="F17" i="10"/>
  <c r="I16" i="10"/>
  <c r="D15" i="10"/>
  <c r="G14" i="10"/>
  <c r="J13" i="10"/>
  <c r="E11" i="10"/>
  <c r="H10" i="10"/>
  <c r="C9" i="10"/>
  <c r="J8" i="10"/>
  <c r="J12" i="10"/>
  <c r="E36" i="10"/>
  <c r="I18" i="10"/>
  <c r="D17" i="10"/>
  <c r="G16" i="10"/>
  <c r="J15" i="10"/>
  <c r="E14" i="10"/>
  <c r="H13" i="10"/>
  <c r="C11" i="10"/>
  <c r="F10" i="10"/>
  <c r="I9" i="10"/>
  <c r="D8" i="10"/>
  <c r="L8" i="10"/>
  <c r="H12" i="10"/>
  <c r="C36" i="10"/>
  <c r="H18" i="10"/>
  <c r="C17" i="10"/>
  <c r="F16" i="10"/>
  <c r="I15" i="10"/>
  <c r="D14" i="10"/>
  <c r="G13" i="10"/>
  <c r="J11" i="10"/>
  <c r="E10" i="10"/>
  <c r="H9" i="10"/>
  <c r="E8" i="10"/>
  <c r="M8" i="10"/>
  <c r="G12" i="10"/>
  <c r="B36" i="10"/>
  <c r="G37" i="10"/>
  <c r="H38" i="8"/>
  <c r="I38" i="8" s="1"/>
  <c r="G18" i="10"/>
  <c r="J17" i="10"/>
  <c r="E16" i="10"/>
  <c r="H15" i="10"/>
  <c r="C14" i="10"/>
  <c r="F13" i="10"/>
  <c r="I11" i="10"/>
  <c r="D10" i="10"/>
  <c r="G9" i="10"/>
  <c r="F8" i="10"/>
  <c r="F12" i="10"/>
  <c r="B37" i="10"/>
  <c r="F37" i="10"/>
  <c r="F18" i="10"/>
  <c r="I17" i="10"/>
  <c r="D16" i="10"/>
  <c r="G15" i="10"/>
  <c r="J14" i="10"/>
  <c r="E13" i="10"/>
  <c r="H11" i="10"/>
  <c r="C10" i="10"/>
  <c r="F9" i="10"/>
  <c r="G8" i="10"/>
  <c r="E12" i="10"/>
  <c r="E37" i="10"/>
  <c r="E18" i="10"/>
  <c r="H17" i="10"/>
  <c r="C16" i="10"/>
  <c r="F15" i="10"/>
  <c r="I14" i="10"/>
  <c r="D13" i="10"/>
  <c r="G11" i="10"/>
  <c r="J10" i="10"/>
  <c r="E9" i="10"/>
  <c r="H8" i="10"/>
  <c r="D12" i="10"/>
  <c r="I70" i="12" l="1"/>
  <c r="I71" i="12" s="1"/>
  <c r="L70" i="12"/>
  <c r="L71" i="12" s="1"/>
  <c r="G69" i="12"/>
  <c r="G67" i="12"/>
  <c r="F70" i="12"/>
  <c r="F71" i="12" s="1"/>
  <c r="J70" i="12"/>
  <c r="J71" i="12" s="1"/>
  <c r="C69" i="12"/>
  <c r="C67" i="12"/>
  <c r="C68" i="12" s="1"/>
  <c r="D68" i="12" s="1"/>
  <c r="M70" i="12"/>
  <c r="M71" i="12" s="1"/>
  <c r="B69" i="12"/>
  <c r="H70" i="12"/>
  <c r="H71" i="12" s="1"/>
  <c r="E67" i="12"/>
  <c r="E69" i="12"/>
  <c r="K70" i="12"/>
  <c r="K71" i="12" s="1"/>
  <c r="D70" i="12"/>
  <c r="D71" i="12" s="1"/>
  <c r="K72" i="10"/>
  <c r="M72" i="10"/>
  <c r="I71" i="10"/>
  <c r="I70" i="10"/>
  <c r="H70" i="10"/>
  <c r="H71" i="10" s="1"/>
  <c r="K74" i="10"/>
  <c r="M75" i="10"/>
  <c r="G71" i="10"/>
  <c r="G70" i="10"/>
  <c r="L70" i="10"/>
  <c r="L71" i="10" s="1"/>
  <c r="K73" i="10"/>
  <c r="K75" i="10"/>
  <c r="M73" i="10"/>
  <c r="J70" i="10"/>
  <c r="J71" i="10" s="1"/>
  <c r="M76" i="10"/>
  <c r="D75" i="10"/>
  <c r="F73" i="10"/>
  <c r="F75" i="10"/>
  <c r="D76" i="10"/>
  <c r="F74" i="10"/>
  <c r="E70" i="10"/>
  <c r="E71" i="10"/>
  <c r="D74" i="10"/>
  <c r="F76" i="10"/>
  <c r="C70" i="10"/>
  <c r="C71" i="10" s="1"/>
  <c r="D72" i="10"/>
  <c r="N60" i="10"/>
  <c r="N66" i="10" s="1"/>
  <c r="N8" i="11"/>
  <c r="N6" i="11"/>
  <c r="H58" i="8"/>
  <c r="H54" i="8"/>
  <c r="H57" i="8"/>
  <c r="F55" i="8"/>
  <c r="G55" i="8"/>
  <c r="H55" i="8" s="1"/>
  <c r="F56" i="8"/>
  <c r="G56" i="8"/>
  <c r="H56" i="8" s="1"/>
  <c r="E56" i="8"/>
  <c r="E55" i="8"/>
  <c r="G53" i="8"/>
  <c r="H53" i="8" s="1"/>
  <c r="F53" i="8"/>
  <c r="E53" i="8"/>
  <c r="F50" i="8"/>
  <c r="G50" i="8"/>
  <c r="H50" i="8" s="1"/>
  <c r="F51" i="8"/>
  <c r="G51" i="8"/>
  <c r="H51" i="8" s="1"/>
  <c r="F52" i="8"/>
  <c r="G52" i="8"/>
  <c r="H52" i="8" s="1"/>
  <c r="E52" i="8"/>
  <c r="E51" i="8"/>
  <c r="E50" i="8"/>
  <c r="C45" i="8"/>
  <c r="F47" i="8"/>
  <c r="G47" i="8"/>
  <c r="H47" i="8" s="1"/>
  <c r="E47" i="8"/>
  <c r="F49" i="8"/>
  <c r="G49" i="8"/>
  <c r="H49" i="8" s="1"/>
  <c r="E49" i="8"/>
  <c r="F48" i="8"/>
  <c r="G48" i="8"/>
  <c r="H48" i="8" s="1"/>
  <c r="E48" i="8"/>
  <c r="F46" i="8"/>
  <c r="G46" i="8"/>
  <c r="H46" i="8" s="1"/>
  <c r="F45" i="8"/>
  <c r="G45" i="8"/>
  <c r="H45" i="8" s="1"/>
  <c r="E46" i="8"/>
  <c r="E45" i="8"/>
  <c r="D45" i="8"/>
  <c r="D46" i="8"/>
  <c r="D47" i="8"/>
  <c r="I47" i="8" s="1"/>
  <c r="D48" i="8"/>
  <c r="D49" i="8"/>
  <c r="D50" i="8"/>
  <c r="D51" i="8"/>
  <c r="D52" i="8"/>
  <c r="D53" i="8"/>
  <c r="D54" i="8"/>
  <c r="D55" i="8"/>
  <c r="D56" i="8"/>
  <c r="D57" i="8"/>
  <c r="C46" i="8"/>
  <c r="C49" i="8"/>
  <c r="C51" i="8"/>
  <c r="C52" i="8"/>
  <c r="C53" i="8"/>
  <c r="C54" i="8"/>
  <c r="C55" i="8"/>
  <c r="C56" i="8"/>
  <c r="A54" i="8"/>
  <c r="A49" i="10" s="1"/>
  <c r="B54" i="8"/>
  <c r="A55" i="8"/>
  <c r="A50" i="10" s="1"/>
  <c r="B55" i="8"/>
  <c r="A56" i="8"/>
  <c r="A51" i="10" s="1"/>
  <c r="B56" i="8"/>
  <c r="A48" i="8"/>
  <c r="B48" i="8"/>
  <c r="A49" i="8"/>
  <c r="B49" i="8"/>
  <c r="A50" i="8"/>
  <c r="A45" i="10" s="1"/>
  <c r="B50" i="8"/>
  <c r="A51" i="8"/>
  <c r="B51" i="8"/>
  <c r="A52" i="8"/>
  <c r="A47" i="10" s="1"/>
  <c r="B52" i="8"/>
  <c r="A53" i="8"/>
  <c r="A48" i="10" s="1"/>
  <c r="B53" i="8"/>
  <c r="B46" i="8"/>
  <c r="B47" i="8"/>
  <c r="B45" i="8"/>
  <c r="A46" i="8"/>
  <c r="A47" i="8"/>
  <c r="A45" i="8"/>
  <c r="F35" i="8"/>
  <c r="F34" i="8"/>
  <c r="H34" i="8"/>
  <c r="I34" i="8" s="1"/>
  <c r="H35" i="8"/>
  <c r="I35" i="8" s="1"/>
  <c r="F31" i="8"/>
  <c r="H31" i="8"/>
  <c r="I31" i="8" s="1"/>
  <c r="E27" i="8"/>
  <c r="H22" i="8"/>
  <c r="H23" i="8"/>
  <c r="B11" i="11" s="1"/>
  <c r="N11" i="11" s="1"/>
  <c r="H24" i="8"/>
  <c r="I24" i="8" s="1"/>
  <c r="H25" i="8"/>
  <c r="I25" i="8" s="1"/>
  <c r="H26" i="8"/>
  <c r="I26" i="8" s="1"/>
  <c r="H32" i="8"/>
  <c r="I32" i="8" s="1"/>
  <c r="H33" i="8"/>
  <c r="I33" i="8" s="1"/>
  <c r="F26" i="8"/>
  <c r="F4" i="8"/>
  <c r="F5" i="8"/>
  <c r="F8" i="8"/>
  <c r="F21" i="8"/>
  <c r="F22" i="8"/>
  <c r="F23" i="8"/>
  <c r="F24" i="8"/>
  <c r="F25" i="8"/>
  <c r="F32" i="8"/>
  <c r="F33" i="8"/>
  <c r="F3" i="8"/>
  <c r="H4" i="8"/>
  <c r="I4" i="8" s="1"/>
  <c r="H5" i="8"/>
  <c r="I5" i="8" s="1"/>
  <c r="H8" i="8"/>
  <c r="H20" i="8"/>
  <c r="B9" i="11" s="1"/>
  <c r="N9" i="11" s="1"/>
  <c r="H21" i="8"/>
  <c r="B10" i="11" s="1"/>
  <c r="N10" i="11" s="1"/>
  <c r="H3" i="8"/>
  <c r="I3" i="8" s="1"/>
  <c r="H3" i="7"/>
  <c r="H4" i="7"/>
  <c r="J4" i="7" s="1"/>
  <c r="H5" i="7"/>
  <c r="H6" i="7"/>
  <c r="J6" i="7" s="1"/>
  <c r="K6" i="7" s="1"/>
  <c r="H7" i="7"/>
  <c r="H8" i="7"/>
  <c r="J8" i="7" s="1"/>
  <c r="H9" i="7"/>
  <c r="H10" i="7"/>
  <c r="J10" i="7" s="1"/>
  <c r="H11" i="7"/>
  <c r="H12" i="7"/>
  <c r="J12" i="7" s="1"/>
  <c r="H13" i="7"/>
  <c r="G3" i="7"/>
  <c r="G4" i="7"/>
  <c r="G5" i="7"/>
  <c r="G6" i="7"/>
  <c r="G7" i="7"/>
  <c r="G8" i="7"/>
  <c r="G9" i="7"/>
  <c r="G10" i="7"/>
  <c r="G11" i="7"/>
  <c r="G12" i="7"/>
  <c r="G13" i="7"/>
  <c r="C14" i="7"/>
  <c r="N13" i="7"/>
  <c r="J13" i="7"/>
  <c r="N12" i="7"/>
  <c r="N11" i="7"/>
  <c r="N10" i="7"/>
  <c r="N9" i="7"/>
  <c r="J9" i="7"/>
  <c r="N8" i="7"/>
  <c r="N7" i="7"/>
  <c r="N6" i="7"/>
  <c r="N5" i="7"/>
  <c r="J5" i="7"/>
  <c r="N4" i="7"/>
  <c r="N3" i="7"/>
  <c r="N2" i="7"/>
  <c r="H2" i="7"/>
  <c r="G2" i="7"/>
  <c r="E68" i="12" l="1"/>
  <c r="F68" i="12" s="1"/>
  <c r="G68" i="12" s="1"/>
  <c r="H68" i="12" s="1"/>
  <c r="I68" i="12" s="1"/>
  <c r="J68" i="12" s="1"/>
  <c r="K68" i="12" s="1"/>
  <c r="L68" i="12" s="1"/>
  <c r="M68" i="12" s="1"/>
  <c r="J76" i="12"/>
  <c r="J72" i="12"/>
  <c r="J75" i="12"/>
  <c r="J74" i="12"/>
  <c r="J73" i="12"/>
  <c r="D74" i="12"/>
  <c r="D73" i="12"/>
  <c r="D76" i="12"/>
  <c r="D72" i="12"/>
  <c r="D75" i="12"/>
  <c r="H74" i="12"/>
  <c r="H73" i="12"/>
  <c r="H76" i="12"/>
  <c r="H72" i="12"/>
  <c r="H75" i="12"/>
  <c r="K75" i="12"/>
  <c r="K74" i="12"/>
  <c r="K73" i="12"/>
  <c r="K76" i="12"/>
  <c r="K72" i="12"/>
  <c r="L74" i="12"/>
  <c r="L73" i="12"/>
  <c r="L76" i="12"/>
  <c r="L72" i="12"/>
  <c r="L75" i="12"/>
  <c r="M73" i="12"/>
  <c r="M76" i="12"/>
  <c r="M72" i="12"/>
  <c r="M75" i="12"/>
  <c r="M74" i="12"/>
  <c r="F76" i="12"/>
  <c r="F72" i="12"/>
  <c r="F75" i="12"/>
  <c r="F74" i="12"/>
  <c r="F73" i="12"/>
  <c r="I73" i="12"/>
  <c r="I76" i="12"/>
  <c r="I72" i="12"/>
  <c r="I75" i="12"/>
  <c r="I74" i="12"/>
  <c r="E70" i="12"/>
  <c r="E71" i="12" s="1"/>
  <c r="B70" i="12"/>
  <c r="B71" i="12" s="1"/>
  <c r="N69" i="12"/>
  <c r="C70" i="12"/>
  <c r="C71" i="12" s="1"/>
  <c r="G70" i="12"/>
  <c r="G71" i="12" s="1"/>
  <c r="H74" i="10"/>
  <c r="H73" i="10"/>
  <c r="H75" i="10"/>
  <c r="H72" i="10"/>
  <c r="H76" i="10"/>
  <c r="J72" i="10"/>
  <c r="J75" i="10"/>
  <c r="J73" i="10"/>
  <c r="J76" i="10"/>
  <c r="J74" i="10"/>
  <c r="L74" i="10"/>
  <c r="L72" i="10"/>
  <c r="L76" i="10"/>
  <c r="L73" i="10"/>
  <c r="L75" i="10"/>
  <c r="I73" i="10"/>
  <c r="I75" i="10"/>
  <c r="I76" i="10"/>
  <c r="I72" i="10"/>
  <c r="I74" i="10"/>
  <c r="G72" i="10"/>
  <c r="G73" i="10"/>
  <c r="G74" i="10"/>
  <c r="G76" i="10"/>
  <c r="G75" i="10"/>
  <c r="C72" i="10"/>
  <c r="C74" i="10"/>
  <c r="C76" i="10"/>
  <c r="C73" i="10"/>
  <c r="C75" i="10"/>
  <c r="E72" i="10"/>
  <c r="E75" i="10"/>
  <c r="E76" i="10"/>
  <c r="E74" i="10"/>
  <c r="E73" i="10"/>
  <c r="A42" i="10"/>
  <c r="A18" i="11"/>
  <c r="A43" i="10"/>
  <c r="A19" i="11"/>
  <c r="E17" i="11"/>
  <c r="H17" i="11"/>
  <c r="D17" i="11"/>
  <c r="G17" i="11"/>
  <c r="C17" i="11"/>
  <c r="B17" i="11"/>
  <c r="F17" i="11"/>
  <c r="I58" i="8"/>
  <c r="L23" i="11"/>
  <c r="H23" i="11"/>
  <c r="D23" i="11"/>
  <c r="K23" i="11"/>
  <c r="G23" i="11"/>
  <c r="C23" i="11"/>
  <c r="J23" i="11"/>
  <c r="F23" i="11"/>
  <c r="B23" i="11"/>
  <c r="M23" i="11"/>
  <c r="I23" i="11"/>
  <c r="E23" i="11"/>
  <c r="J5" i="11"/>
  <c r="J14" i="11" s="1"/>
  <c r="F5" i="11"/>
  <c r="F14" i="11" s="1"/>
  <c r="B5" i="11"/>
  <c r="M5" i="11"/>
  <c r="M14" i="11" s="1"/>
  <c r="I5" i="11"/>
  <c r="I14" i="11" s="1"/>
  <c r="E5" i="11"/>
  <c r="E14" i="11" s="1"/>
  <c r="L5" i="11"/>
  <c r="L14" i="11" s="1"/>
  <c r="H5" i="11"/>
  <c r="H14" i="11" s="1"/>
  <c r="D5" i="11"/>
  <c r="D14" i="11" s="1"/>
  <c r="K5" i="11"/>
  <c r="K14" i="11" s="1"/>
  <c r="G5" i="11"/>
  <c r="G14" i="11" s="1"/>
  <c r="C5" i="11"/>
  <c r="C14" i="11" s="1"/>
  <c r="A41" i="10"/>
  <c r="A17" i="11"/>
  <c r="M18" i="11"/>
  <c r="I18" i="11"/>
  <c r="E18" i="11"/>
  <c r="L18" i="11"/>
  <c r="H18" i="11"/>
  <c r="D18" i="11"/>
  <c r="K18" i="11"/>
  <c r="G18" i="11"/>
  <c r="C18" i="11"/>
  <c r="J18" i="11"/>
  <c r="F18" i="11"/>
  <c r="B18" i="11"/>
  <c r="N18" i="11" s="1"/>
  <c r="J21" i="11"/>
  <c r="F21" i="11"/>
  <c r="B21" i="11"/>
  <c r="M21" i="11"/>
  <c r="I21" i="11"/>
  <c r="E21" i="11"/>
  <c r="L21" i="11"/>
  <c r="H21" i="11"/>
  <c r="D21" i="11"/>
  <c r="K21" i="11"/>
  <c r="G21" i="11"/>
  <c r="C21" i="11"/>
  <c r="A46" i="10"/>
  <c r="A21" i="11"/>
  <c r="A44" i="10"/>
  <c r="A20" i="11"/>
  <c r="M16" i="11"/>
  <c r="I16" i="11"/>
  <c r="E16" i="11"/>
  <c r="L16" i="11"/>
  <c r="H16" i="11"/>
  <c r="D16" i="11"/>
  <c r="K16" i="11"/>
  <c r="G16" i="11"/>
  <c r="C16" i="11"/>
  <c r="J16" i="11"/>
  <c r="F16" i="11"/>
  <c r="B16" i="11"/>
  <c r="N16" i="11" s="1"/>
  <c r="G20" i="11"/>
  <c r="C20" i="11"/>
  <c r="F20" i="11"/>
  <c r="B20" i="11"/>
  <c r="I20" i="11"/>
  <c r="E20" i="11"/>
  <c r="H20" i="11"/>
  <c r="D20" i="11"/>
  <c r="A40" i="10"/>
  <c r="A16" i="11"/>
  <c r="L19" i="11"/>
  <c r="H19" i="11"/>
  <c r="D19" i="11"/>
  <c r="K19" i="11"/>
  <c r="G19" i="11"/>
  <c r="C19" i="11"/>
  <c r="J19" i="11"/>
  <c r="F19" i="11"/>
  <c r="B19" i="11"/>
  <c r="M19" i="11"/>
  <c r="I19" i="11"/>
  <c r="E19" i="11"/>
  <c r="M22" i="11"/>
  <c r="I22" i="11"/>
  <c r="I24" i="11" s="1"/>
  <c r="E22" i="11"/>
  <c r="E24" i="11" s="1"/>
  <c r="L22" i="11"/>
  <c r="H22" i="11"/>
  <c r="D22" i="11"/>
  <c r="D24" i="11" s="1"/>
  <c r="J22" i="11"/>
  <c r="J24" i="11" s="1"/>
  <c r="B22" i="11"/>
  <c r="K22" i="11"/>
  <c r="K24" i="11" s="1"/>
  <c r="G22" i="11"/>
  <c r="G24" i="11" s="1"/>
  <c r="C22" i="11"/>
  <c r="C24" i="11" s="1"/>
  <c r="F22" i="11"/>
  <c r="F24" i="11" s="1"/>
  <c r="I51" i="8"/>
  <c r="I50" i="8"/>
  <c r="I46" i="8"/>
  <c r="I56" i="8"/>
  <c r="I55" i="8"/>
  <c r="I53" i="8"/>
  <c r="I52" i="8"/>
  <c r="I45" i="8"/>
  <c r="I49" i="8"/>
  <c r="I57" i="8"/>
  <c r="I48" i="8"/>
  <c r="I54" i="8"/>
  <c r="G42" i="10"/>
  <c r="B42" i="10"/>
  <c r="H42" i="10"/>
  <c r="I42" i="10"/>
  <c r="J42" i="10"/>
  <c r="K42" i="10"/>
  <c r="D42" i="10"/>
  <c r="L42" i="10"/>
  <c r="C42" i="10"/>
  <c r="E42" i="10"/>
  <c r="M42" i="10"/>
  <c r="F42" i="10"/>
  <c r="I23" i="8"/>
  <c r="B22" i="10"/>
  <c r="I21" i="8"/>
  <c r="B20" i="10"/>
  <c r="I22" i="8"/>
  <c r="I20" i="8"/>
  <c r="B19" i="10"/>
  <c r="G35" i="10"/>
  <c r="C35" i="10"/>
  <c r="D35" i="10"/>
  <c r="E35" i="10"/>
  <c r="F35" i="10"/>
  <c r="B35" i="10"/>
  <c r="I8" i="8"/>
  <c r="D7" i="10"/>
  <c r="L7" i="10"/>
  <c r="E7" i="10"/>
  <c r="M7" i="10"/>
  <c r="F7" i="10"/>
  <c r="B7" i="10"/>
  <c r="G7" i="10"/>
  <c r="I7" i="10"/>
  <c r="H7" i="10"/>
  <c r="J7" i="10"/>
  <c r="C7" i="10"/>
  <c r="K7" i="10"/>
  <c r="H37" i="8"/>
  <c r="I37" i="8" s="1"/>
  <c r="L50" i="10"/>
  <c r="G50" i="10"/>
  <c r="B50" i="10"/>
  <c r="M50" i="10"/>
  <c r="H50" i="10"/>
  <c r="C50" i="10"/>
  <c r="K50" i="10"/>
  <c r="F50" i="10"/>
  <c r="I50" i="10"/>
  <c r="D50" i="10"/>
  <c r="J50" i="10"/>
  <c r="E50" i="10"/>
  <c r="H40" i="10"/>
  <c r="C40" i="10"/>
  <c r="I40" i="10"/>
  <c r="D40" i="10"/>
  <c r="J40" i="10"/>
  <c r="E40" i="10"/>
  <c r="B40" i="10"/>
  <c r="K40" i="10"/>
  <c r="F40" i="10"/>
  <c r="L40" i="10"/>
  <c r="G40" i="10"/>
  <c r="M40" i="10"/>
  <c r="H44" i="10"/>
  <c r="E44" i="10"/>
  <c r="D44" i="10"/>
  <c r="I44" i="10"/>
  <c r="F44" i="10"/>
  <c r="G44" i="10"/>
  <c r="C44" i="10"/>
  <c r="B44" i="10"/>
  <c r="H52" i="10"/>
  <c r="E52" i="10"/>
  <c r="I52" i="10"/>
  <c r="F52" i="10"/>
  <c r="J52" i="10"/>
  <c r="G52" i="10"/>
  <c r="D52" i="10"/>
  <c r="K52" i="10"/>
  <c r="L52" i="10"/>
  <c r="M52" i="10"/>
  <c r="C52" i="10"/>
  <c r="B52" i="10"/>
  <c r="F27" i="8"/>
  <c r="H26" i="10"/>
  <c r="C26" i="10"/>
  <c r="I26" i="10"/>
  <c r="D26" i="10"/>
  <c r="B26" i="10"/>
  <c r="J26" i="10"/>
  <c r="E26" i="10"/>
  <c r="K26" i="10"/>
  <c r="F26" i="10"/>
  <c r="L26" i="10"/>
  <c r="G26" i="10"/>
  <c r="M26" i="10"/>
  <c r="C43" i="10"/>
  <c r="B43" i="10"/>
  <c r="H43" i="10"/>
  <c r="D43" i="10"/>
  <c r="I43" i="10"/>
  <c r="E43" i="10"/>
  <c r="J43" i="10"/>
  <c r="F43" i="10"/>
  <c r="K43" i="10"/>
  <c r="G43" i="10"/>
  <c r="M43" i="10"/>
  <c r="L43" i="10"/>
  <c r="F47" i="10"/>
  <c r="G47" i="10"/>
  <c r="E47" i="10"/>
  <c r="H47" i="10"/>
  <c r="M47" i="10"/>
  <c r="I47" i="10"/>
  <c r="B47" i="10"/>
  <c r="J47" i="10"/>
  <c r="K47" i="10"/>
  <c r="C47" i="10"/>
  <c r="L47" i="10"/>
  <c r="D47" i="10"/>
  <c r="H48" i="10"/>
  <c r="I48" i="10"/>
  <c r="J48" i="10"/>
  <c r="C48" i="10"/>
  <c r="B48" i="10"/>
  <c r="K48" i="10"/>
  <c r="D48" i="10"/>
  <c r="L48" i="10"/>
  <c r="E48" i="10"/>
  <c r="M48" i="10"/>
  <c r="F48" i="10"/>
  <c r="G48" i="10"/>
  <c r="J49" i="10"/>
  <c r="D49" i="10"/>
  <c r="K49" i="10"/>
  <c r="E49" i="10"/>
  <c r="B49" i="10"/>
  <c r="L49" i="10"/>
  <c r="F49" i="10"/>
  <c r="M49" i="10"/>
  <c r="G49" i="10"/>
  <c r="H49" i="10"/>
  <c r="I49" i="10"/>
  <c r="C49" i="10"/>
  <c r="B51" i="10"/>
  <c r="C51" i="10"/>
  <c r="H51" i="10"/>
  <c r="D51" i="10"/>
  <c r="I51" i="10"/>
  <c r="E51" i="10"/>
  <c r="M51" i="10"/>
  <c r="J51" i="10"/>
  <c r="F51" i="10"/>
  <c r="K51" i="10"/>
  <c r="G51" i="10"/>
  <c r="L51" i="10"/>
  <c r="D41" i="10"/>
  <c r="E41" i="10"/>
  <c r="F41" i="10"/>
  <c r="C41" i="10"/>
  <c r="G41" i="10"/>
  <c r="H41" i="10"/>
  <c r="J53" i="10"/>
  <c r="K53" i="10"/>
  <c r="I53" i="10"/>
  <c r="L53" i="10"/>
  <c r="M53" i="10"/>
  <c r="C53" i="10"/>
  <c r="D53" i="10"/>
  <c r="E53" i="10"/>
  <c r="B53" i="10"/>
  <c r="G53" i="10"/>
  <c r="H53" i="10"/>
  <c r="F53" i="10"/>
  <c r="L46" i="10"/>
  <c r="C46" i="10"/>
  <c r="M46" i="10"/>
  <c r="D46" i="10"/>
  <c r="K46" i="10"/>
  <c r="E46" i="10"/>
  <c r="F46" i="10"/>
  <c r="H46" i="10"/>
  <c r="G46" i="10"/>
  <c r="B46" i="10"/>
  <c r="I46" i="10"/>
  <c r="J46" i="10"/>
  <c r="D66" i="8"/>
  <c r="D84" i="8"/>
  <c r="F84" i="8" s="1"/>
  <c r="D82" i="8"/>
  <c r="F82" i="8" s="1"/>
  <c r="D83" i="8"/>
  <c r="F83" i="8" s="1"/>
  <c r="D81" i="8"/>
  <c r="F81" i="8" s="1"/>
  <c r="D85" i="8"/>
  <c r="F85" i="8" s="1"/>
  <c r="D87" i="8"/>
  <c r="F87" i="8" s="1"/>
  <c r="C66" i="8"/>
  <c r="H27" i="8"/>
  <c r="I27" i="8" s="1"/>
  <c r="K8" i="7"/>
  <c r="L8" i="7" s="1"/>
  <c r="K4" i="7"/>
  <c r="L4" i="7" s="1"/>
  <c r="K12" i="7"/>
  <c r="L12" i="7" s="1"/>
  <c r="K5" i="7"/>
  <c r="L5" i="7" s="1"/>
  <c r="K9" i="7"/>
  <c r="L9" i="7" s="1"/>
  <c r="K13" i="7"/>
  <c r="L13" i="7" s="1"/>
  <c r="L6" i="7"/>
  <c r="K10" i="7"/>
  <c r="L10" i="7" s="1"/>
  <c r="G14" i="7"/>
  <c r="I10" i="7"/>
  <c r="I6" i="7"/>
  <c r="J2" i="7"/>
  <c r="I5" i="7"/>
  <c r="I9" i="7"/>
  <c r="I13" i="7"/>
  <c r="I4" i="7"/>
  <c r="I12" i="7"/>
  <c r="J3" i="7"/>
  <c r="J7" i="7"/>
  <c r="I8" i="7"/>
  <c r="J11" i="7"/>
  <c r="B76" i="12" l="1"/>
  <c r="B72" i="12"/>
  <c r="B75" i="12"/>
  <c r="N71" i="12"/>
  <c r="B74" i="12"/>
  <c r="B73" i="12"/>
  <c r="E73" i="12"/>
  <c r="E76" i="12"/>
  <c r="E72" i="12"/>
  <c r="E75" i="12"/>
  <c r="E74" i="12"/>
  <c r="G75" i="12"/>
  <c r="G74" i="12"/>
  <c r="G73" i="12"/>
  <c r="G76" i="12"/>
  <c r="G72" i="12"/>
  <c r="C75" i="12"/>
  <c r="C74" i="12"/>
  <c r="C73" i="12"/>
  <c r="C76" i="12"/>
  <c r="C72" i="12"/>
  <c r="L24" i="11"/>
  <c r="N5" i="11"/>
  <c r="B14" i="11"/>
  <c r="N14" i="11" s="1"/>
  <c r="N20" i="11"/>
  <c r="H24" i="11"/>
  <c r="M24" i="11"/>
  <c r="N19" i="11"/>
  <c r="N21" i="11"/>
  <c r="N23" i="11"/>
  <c r="N17" i="11"/>
  <c r="N22" i="11"/>
  <c r="B24" i="11"/>
  <c r="B38" i="10"/>
  <c r="I60" i="8"/>
  <c r="B94" i="8" s="1"/>
  <c r="I40" i="8"/>
  <c r="B93" i="8" s="1"/>
  <c r="F89" i="8"/>
  <c r="F66" i="8"/>
  <c r="F69" i="8" s="1"/>
  <c r="H38" i="10"/>
  <c r="C38" i="10"/>
  <c r="E38" i="10"/>
  <c r="D38" i="10"/>
  <c r="J38" i="10"/>
  <c r="L38" i="10"/>
  <c r="I38" i="10"/>
  <c r="G38" i="10"/>
  <c r="F38" i="10"/>
  <c r="K38" i="10"/>
  <c r="M38" i="10"/>
  <c r="J54" i="10"/>
  <c r="M54" i="10"/>
  <c r="D54" i="10"/>
  <c r="G54" i="10"/>
  <c r="L54" i="10"/>
  <c r="C54" i="10"/>
  <c r="I54" i="10"/>
  <c r="E54" i="10"/>
  <c r="F54" i="10"/>
  <c r="H54" i="10"/>
  <c r="B54" i="10"/>
  <c r="K54" i="10"/>
  <c r="P5" i="7"/>
  <c r="O5" i="7"/>
  <c r="P4" i="7"/>
  <c r="O4" i="7"/>
  <c r="P9" i="7"/>
  <c r="O9" i="7"/>
  <c r="P12" i="7"/>
  <c r="O12" i="7"/>
  <c r="P8" i="7"/>
  <c r="O8" i="7"/>
  <c r="I3" i="7"/>
  <c r="K3" i="7"/>
  <c r="L3" i="7" s="1"/>
  <c r="P13" i="7"/>
  <c r="O13" i="7"/>
  <c r="K7" i="7"/>
  <c r="L7" i="7" s="1"/>
  <c r="P10" i="7"/>
  <c r="O10" i="7"/>
  <c r="K11" i="7"/>
  <c r="L11" i="7" s="1"/>
  <c r="P6" i="7"/>
  <c r="O6" i="7"/>
  <c r="K2" i="7"/>
  <c r="I2" i="7"/>
  <c r="I7" i="7"/>
  <c r="I11" i="7"/>
  <c r="N72" i="12" l="1"/>
  <c r="N75" i="12"/>
  <c r="N73" i="12"/>
  <c r="N74" i="12"/>
  <c r="N76" i="12"/>
  <c r="B95" i="8"/>
  <c r="L26" i="11"/>
  <c r="H26" i="11"/>
  <c r="D26" i="11"/>
  <c r="K26" i="11"/>
  <c r="G26" i="11"/>
  <c r="C26" i="11"/>
  <c r="J26" i="11"/>
  <c r="F26" i="11"/>
  <c r="B26" i="11"/>
  <c r="M26" i="11"/>
  <c r="I26" i="11"/>
  <c r="E26" i="11"/>
  <c r="N24" i="11"/>
  <c r="M25" i="11"/>
  <c r="M27" i="11" s="1"/>
  <c r="I25" i="11"/>
  <c r="I27" i="11" s="1"/>
  <c r="E25" i="11"/>
  <c r="E27" i="11" s="1"/>
  <c r="L25" i="11"/>
  <c r="L27" i="11" s="1"/>
  <c r="H25" i="11"/>
  <c r="H27" i="11" s="1"/>
  <c r="D25" i="11"/>
  <c r="D27" i="11" s="1"/>
  <c r="F25" i="11"/>
  <c r="F27" i="11" s="1"/>
  <c r="B25" i="11"/>
  <c r="B27" i="11" s="1"/>
  <c r="K25" i="11"/>
  <c r="K27" i="11" s="1"/>
  <c r="G25" i="11"/>
  <c r="G27" i="11" s="1"/>
  <c r="C25" i="11"/>
  <c r="J25" i="11"/>
  <c r="J27" i="11" s="1"/>
  <c r="L2" i="7"/>
  <c r="K14" i="7"/>
  <c r="D56" i="10"/>
  <c r="L56" i="10"/>
  <c r="E56" i="10"/>
  <c r="M56" i="10"/>
  <c r="F56" i="10"/>
  <c r="B56" i="10"/>
  <c r="G56" i="10"/>
  <c r="H56" i="10"/>
  <c r="I56" i="10"/>
  <c r="J56" i="10"/>
  <c r="K56" i="10"/>
  <c r="C56" i="10"/>
  <c r="P3" i="7"/>
  <c r="O3" i="7"/>
  <c r="P7" i="7"/>
  <c r="O7" i="7"/>
  <c r="P11" i="7"/>
  <c r="O11" i="7"/>
  <c r="L14" i="7"/>
  <c r="P2" i="7"/>
  <c r="O2" i="7"/>
  <c r="N26" i="11" l="1"/>
  <c r="N25" i="11"/>
  <c r="C27" i="11"/>
  <c r="N27" i="11" s="1"/>
  <c r="P14" i="7"/>
  <c r="O14" i="7"/>
  <c r="B55" i="10" l="1"/>
  <c r="E55" i="10"/>
  <c r="E57" i="10" s="1"/>
  <c r="E67" i="10" s="1"/>
  <c r="D55" i="10"/>
  <c r="D57" i="10" s="1"/>
  <c r="D67" i="10" s="1"/>
  <c r="C55" i="10"/>
  <c r="C57" i="10" s="1"/>
  <c r="C67" i="10" s="1"/>
  <c r="F55" i="10"/>
  <c r="F57" i="10" s="1"/>
  <c r="F67" i="10" s="1"/>
  <c r="B96" i="8"/>
  <c r="B97" i="8" s="1"/>
  <c r="B98" i="8" s="1"/>
  <c r="B100" i="8" s="1"/>
  <c r="C101" i="8" s="1"/>
  <c r="A102" i="8" s="1"/>
  <c r="B110" i="8" s="1"/>
  <c r="H55" i="10"/>
  <c r="H57" i="10" s="1"/>
  <c r="H67" i="10" s="1"/>
  <c r="L55" i="10"/>
  <c r="L57" i="10" s="1"/>
  <c r="L67" i="10" s="1"/>
  <c r="G55" i="10"/>
  <c r="G57" i="10" s="1"/>
  <c r="G67" i="10" s="1"/>
  <c r="M55" i="10"/>
  <c r="M57" i="10" s="1"/>
  <c r="M67" i="10" s="1"/>
  <c r="J55" i="10"/>
  <c r="J57" i="10" s="1"/>
  <c r="J67" i="10" s="1"/>
  <c r="I55" i="10"/>
  <c r="I57" i="10" s="1"/>
  <c r="I67" i="10" s="1"/>
  <c r="K55" i="10"/>
  <c r="K57" i="10" s="1"/>
  <c r="K67" i="10" s="1"/>
  <c r="B111" i="8" l="1"/>
  <c r="B112" i="8" s="1"/>
  <c r="B113" i="8" s="1"/>
  <c r="B114" i="8" s="1"/>
  <c r="B57" i="10" l="1"/>
  <c r="B67" i="10" s="1"/>
  <c r="B68" i="10" l="1"/>
  <c r="N57" i="10"/>
  <c r="N67" i="10" s="1"/>
  <c r="C68" i="10" l="1"/>
  <c r="D68" i="10" l="1"/>
  <c r="E68" i="10" l="1"/>
  <c r="F68" i="10" l="1"/>
  <c r="G68" i="10" l="1"/>
  <c r="H68" i="10" l="1"/>
  <c r="I68" i="10" l="1"/>
  <c r="J68" i="10" l="1"/>
  <c r="K68" i="10" l="1"/>
  <c r="L68" i="10" l="1"/>
  <c r="M68" i="10" s="1"/>
  <c r="B70" i="10"/>
  <c r="N69" i="10"/>
  <c r="B71" i="10" l="1"/>
  <c r="B75" i="10" l="1"/>
  <c r="N75" i="10" s="1"/>
  <c r="B74" i="10"/>
  <c r="N74" i="10" s="1"/>
  <c r="N71" i="10"/>
  <c r="B76" i="10"/>
  <c r="N76" i="10" s="1"/>
  <c r="B72" i="10"/>
  <c r="N72" i="10" s="1"/>
  <c r="B73" i="10"/>
  <c r="N73" i="10" s="1"/>
</calcChain>
</file>

<file path=xl/sharedStrings.xml><?xml version="1.0" encoding="utf-8"?>
<sst xmlns="http://schemas.openxmlformats.org/spreadsheetml/2006/main" count="370" uniqueCount="229">
  <si>
    <t>DEPARTAMENTO</t>
  </si>
  <si>
    <t>MUNICIPIO</t>
  </si>
  <si>
    <t>TOTAL PREDIOS</t>
  </si>
  <si>
    <t>Cali</t>
  </si>
  <si>
    <t>Total</t>
  </si>
  <si>
    <t>PERSONAL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</si>
  <si>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</si>
  <si>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</si>
  <si>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</si>
  <si>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</si>
  <si>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</si>
  <si>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</si>
  <si>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</si>
  <si>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</si>
  <si>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</si>
  <si>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</si>
  <si>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</si>
  <si>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</si>
  <si>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MES</t>
  </si>
  <si>
    <t>TOTAL</t>
  </si>
  <si>
    <t>VALOR AÑO</t>
  </si>
  <si>
    <t>VALOR IMPUESTOS</t>
  </si>
  <si>
    <t>CAQUETÁ</t>
  </si>
  <si>
    <t>FLORENCIA</t>
  </si>
  <si>
    <t xml:space="preserve">CÓRDOBA </t>
  </si>
  <si>
    <t>MONTERÍA</t>
  </si>
  <si>
    <t>MAGDALENA</t>
  </si>
  <si>
    <t>SANTA MARTA</t>
  </si>
  <si>
    <t>VALLE DEL CAUCA</t>
  </si>
  <si>
    <t>CALI</t>
  </si>
  <si>
    <t>CESAR</t>
  </si>
  <si>
    <t>CHIRIGUANÁ</t>
  </si>
  <si>
    <t>ARCHIPIÉLAGO DE SAN ANDRÉS</t>
  </si>
  <si>
    <t>SAN ANDRÉS</t>
  </si>
  <si>
    <t>ATLÁNTICO</t>
  </si>
  <si>
    <t>PUERTO COLOMBIA</t>
  </si>
  <si>
    <t>GALAPA</t>
  </si>
  <si>
    <t>MALAMBO</t>
  </si>
  <si>
    <t>SUCRE</t>
  </si>
  <si>
    <t>SINCELEJO</t>
  </si>
  <si>
    <t>META</t>
  </si>
  <si>
    <t>VILLAVICENCIO</t>
  </si>
  <si>
    <t>NORTE DE SANTANDER</t>
  </si>
  <si>
    <t>CÚCUTA</t>
  </si>
  <si>
    <t>COMISIONISTA</t>
  </si>
  <si>
    <t>JC&amp;JJ</t>
  </si>
  <si>
    <t>CINTELI</t>
  </si>
  <si>
    <t>JM</t>
  </si>
  <si>
    <t>Meses</t>
  </si>
  <si>
    <t>NETO MENOS IMPUESTOS</t>
  </si>
  <si>
    <t>VALOR MT/MTO</t>
  </si>
  <si>
    <t>NETO MENOS MT/MTO</t>
  </si>
  <si>
    <t>% FEE PREDIUM</t>
  </si>
  <si>
    <t>% FEE COMISIONISTA</t>
  </si>
  <si>
    <t>VLR NETO FEE COMISIONISTA</t>
  </si>
  <si>
    <t>VALOR NETO FEE PREDIUM</t>
  </si>
  <si>
    <t>Ingeniero Catastral</t>
  </si>
  <si>
    <t>Proyect Manager</t>
  </si>
  <si>
    <t>Community Manager</t>
  </si>
  <si>
    <t>PERFIL</t>
  </si>
  <si>
    <t>CANTIDAD</t>
  </si>
  <si>
    <t>Analista Programador ARGIS (SIG)</t>
  </si>
  <si>
    <t>Cantidad</t>
  </si>
  <si>
    <t xml:space="preserve">Valor  Empresa </t>
  </si>
  <si>
    <t>Bonificación</t>
  </si>
  <si>
    <t>Costo Empresa</t>
  </si>
  <si>
    <t>Contador</t>
  </si>
  <si>
    <t>Ingeniero de redes</t>
  </si>
  <si>
    <t>Luis Alfredo Ramos</t>
  </si>
  <si>
    <t>Neto Aprox</t>
  </si>
  <si>
    <t>Ubicación</t>
  </si>
  <si>
    <t>Barranquilla</t>
  </si>
  <si>
    <t>Virtual</t>
  </si>
  <si>
    <t>Elkin (Iliana)</t>
  </si>
  <si>
    <t>Sofía (Iliana)</t>
  </si>
  <si>
    <t>Lobsang Flechas</t>
  </si>
  <si>
    <t>PERSONAL PREVISTO</t>
  </si>
  <si>
    <t>EQUIPO</t>
  </si>
  <si>
    <t>MODELO</t>
  </si>
  <si>
    <t>CARACTERISTICAS</t>
  </si>
  <si>
    <t>TARIFA</t>
  </si>
  <si>
    <t>VALOR+IVA</t>
  </si>
  <si>
    <t>Microstation</t>
  </si>
  <si>
    <t>CPU Xeon E3-1225 V6 HP Work Station Z238</t>
  </si>
  <si>
    <t>1 Procesador Xeon Quad Core, Memoria RAM de 16 GB , 1 Disco duro de 1 TB, 1 Tarjeta de video VGA-DVI-HDMI, 1 DVD writer</t>
  </si>
  <si>
    <t>PORTATIL</t>
  </si>
  <si>
    <t>Computador Portatil HP Core i7-8550U</t>
  </si>
  <si>
    <t>Memoria RAM de 16 GB , 1 Disco duro de 1 TB, 1 Tarjeta de red Inalámbrica, 1 Estandar</t>
  </si>
  <si>
    <t>Computador Portatil Lenovo Core i7-8550U</t>
  </si>
  <si>
    <t>Memoria RAM de 16 GB , 1 Disco duro de 1 TB, TARJETA GRAFICA</t>
  </si>
  <si>
    <t>PC</t>
  </si>
  <si>
    <t>CPU Core i7-7700 Lenovo</t>
  </si>
  <si>
    <t>1 Procesador Core i7, Memoria RAM de 16 GB , 1 Disco de estado sólido de 480 GB, 1 Disco duro de 1 TB, 1 Tarjeta de video VGA-DVI-HDMI, 1 DVD writer</t>
  </si>
  <si>
    <t>Computador Portatil Core i7-1165G7 Dell</t>
  </si>
  <si>
    <t>Memoria RAM de 16 GB , 1 Disco de estado sólido de 256 GB, 1 Tarjeta de red Inalámbrica</t>
  </si>
  <si>
    <t>1 Procesador Core i7, Memoria RAM de 16 GB , 1 Disco de estado sólido de 480 GB, 1 Tarjeta de video VGA-DVI-HDMI, 1 DVD writer</t>
  </si>
  <si>
    <t>CPU Core i7-3770 Lenovo</t>
  </si>
  <si>
    <t>Computador Portátil Lenovo Core i7-8550U</t>
  </si>
  <si>
    <t>Memoria RAM de 12 GB , 1 Disco duro de 1 TB, 1 Tarjeta de red Inalámbrica</t>
  </si>
  <si>
    <t>Computador Portátil Core i5-8265U</t>
  </si>
  <si>
    <t>Memoria RAM de 8 GB , 1 Disco duro de 1 TB, 1 Tarjeta de red Inalámbrica</t>
  </si>
  <si>
    <t>VALOR PREDIO</t>
  </si>
  <si>
    <t>N/A</t>
  </si>
  <si>
    <t>UBICACIÓN</t>
  </si>
  <si>
    <t>MESES</t>
  </si>
  <si>
    <t>TIPO EQUIPO</t>
  </si>
  <si>
    <t>VALOR ALQUILER</t>
  </si>
  <si>
    <t>VALOR ALQUILER + IVA</t>
  </si>
  <si>
    <t>EQUIPOS PREVISTOS</t>
  </si>
  <si>
    <t xml:space="preserve">Servidores </t>
  </si>
  <si>
    <t>Nube</t>
  </si>
  <si>
    <t>Servidor</t>
  </si>
  <si>
    <t>Adecuación de Redes</t>
  </si>
  <si>
    <t xml:space="preserve">BASES EXTERNAS - LICENCIAS </t>
  </si>
  <si>
    <t>Perfil</t>
  </si>
  <si>
    <t>Tiempo</t>
  </si>
  <si>
    <t>Vlr. Unitario</t>
  </si>
  <si>
    <t>Vlr.Total</t>
  </si>
  <si>
    <t>Licencia ESRI Web - 1 Año</t>
  </si>
  <si>
    <t>Office Enterprise</t>
  </si>
  <si>
    <t>TOTAL EQUIPOS PREVISTOS</t>
  </si>
  <si>
    <t>TOTAL PERSONAL PREVISTO</t>
  </si>
  <si>
    <t>Daniel Casalprim - CONSULTOR LADM-COL</t>
  </si>
  <si>
    <t>Jefe Recursos Humanos</t>
  </si>
  <si>
    <t>Profesional Nómina</t>
  </si>
  <si>
    <t>Recepcionista</t>
  </si>
  <si>
    <t>Director Financiero</t>
  </si>
  <si>
    <t>Contadora Junior</t>
  </si>
  <si>
    <t>Auxiliar Contaduría</t>
  </si>
  <si>
    <t>Servicios Generales</t>
  </si>
  <si>
    <t>Servicios Seguridad</t>
  </si>
  <si>
    <t>Servicio Eléctrico</t>
  </si>
  <si>
    <t>Servicio Acueducto Alcantarillado</t>
  </si>
  <si>
    <t>Servicio Internet</t>
  </si>
  <si>
    <t>Papelería</t>
  </si>
  <si>
    <t xml:space="preserve">FUNCIONAMIENTO </t>
  </si>
  <si>
    <t xml:space="preserve">VLR. TOTAL FUNCIONAMIENTO </t>
  </si>
  <si>
    <t>VALOR ACTIVIDADES NETO</t>
  </si>
  <si>
    <t>VALOR ACTIVIDADES + IMPREVISTOS</t>
  </si>
  <si>
    <t>UTILIDADES</t>
  </si>
  <si>
    <t>VALORES GENEALES PREDIUM CALI</t>
  </si>
  <si>
    <t>Licencia Programación * Programador BITBUCKET</t>
  </si>
  <si>
    <t>Licencia Pre-Censo</t>
  </si>
  <si>
    <t>VIATICOS AÑO</t>
  </si>
  <si>
    <t>Diseñador Gráfico Junior</t>
  </si>
  <si>
    <t>EQUIPOS</t>
  </si>
  <si>
    <t>FUNCIONAMIENTO</t>
  </si>
  <si>
    <t>LICENCIAS</t>
  </si>
  <si>
    <t>TOTAL GENERAL</t>
  </si>
  <si>
    <t>TOTAL EQUIPOS</t>
  </si>
  <si>
    <t>TOTAL PERSONAL</t>
  </si>
  <si>
    <t>Analista Programador Senior - Fijos 1</t>
  </si>
  <si>
    <t>Analista Programador Senior - Fijos 2</t>
  </si>
  <si>
    <t>Analista Programador Senior - Fijos 3</t>
  </si>
  <si>
    <t>Analista Programador Senior - Fijos 4</t>
  </si>
  <si>
    <t>Analista Programador Senior - Temp 1</t>
  </si>
  <si>
    <t>Analista Programador Senior - Temp 2</t>
  </si>
  <si>
    <t>Analista Programador Senior - Temp 3</t>
  </si>
  <si>
    <t>Analista Programador Senior - Temp 4</t>
  </si>
  <si>
    <t>Analista Programador Senior - Temp 5</t>
  </si>
  <si>
    <t>Analista Programador Senior - Eventuales 1</t>
  </si>
  <si>
    <t>Analista Programador Senior - Eventuales 2</t>
  </si>
  <si>
    <t>Analista Programador Senior - Eventuales 3</t>
  </si>
  <si>
    <t>Consultores SAP (Hernando) 1</t>
  </si>
  <si>
    <t>Consultores SAP (Hernando) 2</t>
  </si>
  <si>
    <t>Consultores SAP (Hernando) 3</t>
  </si>
  <si>
    <t>PM - OMI &amp; PMP (Iliana)</t>
  </si>
  <si>
    <t>Documentador 1</t>
  </si>
  <si>
    <t>Documentador 2</t>
  </si>
  <si>
    <t>Documentador 3</t>
  </si>
  <si>
    <t>Analista Administrativo</t>
  </si>
  <si>
    <t>Discos Duro</t>
  </si>
  <si>
    <t>Servicio de Impresión</t>
  </si>
  <si>
    <t xml:space="preserve">VLR. TOTAL LICENCIAS </t>
  </si>
  <si>
    <t>Mobiliario</t>
  </si>
  <si>
    <t>Muebles</t>
  </si>
  <si>
    <t>AMB</t>
  </si>
  <si>
    <t>TOTAL AÑO</t>
  </si>
  <si>
    <t>IMPUESTOS</t>
  </si>
  <si>
    <t>TOTAL AÑO - IMPUESTOS</t>
  </si>
  <si>
    <t>TOTAL MES NETO</t>
  </si>
  <si>
    <t>TOTAL MES DISPONIBLE</t>
  </si>
  <si>
    <t>CHIRIGUANA</t>
  </si>
  <si>
    <t>Juan Sebastian Panesso</t>
  </si>
  <si>
    <t>COBROS</t>
  </si>
  <si>
    <t>FONDO MANIOBRA</t>
  </si>
  <si>
    <t>Jordi Vives</t>
  </si>
  <si>
    <t>JORDI VIVES</t>
  </si>
  <si>
    <t>SEBASTIAN VIVES</t>
  </si>
  <si>
    <t>LUIIS ALFREDO RAMOS</t>
  </si>
  <si>
    <t>JAVIER LOPEZ</t>
  </si>
  <si>
    <t>LOBSANG FLECHAS</t>
  </si>
  <si>
    <t>diego montes</t>
  </si>
  <si>
    <t xml:space="preserve"> llamarlo de nuevo</t>
  </si>
  <si>
    <t>?</t>
  </si>
  <si>
    <t>HV Carolina Macía</t>
  </si>
  <si>
    <t>Mauricio Rguez</t>
  </si>
  <si>
    <t xml:space="preserve">PENDIENTE </t>
  </si>
  <si>
    <t>Coord Documentación</t>
  </si>
  <si>
    <t>Los programadores junior harán de documentador</t>
  </si>
  <si>
    <t>Luis Armando</t>
  </si>
  <si>
    <t>Lady Viviana</t>
  </si>
  <si>
    <t>AISOFT (Harry/Zait)</t>
  </si>
  <si>
    <t>Darán tb el soporte físicamente en CALI</t>
  </si>
  <si>
    <t>Jaime Buelvas</t>
  </si>
  <si>
    <t>Llamarlo para concretar</t>
  </si>
  <si>
    <t>Wilson Guerrero</t>
  </si>
  <si>
    <t>Nohora</t>
  </si>
  <si>
    <t>Luis Ramos</t>
  </si>
  <si>
    <t>V</t>
  </si>
  <si>
    <t>Hernando</t>
  </si>
  <si>
    <t>John Percybrooks</t>
  </si>
  <si>
    <t>marido de la inmobiliaria oficina nueva</t>
  </si>
  <si>
    <t xml:space="preserve">Progamador JUNIOR (Ronny) </t>
  </si>
  <si>
    <t>Javier Lopez</t>
  </si>
  <si>
    <t>Valor Arriendo Sedes (baq yCali)</t>
  </si>
  <si>
    <t>FECHA INGRESO</t>
  </si>
  <si>
    <t>Programador SENIOR (Gohan)</t>
  </si>
  <si>
    <t>Gohan</t>
  </si>
  <si>
    <t>Ronny</t>
  </si>
  <si>
    <t>IMPREVISTOS (5%)</t>
  </si>
  <si>
    <t>MARGEN NETO</t>
  </si>
  <si>
    <t>MARGEN ACUMULADO</t>
  </si>
  <si>
    <t>AMBQ</t>
  </si>
  <si>
    <t>ARMENIA</t>
  </si>
  <si>
    <t>BELLO</t>
  </si>
  <si>
    <t>TOTAL COBROS</t>
  </si>
  <si>
    <t>BONUS GERENTE</t>
  </si>
  <si>
    <t>FONDO MANIOBRA SOCIOS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</si>
</sst>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\ _€_-;\-* #,##0.00\ _€_-;_-* &quot;-&quot;??\ _€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#,##0.0"/>
    <numFmt numFmtId="170" formatCode="#,##0_ ;[Red]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 Narrow"/>
      <family val="2"/>
    </font>
    <font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4"/>
      <color theme="0"/>
      <name val="Arial Narrow"/>
      <family val="2"/>
    </font>
    <font>
      <b/>
      <sz val="10"/>
      <color rgb="FF000000"/>
      <name val="Arial Narrow"/>
      <family val="2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b/>
      <sz val="13"/>
      <color theme="0"/>
      <name val="Arial Narrow"/>
      <family val="2"/>
    </font>
    <font>
      <b/>
      <sz val="13"/>
      <color theme="1"/>
      <name val="Arial Narrow"/>
      <family val="2"/>
    </font>
    <font>
      <sz val="11"/>
      <color rgb="FFFF0000"/>
      <name val="Arial Narrow"/>
      <family val="2"/>
    </font>
    <font>
      <sz val="12"/>
      <color rgb="FF006100"/>
      <name val="Calibri"/>
      <family val="2"/>
      <scheme val="minor"/>
    </font>
    <font>
      <b/>
      <sz val="14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34998626667073579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15" borderId="0" applyNumberFormat="0" applyBorder="0" applyAlignment="0" applyProtection="0"/>
  </cellStyleXfs>
  <cellXfs count="1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/>
    <xf numFmtId="167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67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7" fontId="6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8" fontId="6" fillId="4" borderId="1" xfId="2" applyNumberFormat="1" applyFont="1" applyFill="1" applyBorder="1" applyAlignment="1">
      <alignment horizontal="center" vertical="center"/>
    </xf>
    <xf numFmtId="168" fontId="6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165" fontId="6" fillId="5" borderId="1" xfId="2" applyFont="1" applyFill="1" applyBorder="1" applyAlignment="1">
      <alignment horizontal="center"/>
    </xf>
    <xf numFmtId="9" fontId="6" fillId="5" borderId="1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5" fontId="6" fillId="0" borderId="1" xfId="2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 readingOrder="1"/>
    </xf>
    <xf numFmtId="168" fontId="5" fillId="0" borderId="1" xfId="4" applyNumberFormat="1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168" fontId="3" fillId="3" borderId="1" xfId="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8" fontId="6" fillId="0" borderId="1" xfId="4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4" fontId="3" fillId="9" borderId="5" xfId="3" applyFont="1" applyFill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9" fontId="13" fillId="0" borderId="1" xfId="0" applyNumberFormat="1" applyFont="1" applyFill="1" applyBorder="1" applyAlignment="1">
      <alignment horizontal="center" vertical="center" wrapText="1"/>
    </xf>
    <xf numFmtId="165" fontId="6" fillId="0" borderId="0" xfId="2" applyFont="1" applyAlignment="1">
      <alignment horizontal="center" vertical="center"/>
    </xf>
    <xf numFmtId="165" fontId="13" fillId="0" borderId="1" xfId="2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8" fontId="4" fillId="0" borderId="1" xfId="2" applyNumberFormat="1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68" fontId="15" fillId="9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8" fontId="6" fillId="5" borderId="1" xfId="2" applyNumberFormat="1" applyFont="1" applyFill="1" applyBorder="1" applyAlignment="1">
      <alignment horizontal="center"/>
    </xf>
    <xf numFmtId="168" fontId="6" fillId="0" borderId="1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8" fontId="10" fillId="0" borderId="0" xfId="0" applyNumberFormat="1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168" fontId="10" fillId="1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18" fillId="15" borderId="1" xfId="5" applyBorder="1" applyAlignment="1">
      <alignment horizontal="center" vertical="center"/>
    </xf>
    <xf numFmtId="14" fontId="6" fillId="0" borderId="0" xfId="2" applyNumberFormat="1" applyFont="1" applyBorder="1" applyAlignment="1">
      <alignment horizontal="center" vertical="center"/>
    </xf>
    <xf numFmtId="14" fontId="3" fillId="9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14" fontId="6" fillId="4" borderId="1" xfId="2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167" fontId="6" fillId="6" borderId="5" xfId="0" applyNumberFormat="1" applyFont="1" applyFill="1" applyBorder="1" applyAlignment="1">
      <alignment horizontal="center"/>
    </xf>
    <xf numFmtId="167" fontId="6" fillId="6" borderId="4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168" fontId="3" fillId="9" borderId="1" xfId="2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6" fillId="8" borderId="3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3" fillId="9" borderId="3" xfId="0" applyFont="1" applyFill="1" applyBorder="1" applyAlignment="1">
      <alignment horizontal="right" vertical="center"/>
    </xf>
    <xf numFmtId="0" fontId="3" fillId="9" borderId="5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64" fontId="3" fillId="9" borderId="5" xfId="3" applyFont="1" applyFill="1" applyBorder="1" applyAlignment="1">
      <alignment horizontal="center" vertical="center"/>
    </xf>
    <xf numFmtId="164" fontId="3" fillId="9" borderId="4" xfId="3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8" fontId="10" fillId="9" borderId="1" xfId="2" applyNumberFormat="1" applyFont="1" applyFill="1" applyBorder="1" applyAlignment="1">
      <alignment horizontal="center" vertical="center" wrapText="1"/>
    </xf>
    <xf numFmtId="168" fontId="14" fillId="0" borderId="1" xfId="2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8" fontId="10" fillId="10" borderId="3" xfId="0" applyNumberFormat="1" applyFont="1" applyFill="1" applyBorder="1" applyAlignment="1">
      <alignment horizontal="center" vertical="center" wrapText="1"/>
    </xf>
    <xf numFmtId="168" fontId="19" fillId="0" borderId="14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8" fontId="4" fillId="0" borderId="3" xfId="2" applyNumberFormat="1" applyFont="1" applyBorder="1" applyAlignment="1">
      <alignment horizontal="center" vertical="center" wrapText="1"/>
    </xf>
    <xf numFmtId="168" fontId="7" fillId="0" borderId="1" xfId="0" applyNumberFormat="1" applyFont="1" applyFill="1" applyBorder="1" applyAlignment="1">
      <alignment horizontal="center" vertical="center" wrapText="1"/>
    </xf>
    <xf numFmtId="168" fontId="7" fillId="16" borderId="0" xfId="0" applyNumberFormat="1" applyFont="1" applyFill="1" applyAlignment="1">
      <alignment horizontal="center" vertical="center" wrapText="1"/>
    </xf>
    <xf numFmtId="170" fontId="16" fillId="0" borderId="1" xfId="0" applyNumberFormat="1" applyFont="1" applyFill="1" applyBorder="1" applyAlignment="1">
      <alignment horizontal="center" vertical="center" wrapText="1"/>
    </xf>
    <xf numFmtId="170" fontId="4" fillId="0" borderId="1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Fill="1" applyAlignment="1">
      <alignment horizontal="center" vertical="center" wrapText="1"/>
    </xf>
    <xf numFmtId="170" fontId="4" fillId="0" borderId="3" xfId="0" applyNumberFormat="1" applyFont="1" applyFill="1" applyBorder="1" applyAlignment="1">
      <alignment horizontal="center" vertical="center" wrapText="1"/>
    </xf>
    <xf numFmtId="170" fontId="7" fillId="0" borderId="1" xfId="0" applyNumberFormat="1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168" fontId="4" fillId="17" borderId="1" xfId="2" applyNumberFormat="1" applyFont="1" applyFill="1" applyBorder="1" applyAlignment="1">
      <alignment horizontal="center" vertical="center" wrapText="1"/>
    </xf>
    <xf numFmtId="168" fontId="4" fillId="17" borderId="3" xfId="2" applyNumberFormat="1" applyFont="1" applyFill="1" applyBorder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</cellXfs>
  <cellStyles count="6">
    <cellStyle name="Bueno" xfId="5" builtinId="26"/>
    <cellStyle name="Millares" xfId="1" builtinId="3"/>
    <cellStyle name="Moneda" xfId="2" builtinId="4"/>
    <cellStyle name="Moneda [0]" xfId="3" builtinId="7"/>
    <cellStyle name="Moneda 2" xfId="4" xr:uid="{82C4CA5D-36F5-4FBC-BC6A-9D9C712885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CAB3-44E9-5B4F-B3E4-374EE85C0805}">
  <dimension ref="A1:N79"/>
  <sheetViews>
    <sheetView showGridLines="0" tabSelected="1" topLeftCell="A52" zoomScale="150" zoomScaleNormal="85" workbookViewId="0">
      <pane xSplit="10080" topLeftCell="D1" activePane="topRight"/>
      <selection activeCell="A69" sqref="A69:XFD69"/>
      <selection pane="topRight" activeCell="B72" sqref="B72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4" width="16.6640625" style="70" bestFit="1" customWidth="1"/>
    <col min="15" max="16384" width="11.5" style="70"/>
  </cols>
  <sheetData>
    <row r="1" spans="1:13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3" ht="15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</row>
    <row r="3" spans="1:13" ht="15" x14ac:dyDescent="0.2">
      <c r="A3" s="64" t="str">
        <f>+'L-COSTOS'!A4</f>
        <v>Diseñador Gráfico Junior</v>
      </c>
      <c r="B3" s="65"/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</row>
    <row r="4" spans="1:13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</row>
    <row r="5" spans="1:13" ht="15" x14ac:dyDescent="0.2">
      <c r="A5" s="64" t="str">
        <f>+'L-COSTOS'!A6</f>
        <v>Documentador 2</v>
      </c>
      <c r="B5" s="65">
        <f>+'L-COSTOS'!$E$6</f>
        <v>5000000</v>
      </c>
      <c r="C5" s="65">
        <f>+'L-COSTOS'!$E$6</f>
        <v>5000000</v>
      </c>
      <c r="D5" s="65">
        <f>+'L-COSTOS'!$E$6</f>
        <v>5000000</v>
      </c>
      <c r="E5" s="65">
        <f>+'L-COSTOS'!$E$6</f>
        <v>5000000</v>
      </c>
      <c r="F5" s="65">
        <f>+'L-COSTOS'!$E$6</f>
        <v>5000000</v>
      </c>
      <c r="G5" s="65">
        <f>+'L-COSTOS'!$E$6</f>
        <v>5000000</v>
      </c>
      <c r="H5" s="65">
        <f>+'L-COSTOS'!$E$6</f>
        <v>5000000</v>
      </c>
      <c r="I5" s="65">
        <f>+'L-COSTOS'!$E$6</f>
        <v>5000000</v>
      </c>
      <c r="J5" s="65">
        <f>+'L-COSTOS'!$E$6</f>
        <v>5000000</v>
      </c>
      <c r="K5" s="65">
        <f>+'L-COSTOS'!$E$6</f>
        <v>5000000</v>
      </c>
      <c r="L5" s="65">
        <f>+'L-COSTOS'!$E$6</f>
        <v>5000000</v>
      </c>
      <c r="M5" s="65">
        <f>+'L-COSTOS'!$E$6</f>
        <v>5000000</v>
      </c>
    </row>
    <row r="6" spans="1:13" ht="15" x14ac:dyDescent="0.2">
      <c r="A6" s="64" t="str">
        <f>+'L-COSTOS'!A7</f>
        <v>Documentador 3</v>
      </c>
      <c r="B6" s="65">
        <f>+'L-COSTOS'!$E$7</f>
        <v>5000000</v>
      </c>
      <c r="C6" s="65">
        <f>+'L-COSTOS'!$E$7</f>
        <v>5000000</v>
      </c>
      <c r="D6" s="65">
        <f>+'L-COSTOS'!$E$7</f>
        <v>5000000</v>
      </c>
      <c r="E6" s="65">
        <f>+'L-COSTOS'!$E$7</f>
        <v>5000000</v>
      </c>
      <c r="F6" s="65">
        <f>+'L-COSTOS'!$E$7</f>
        <v>5000000</v>
      </c>
      <c r="G6" s="65">
        <f>+'L-COSTOS'!$E$7</f>
        <v>5000000</v>
      </c>
      <c r="H6" s="65">
        <f>+'L-COSTOS'!$E$7</f>
        <v>5000000</v>
      </c>
      <c r="I6" s="65">
        <f>+'L-COSTOS'!$E$7</f>
        <v>5000000</v>
      </c>
      <c r="J6" s="65">
        <f>+'L-COSTOS'!$E$7</f>
        <v>5000000</v>
      </c>
      <c r="K6" s="65">
        <f>+'L-COSTOS'!$E$7</f>
        <v>5000000</v>
      </c>
      <c r="L6" s="65">
        <f>+'L-COSTOS'!$E$7</f>
        <v>5000000</v>
      </c>
      <c r="M6" s="65">
        <f>+'L-COSTOS'!$E$7</f>
        <v>5000000</v>
      </c>
    </row>
    <row r="7" spans="1:13" ht="15" x14ac:dyDescent="0.2">
      <c r="A7" s="64" t="str">
        <f>+'L-COSTOS'!A8</f>
        <v>Analista Programador Senior - Fijos 1</v>
      </c>
      <c r="B7" s="65">
        <f>+'L-COSTOS'!$H$8</f>
        <v>7400000</v>
      </c>
      <c r="C7" s="65">
        <f>+'L-COSTOS'!$H$8</f>
        <v>7400000</v>
      </c>
      <c r="D7" s="65">
        <f>+'L-COSTOS'!$H$8</f>
        <v>7400000</v>
      </c>
      <c r="E7" s="65">
        <f>+'L-COSTOS'!$H$8</f>
        <v>7400000</v>
      </c>
      <c r="F7" s="65">
        <f>+'L-COSTOS'!$H$8</f>
        <v>7400000</v>
      </c>
      <c r="G7" s="65">
        <f>+'L-COSTOS'!$H$8</f>
        <v>7400000</v>
      </c>
      <c r="H7" s="65">
        <f>+'L-COSTOS'!$H$8</f>
        <v>7400000</v>
      </c>
      <c r="I7" s="65">
        <f>+'L-COSTOS'!$H$8</f>
        <v>7400000</v>
      </c>
      <c r="J7" s="65">
        <f>+'L-COSTOS'!$H$8</f>
        <v>7400000</v>
      </c>
      <c r="K7" s="65">
        <f>+'L-COSTOS'!$H$8</f>
        <v>7400000</v>
      </c>
      <c r="L7" s="65">
        <f>+'L-COSTOS'!$H$8</f>
        <v>7400000</v>
      </c>
      <c r="M7" s="65">
        <f>+'L-COSTOS'!$H$8</f>
        <v>7400000</v>
      </c>
    </row>
    <row r="8" spans="1:13" ht="15" x14ac:dyDescent="0.2">
      <c r="A8" s="64" t="str">
        <f>+'L-COSTOS'!A9</f>
        <v>Analista Programador Senior - Fijos 2</v>
      </c>
      <c r="B8" s="65">
        <f>+'L-COSTOS'!$H$9</f>
        <v>7400000</v>
      </c>
      <c r="C8" s="65">
        <f>+'L-COSTOS'!$H$9</f>
        <v>7400000</v>
      </c>
      <c r="D8" s="65">
        <f>+'L-COSTOS'!$H$9</f>
        <v>7400000</v>
      </c>
      <c r="E8" s="65">
        <f>+'L-COSTOS'!$H$9</f>
        <v>7400000</v>
      </c>
      <c r="F8" s="65">
        <f>+'L-COSTOS'!$H$9</f>
        <v>7400000</v>
      </c>
      <c r="G8" s="65">
        <f>+'L-COSTOS'!$H$9</f>
        <v>7400000</v>
      </c>
      <c r="H8" s="65">
        <f>+'L-COSTOS'!$H$9</f>
        <v>7400000</v>
      </c>
      <c r="I8" s="65">
        <f>+'L-COSTOS'!$H$9</f>
        <v>7400000</v>
      </c>
      <c r="J8" s="65">
        <f>+'L-COSTOS'!$H$9</f>
        <v>7400000</v>
      </c>
      <c r="K8" s="65">
        <f>+'L-COSTOS'!$H$9</f>
        <v>7400000</v>
      </c>
      <c r="L8" s="65">
        <f>+'L-COSTOS'!$H$9</f>
        <v>7400000</v>
      </c>
      <c r="M8" s="65">
        <f>+'L-COSTOS'!$H$9</f>
        <v>7400000</v>
      </c>
    </row>
    <row r="9" spans="1:13" ht="15" x14ac:dyDescent="0.2">
      <c r="A9" s="64" t="str">
        <f>+'L-COSTOS'!A10</f>
        <v>Analista Programador Senior - Fijos 3</v>
      </c>
      <c r="B9" s="65"/>
      <c r="C9" s="65">
        <f>+'L-COSTOS'!$H$10</f>
        <v>7400000</v>
      </c>
      <c r="D9" s="65">
        <f>+'L-COSTOS'!$H$10</f>
        <v>7400000</v>
      </c>
      <c r="E9" s="65">
        <f>+'L-COSTOS'!$H$10</f>
        <v>7400000</v>
      </c>
      <c r="F9" s="65">
        <f>+'L-COSTOS'!$H$10</f>
        <v>7400000</v>
      </c>
      <c r="G9" s="65">
        <f>+'L-COSTOS'!$H$10</f>
        <v>7400000</v>
      </c>
      <c r="H9" s="65">
        <f>+'L-COSTOS'!$H$10</f>
        <v>7400000</v>
      </c>
      <c r="I9" s="65">
        <f>+'L-COSTOS'!$H$10</f>
        <v>7400000</v>
      </c>
      <c r="J9" s="65">
        <f>+'L-COSTOS'!$H$10</f>
        <v>7400000</v>
      </c>
      <c r="K9" s="65"/>
      <c r="L9" s="65"/>
      <c r="M9" s="65"/>
    </row>
    <row r="10" spans="1:13" ht="15" x14ac:dyDescent="0.2">
      <c r="A10" s="64" t="str">
        <f>+'L-COSTOS'!A11</f>
        <v>Analista Programador Senior - Fijos 4</v>
      </c>
      <c r="B10" s="65"/>
      <c r="C10" s="65">
        <f>+'L-COSTOS'!$H$11</f>
        <v>7400000</v>
      </c>
      <c r="D10" s="65">
        <f>+'L-COSTOS'!$H$11</f>
        <v>7400000</v>
      </c>
      <c r="E10" s="65">
        <f>+'L-COSTOS'!$H$11</f>
        <v>7400000</v>
      </c>
      <c r="F10" s="65">
        <f>+'L-COSTOS'!$H$11</f>
        <v>7400000</v>
      </c>
      <c r="G10" s="65">
        <f>+'L-COSTOS'!$H$11</f>
        <v>7400000</v>
      </c>
      <c r="H10" s="65">
        <f>+'L-COSTOS'!$H$11</f>
        <v>7400000</v>
      </c>
      <c r="I10" s="65">
        <f>+'L-COSTOS'!$H$11</f>
        <v>7400000</v>
      </c>
      <c r="J10" s="65">
        <f>+'L-COSTOS'!$H$11</f>
        <v>7400000</v>
      </c>
      <c r="K10" s="65"/>
      <c r="L10" s="65"/>
      <c r="M10" s="65"/>
    </row>
    <row r="11" spans="1:13" ht="15" x14ac:dyDescent="0.2">
      <c r="A11" s="64" t="str">
        <f>+'L-COSTOS'!A12</f>
        <v>Analista Programador Senior - Temp 1</v>
      </c>
      <c r="B11" s="65"/>
      <c r="C11" s="65">
        <f>+'L-COSTOS'!$H$12</f>
        <v>7400000</v>
      </c>
      <c r="D11" s="65">
        <f>+'L-COSTOS'!$H$12</f>
        <v>7400000</v>
      </c>
      <c r="E11" s="65">
        <f>+'L-COSTOS'!$H$12</f>
        <v>7400000</v>
      </c>
      <c r="F11" s="65">
        <f>+'L-COSTOS'!$H$12</f>
        <v>7400000</v>
      </c>
      <c r="G11" s="65">
        <f>+'L-COSTOS'!$H$12</f>
        <v>7400000</v>
      </c>
      <c r="H11" s="65">
        <f>+'L-COSTOS'!$H$12</f>
        <v>7400000</v>
      </c>
      <c r="I11" s="65">
        <f>+'L-COSTOS'!$H$12</f>
        <v>7400000</v>
      </c>
      <c r="J11" s="65">
        <f>+'L-COSTOS'!$H$12</f>
        <v>7400000</v>
      </c>
      <c r="K11" s="65"/>
      <c r="L11" s="65"/>
      <c r="M11" s="65"/>
    </row>
    <row r="12" spans="1:13" ht="15" x14ac:dyDescent="0.2">
      <c r="A12" s="64" t="str">
        <f>+'L-COSTOS'!A13</f>
        <v>Analista Programador Senior - Temp 2</v>
      </c>
      <c r="B12" s="65"/>
      <c r="C12" s="65">
        <f>+'L-COSTOS'!$H$13</f>
        <v>7400000</v>
      </c>
      <c r="D12" s="65">
        <f>+'L-COSTOS'!$H$13</f>
        <v>7400000</v>
      </c>
      <c r="E12" s="65">
        <f>+'L-COSTOS'!$H$13</f>
        <v>7400000</v>
      </c>
      <c r="F12" s="65">
        <f>+'L-COSTOS'!$H$13</f>
        <v>7400000</v>
      </c>
      <c r="G12" s="65">
        <f>+'L-COSTOS'!$H$13</f>
        <v>7400000</v>
      </c>
      <c r="H12" s="65">
        <f>+'L-COSTOS'!$H$13</f>
        <v>7400000</v>
      </c>
      <c r="I12" s="65">
        <f>+'L-COSTOS'!$H$13</f>
        <v>7400000</v>
      </c>
      <c r="J12" s="65">
        <f>+'L-COSTOS'!$H$13</f>
        <v>7400000</v>
      </c>
      <c r="K12" s="65"/>
      <c r="L12" s="65"/>
      <c r="M12" s="65"/>
    </row>
    <row r="13" spans="1:13" ht="15" x14ac:dyDescent="0.2">
      <c r="A13" s="64" t="str">
        <f>+'L-COSTOS'!A14</f>
        <v>Analista Programador Senior - Temp 3</v>
      </c>
      <c r="B13" s="65"/>
      <c r="C13" s="65">
        <f>+'L-COSTOS'!$H$14</f>
        <v>7400000</v>
      </c>
      <c r="D13" s="65">
        <f>+'L-COSTOS'!$H$14</f>
        <v>7400000</v>
      </c>
      <c r="E13" s="65">
        <f>+'L-COSTOS'!$H$14</f>
        <v>7400000</v>
      </c>
      <c r="F13" s="65">
        <f>+'L-COSTOS'!$H$14</f>
        <v>7400000</v>
      </c>
      <c r="G13" s="65">
        <f>+'L-COSTOS'!$H$14</f>
        <v>7400000</v>
      </c>
      <c r="H13" s="65">
        <f>+'L-COSTOS'!$H$14</f>
        <v>7400000</v>
      </c>
      <c r="I13" s="65">
        <f>+'L-COSTOS'!$H$14</f>
        <v>7400000</v>
      </c>
      <c r="J13" s="65">
        <f>+'L-COSTOS'!$H$14</f>
        <v>7400000</v>
      </c>
      <c r="K13" s="65"/>
      <c r="L13" s="65"/>
      <c r="M13" s="65"/>
    </row>
    <row r="14" spans="1:13" ht="15" x14ac:dyDescent="0.2">
      <c r="A14" s="64" t="str">
        <f>+'L-COSTOS'!A15</f>
        <v>Analista Programador Senior - Temp 4</v>
      </c>
      <c r="B14" s="65"/>
      <c r="C14" s="65">
        <f>+'L-COSTOS'!$H$15</f>
        <v>7400000</v>
      </c>
      <c r="D14" s="65">
        <f>+'L-COSTOS'!$H$15</f>
        <v>7400000</v>
      </c>
      <c r="E14" s="65">
        <f>+'L-COSTOS'!$H$15</f>
        <v>7400000</v>
      </c>
      <c r="F14" s="65">
        <f>+'L-COSTOS'!$H$15</f>
        <v>7400000</v>
      </c>
      <c r="G14" s="65">
        <f>+'L-COSTOS'!$H$15</f>
        <v>7400000</v>
      </c>
      <c r="H14" s="65">
        <f>+'L-COSTOS'!$H$15</f>
        <v>7400000</v>
      </c>
      <c r="I14" s="65">
        <f>+'L-COSTOS'!$H$15</f>
        <v>7400000</v>
      </c>
      <c r="J14" s="65">
        <f>+'L-COSTOS'!$H$15</f>
        <v>7400000</v>
      </c>
      <c r="K14" s="65"/>
      <c r="L14" s="65"/>
      <c r="M14" s="65"/>
    </row>
    <row r="15" spans="1:13" ht="15" x14ac:dyDescent="0.2">
      <c r="A15" s="64" t="str">
        <f>+'L-COSTOS'!A16</f>
        <v>Analista Programador Senior - Temp 5</v>
      </c>
      <c r="B15" s="65"/>
      <c r="C15" s="65">
        <f>+'L-COSTOS'!$H$16</f>
        <v>7400000</v>
      </c>
      <c r="D15" s="65">
        <f>+'L-COSTOS'!$H$16</f>
        <v>7400000</v>
      </c>
      <c r="E15" s="65">
        <f>+'L-COSTOS'!$H$16</f>
        <v>7400000</v>
      </c>
      <c r="F15" s="65">
        <f>+'L-COSTOS'!$H$16</f>
        <v>7400000</v>
      </c>
      <c r="G15" s="65">
        <f>+'L-COSTOS'!$H$16</f>
        <v>7400000</v>
      </c>
      <c r="H15" s="65">
        <f>+'L-COSTOS'!$H$16</f>
        <v>7400000</v>
      </c>
      <c r="I15" s="65">
        <f>+'L-COSTOS'!$H$16</f>
        <v>7400000</v>
      </c>
      <c r="J15" s="65">
        <f>+'L-COSTOS'!$H$16</f>
        <v>7400000</v>
      </c>
      <c r="K15" s="65"/>
      <c r="L15" s="65"/>
      <c r="M15" s="65"/>
    </row>
    <row r="16" spans="1:13" ht="15" x14ac:dyDescent="0.2">
      <c r="A16" s="64" t="str">
        <f>+'L-COSTOS'!A17</f>
        <v>Analista Programador Senior - Eventuales 1</v>
      </c>
      <c r="B16" s="65"/>
      <c r="C16" s="65">
        <f>+'L-COSTOS'!$H$17</f>
        <v>7400000</v>
      </c>
      <c r="D16" s="65">
        <f>+'L-COSTOS'!$H$17</f>
        <v>7400000</v>
      </c>
      <c r="E16" s="65">
        <f>+'L-COSTOS'!$H$17</f>
        <v>7400000</v>
      </c>
      <c r="F16" s="65">
        <f>+'L-COSTOS'!$H$17</f>
        <v>7400000</v>
      </c>
      <c r="G16" s="65">
        <f>+'L-COSTOS'!$H$17</f>
        <v>7400000</v>
      </c>
      <c r="H16" s="65">
        <f>+'L-COSTOS'!$H$17</f>
        <v>7400000</v>
      </c>
      <c r="I16" s="65">
        <f>+'L-COSTOS'!$H$17</f>
        <v>7400000</v>
      </c>
      <c r="J16" s="65">
        <f>+'L-COSTOS'!$H$17</f>
        <v>7400000</v>
      </c>
      <c r="K16" s="65"/>
      <c r="L16" s="65"/>
      <c r="M16" s="65"/>
    </row>
    <row r="17" spans="1:13" ht="15" x14ac:dyDescent="0.2">
      <c r="A17" s="64" t="str">
        <f>+'L-COSTOS'!A18</f>
        <v>Analista Programador Senior - Eventuales 2</v>
      </c>
      <c r="B17" s="65"/>
      <c r="C17" s="65">
        <f>+'L-COSTOS'!$H$18</f>
        <v>7400000</v>
      </c>
      <c r="D17" s="65">
        <f>+'L-COSTOS'!$H$18</f>
        <v>7400000</v>
      </c>
      <c r="E17" s="65">
        <f>+'L-COSTOS'!$H$18</f>
        <v>7400000</v>
      </c>
      <c r="F17" s="65">
        <f>+'L-COSTOS'!$H$18</f>
        <v>7400000</v>
      </c>
      <c r="G17" s="65">
        <f>+'L-COSTOS'!$H$18</f>
        <v>7400000</v>
      </c>
      <c r="H17" s="65">
        <f>+'L-COSTOS'!$H$18</f>
        <v>7400000</v>
      </c>
      <c r="I17" s="65">
        <f>+'L-COSTOS'!$H$18</f>
        <v>7400000</v>
      </c>
      <c r="J17" s="65">
        <f>+'L-COSTOS'!$H$18</f>
        <v>7400000</v>
      </c>
      <c r="K17" s="65"/>
      <c r="L17" s="65"/>
      <c r="M17" s="65"/>
    </row>
    <row r="18" spans="1:13" ht="15" x14ac:dyDescent="0.2">
      <c r="A18" s="64" t="str">
        <f>+'L-COSTOS'!A19</f>
        <v>Analista Programador Senior - Eventuales 3</v>
      </c>
      <c r="B18" s="65"/>
      <c r="C18" s="65">
        <f>+'L-COSTOS'!$H$19</f>
        <v>7400000</v>
      </c>
      <c r="D18" s="65">
        <f>+'L-COSTOS'!$H$19</f>
        <v>7400000</v>
      </c>
      <c r="E18" s="65">
        <f>+'L-COSTOS'!$H$19</f>
        <v>7400000</v>
      </c>
      <c r="F18" s="65">
        <f>+'L-COSTOS'!$H$19</f>
        <v>7400000</v>
      </c>
      <c r="G18" s="65">
        <f>+'L-COSTOS'!$H$19</f>
        <v>7400000</v>
      </c>
      <c r="H18" s="65">
        <f>+'L-COSTOS'!$H$19</f>
        <v>7400000</v>
      </c>
      <c r="I18" s="65">
        <f>+'L-COSTOS'!$H$19</f>
        <v>7400000</v>
      </c>
      <c r="J18" s="65">
        <f>+'L-COSTOS'!$H$19</f>
        <v>7400000</v>
      </c>
      <c r="K18" s="65"/>
      <c r="L18" s="65"/>
      <c r="M18" s="65"/>
    </row>
    <row r="19" spans="1:13" ht="15" x14ac:dyDescent="0.2">
      <c r="A19" s="64" t="str">
        <f>+'L-COSTOS'!A20</f>
        <v>Analista Programador ARGIS (SIG)</v>
      </c>
      <c r="B19" s="65">
        <f>+'L-COSTOS'!$H$20</f>
        <v>10000000</v>
      </c>
      <c r="C19" s="65">
        <f>+'L-COSTOS'!$E$20</f>
        <v>10000000</v>
      </c>
      <c r="D19" s="65">
        <f>+'L-COSTOS'!$E$20</f>
        <v>10000000</v>
      </c>
      <c r="E19" s="65">
        <f>+'L-COSTOS'!$E$20</f>
        <v>10000000</v>
      </c>
      <c r="F19" s="65">
        <f>+'L-COSTOS'!$E$20</f>
        <v>10000000</v>
      </c>
      <c r="G19" s="65">
        <f>+'L-COSTOS'!$E$20</f>
        <v>10000000</v>
      </c>
      <c r="H19" s="65">
        <f>+'L-COSTOS'!$E$20</f>
        <v>10000000</v>
      </c>
      <c r="I19" s="65">
        <f>+'L-COSTOS'!$E$20</f>
        <v>10000000</v>
      </c>
      <c r="J19" s="65">
        <f>+'L-COSTOS'!$E$20</f>
        <v>10000000</v>
      </c>
      <c r="K19" s="65">
        <f>+'L-COSTOS'!$E$20</f>
        <v>10000000</v>
      </c>
      <c r="L19" s="65">
        <f>+'L-COSTOS'!$E$20</f>
        <v>10000000</v>
      </c>
      <c r="M19" s="65">
        <f>+'L-COSTOS'!$E$20</f>
        <v>10000000</v>
      </c>
    </row>
    <row r="20" spans="1:13" ht="15" x14ac:dyDescent="0.2">
      <c r="A20" s="64" t="str">
        <f>+'L-COSTOS'!A21</f>
        <v>Proyect Manager</v>
      </c>
      <c r="B20" s="65">
        <f>+'L-COSTOS'!H21</f>
        <v>12000000</v>
      </c>
      <c r="C20" s="65">
        <f>+'L-COSTOS'!$E$21</f>
        <v>12000000</v>
      </c>
      <c r="D20" s="65">
        <f>+'L-COSTOS'!$E$21</f>
        <v>12000000</v>
      </c>
      <c r="E20" s="65">
        <f>+'L-COSTOS'!$E$21</f>
        <v>12000000</v>
      </c>
      <c r="F20" s="65">
        <f>+'L-COSTOS'!$E$21</f>
        <v>12000000</v>
      </c>
      <c r="G20" s="65">
        <f>+'L-COSTOS'!$E$21</f>
        <v>12000000</v>
      </c>
      <c r="H20" s="65">
        <f>+'L-COSTOS'!$E$21</f>
        <v>12000000</v>
      </c>
      <c r="I20" s="65">
        <f>+'L-COSTOS'!$E$21</f>
        <v>12000000</v>
      </c>
      <c r="J20" s="65"/>
      <c r="K20" s="65"/>
      <c r="L20" s="65"/>
      <c r="M20" s="65"/>
    </row>
    <row r="21" spans="1:13" ht="15" x14ac:dyDescent="0.2">
      <c r="A21" s="64" t="str">
        <f>+'L-COSTOS'!A22</f>
        <v>Community Manager</v>
      </c>
      <c r="B21" s="65"/>
      <c r="C21" s="65"/>
      <c r="D21" s="65"/>
      <c r="E21" s="65"/>
      <c r="F21" s="65">
        <f>+'L-COSTOS'!$E$22</f>
        <v>3000000</v>
      </c>
      <c r="G21" s="65">
        <f>+'L-COSTOS'!$E$22</f>
        <v>3000000</v>
      </c>
      <c r="H21" s="65">
        <f>+'L-COSTOS'!$E$22</f>
        <v>3000000</v>
      </c>
      <c r="I21" s="65">
        <f>+'L-COSTOS'!$E$22</f>
        <v>3000000</v>
      </c>
      <c r="J21" s="65">
        <f>+'L-COSTOS'!$E$22</f>
        <v>3000000</v>
      </c>
      <c r="K21" s="65">
        <f>+'L-COSTOS'!$E$22</f>
        <v>3000000</v>
      </c>
      <c r="L21" s="65">
        <f>+'L-COSTOS'!$E$22</f>
        <v>3000000</v>
      </c>
      <c r="M21" s="65">
        <f>+'L-COSTOS'!$E$22</f>
        <v>3000000</v>
      </c>
    </row>
    <row r="22" spans="1:13" ht="15" x14ac:dyDescent="0.2">
      <c r="A22" s="64" t="str">
        <f>+'L-COSTOS'!A23</f>
        <v>Contador</v>
      </c>
      <c r="B22" s="65">
        <f>+'L-COSTOS'!H23</f>
        <v>3500000</v>
      </c>
      <c r="C22" s="65">
        <f>+'L-COSTOS'!$E$23</f>
        <v>3500000</v>
      </c>
      <c r="D22" s="65">
        <f>+'L-COSTOS'!$E$23</f>
        <v>3500000</v>
      </c>
      <c r="E22" s="65">
        <f>+'L-COSTOS'!$E$23</f>
        <v>3500000</v>
      </c>
      <c r="F22" s="65">
        <f>+'L-COSTOS'!$E$23</f>
        <v>3500000</v>
      </c>
      <c r="G22" s="65">
        <f>+'L-COSTOS'!$E$23</f>
        <v>3500000</v>
      </c>
      <c r="H22" s="65">
        <f>+'L-COSTOS'!$E$23</f>
        <v>3500000</v>
      </c>
      <c r="I22" s="65">
        <f>+'L-COSTOS'!$E$23</f>
        <v>3500000</v>
      </c>
      <c r="J22" s="65">
        <f>+'L-COSTOS'!$E$23</f>
        <v>3500000</v>
      </c>
      <c r="K22" s="65">
        <f>+'L-COSTOS'!$E$23</f>
        <v>3500000</v>
      </c>
      <c r="L22" s="65">
        <f>+'L-COSTOS'!$E$23</f>
        <v>3500000</v>
      </c>
      <c r="M22" s="65">
        <f>+'L-COSTOS'!$E$23</f>
        <v>3500000</v>
      </c>
    </row>
    <row r="23" spans="1:13" ht="15" x14ac:dyDescent="0.2">
      <c r="A23" s="64" t="str">
        <f>+'L-COSTOS'!A24</f>
        <v>Analista Administrativo</v>
      </c>
      <c r="B23" s="65">
        <f>+'L-COSTOS'!$E$24</f>
        <v>2500000</v>
      </c>
      <c r="C23" s="65">
        <f>+'L-COSTOS'!$E$24</f>
        <v>2500000</v>
      </c>
      <c r="D23" s="65">
        <f>+'L-COSTOS'!$E$24</f>
        <v>2500000</v>
      </c>
      <c r="E23" s="65">
        <f>+'L-COSTOS'!$E$24</f>
        <v>2500000</v>
      </c>
      <c r="F23" s="65">
        <f>+'L-COSTOS'!$E$24</f>
        <v>2500000</v>
      </c>
      <c r="G23" s="65">
        <f>+'L-COSTOS'!$E$24</f>
        <v>2500000</v>
      </c>
      <c r="H23" s="65">
        <f>+'L-COSTOS'!$E$24</f>
        <v>2500000</v>
      </c>
      <c r="I23" s="65">
        <f>+'L-COSTOS'!$E$24</f>
        <v>2500000</v>
      </c>
      <c r="J23" s="65">
        <f>+'L-COSTOS'!$E$24</f>
        <v>2500000</v>
      </c>
      <c r="K23" s="65">
        <f>+'L-COSTOS'!$E$24</f>
        <v>2500000</v>
      </c>
      <c r="L23" s="65">
        <f>+'L-COSTOS'!$E$24</f>
        <v>2500000</v>
      </c>
      <c r="M23" s="65">
        <f>+'L-COSTOS'!$E$24</f>
        <v>2500000</v>
      </c>
    </row>
    <row r="24" spans="1:13" ht="15" x14ac:dyDescent="0.2">
      <c r="A24" s="64" t="str">
        <f>+'L-COSTOS'!A25</f>
        <v>Ingeniero de redes</v>
      </c>
      <c r="B24" s="65">
        <f>+'L-COSTOS'!$E$25</f>
        <v>4800000</v>
      </c>
      <c r="C24" s="65">
        <f>+'L-COSTOS'!$E$25</f>
        <v>4800000</v>
      </c>
      <c r="D24" s="65">
        <f>+'L-COSTOS'!$E$25</f>
        <v>4800000</v>
      </c>
      <c r="E24" s="65">
        <f>+'L-COSTOS'!$E$25</f>
        <v>4800000</v>
      </c>
      <c r="F24" s="65">
        <f>+'L-COSTOS'!$E$25</f>
        <v>4800000</v>
      </c>
      <c r="G24" s="65">
        <f>+'L-COSTOS'!$E$25</f>
        <v>4800000</v>
      </c>
      <c r="H24" s="65">
        <f>+'L-COSTOS'!$E$25</f>
        <v>4800000</v>
      </c>
      <c r="I24" s="65">
        <f>+'L-COSTOS'!$E$25</f>
        <v>4800000</v>
      </c>
      <c r="J24" s="65">
        <f>+'L-COSTOS'!$E$25</f>
        <v>4800000</v>
      </c>
      <c r="K24" s="65">
        <f>+'L-COSTOS'!$E$25</f>
        <v>4800000</v>
      </c>
      <c r="L24" s="65">
        <f>+'L-COSTOS'!$E$25</f>
        <v>4800000</v>
      </c>
      <c r="M24" s="65">
        <f>+'L-COSTOS'!$E$25</f>
        <v>4800000</v>
      </c>
    </row>
    <row r="25" spans="1:13" ht="15" x14ac:dyDescent="0.2">
      <c r="A25" s="64" t="str">
        <f>+'L-COSTOS'!A26</f>
        <v>Luis Alfredo Ramos</v>
      </c>
      <c r="B25" s="65">
        <f>+'L-COSTOS'!$E$26</f>
        <v>8500000</v>
      </c>
      <c r="C25" s="65">
        <f>+'L-COSTOS'!$E$26</f>
        <v>8500000</v>
      </c>
      <c r="D25" s="65">
        <f>+'L-COSTOS'!$E$26</f>
        <v>8500000</v>
      </c>
      <c r="E25" s="65">
        <f>+'L-COSTOS'!$E$26</f>
        <v>8500000</v>
      </c>
      <c r="F25" s="65">
        <f>+'L-COSTOS'!$E$26</f>
        <v>8500000</v>
      </c>
      <c r="G25" s="65">
        <f>+'L-COSTOS'!$E$26</f>
        <v>8500000</v>
      </c>
      <c r="H25" s="65">
        <f>+'L-COSTOS'!$E$26</f>
        <v>8500000</v>
      </c>
      <c r="I25" s="65">
        <f>+'L-COSTOS'!$E$26</f>
        <v>8500000</v>
      </c>
      <c r="J25" s="65">
        <f>+'L-COSTOS'!$E$26</f>
        <v>8500000</v>
      </c>
      <c r="K25" s="65">
        <f>+'L-COSTOS'!$E$26</f>
        <v>8500000</v>
      </c>
      <c r="L25" s="65">
        <f>+'L-COSTOS'!$E$26</f>
        <v>8500000</v>
      </c>
      <c r="M25" s="65">
        <f>+'L-COSTOS'!$E$26</f>
        <v>8500000</v>
      </c>
    </row>
    <row r="26" spans="1:13" ht="15" x14ac:dyDescent="0.2">
      <c r="A26" s="64" t="str">
        <f>+'L-COSTOS'!A27</f>
        <v>Lobsang Flechas</v>
      </c>
      <c r="B26" s="65">
        <f>+'L-COSTOS'!$E$27</f>
        <v>4800000</v>
      </c>
      <c r="C26" s="65">
        <f>+'L-COSTOS'!$E$27</f>
        <v>4800000</v>
      </c>
      <c r="D26" s="65">
        <f>+'L-COSTOS'!$E$27</f>
        <v>4800000</v>
      </c>
      <c r="E26" s="65">
        <f>+'L-COSTOS'!$E$27</f>
        <v>4800000</v>
      </c>
      <c r="F26" s="65">
        <f>+'L-COSTOS'!$E$27</f>
        <v>4800000</v>
      </c>
      <c r="G26" s="65">
        <f>+'L-COSTOS'!$E$27</f>
        <v>4800000</v>
      </c>
      <c r="H26" s="65">
        <f>+'L-COSTOS'!$E$27</f>
        <v>4800000</v>
      </c>
      <c r="I26" s="65">
        <f>+'L-COSTOS'!$E$27</f>
        <v>4800000</v>
      </c>
      <c r="J26" s="65">
        <f>+'L-COSTOS'!$E$27</f>
        <v>4800000</v>
      </c>
      <c r="K26" s="65">
        <f>+'L-COSTOS'!$E$27</f>
        <v>4800000</v>
      </c>
      <c r="L26" s="65">
        <f>+'L-COSTOS'!$E$27</f>
        <v>4800000</v>
      </c>
      <c r="M26" s="65">
        <f>+'L-COSTOS'!$E$27</f>
        <v>4800000</v>
      </c>
    </row>
    <row r="27" spans="1:13" ht="15" x14ac:dyDescent="0.2">
      <c r="A27" s="64" t="str">
        <f>+'L-COSTOS'!A28</f>
        <v>Jordi Vives</v>
      </c>
      <c r="B27" s="65">
        <f>+'L-COSTOS'!$E$28</f>
        <v>9600000</v>
      </c>
      <c r="C27" s="65">
        <f>+'L-COSTOS'!$E$28</f>
        <v>9600000</v>
      </c>
      <c r="D27" s="65">
        <f>+'L-COSTOS'!$E$28</f>
        <v>9600000</v>
      </c>
      <c r="E27" s="65">
        <f>+'L-COSTOS'!$E$28</f>
        <v>9600000</v>
      </c>
      <c r="F27" s="65">
        <f>+'L-COSTOS'!$E$28</f>
        <v>9600000</v>
      </c>
      <c r="G27" s="65">
        <f>+'L-COSTOS'!$E$28</f>
        <v>9600000</v>
      </c>
      <c r="H27" s="65">
        <f>+'L-COSTOS'!$E$28</f>
        <v>9600000</v>
      </c>
      <c r="I27" s="65">
        <f>+'L-COSTOS'!$E$28</f>
        <v>9600000</v>
      </c>
      <c r="J27" s="65">
        <f>+'L-COSTOS'!$E$28</f>
        <v>9600000</v>
      </c>
      <c r="K27" s="65">
        <f>+'L-COSTOS'!$E$28</f>
        <v>9600000</v>
      </c>
      <c r="L27" s="65">
        <f>+'L-COSTOS'!$E$28</f>
        <v>9600000</v>
      </c>
      <c r="M27" s="65">
        <f>+'L-COSTOS'!$E$28</f>
        <v>9600000</v>
      </c>
    </row>
    <row r="28" spans="1:13" ht="15" x14ac:dyDescent="0.2">
      <c r="A28" s="64" t="str">
        <f>+'L-COSTOS'!A29</f>
        <v>Juan Sebastian Panesso</v>
      </c>
      <c r="B28" s="65">
        <f>+'L-COSTOS'!$E$29</f>
        <v>3000000</v>
      </c>
      <c r="C28" s="65">
        <f>+'L-COSTOS'!$E$29</f>
        <v>3000000</v>
      </c>
      <c r="D28" s="65">
        <f>+'L-COSTOS'!$E$29</f>
        <v>3000000</v>
      </c>
      <c r="E28" s="65">
        <f>+'L-COSTOS'!$E$29</f>
        <v>3000000</v>
      </c>
      <c r="F28" s="65">
        <f>+'L-COSTOS'!$E$29</f>
        <v>3000000</v>
      </c>
      <c r="G28" s="65">
        <f>+'L-COSTOS'!$E$29</f>
        <v>3000000</v>
      </c>
      <c r="H28" s="65">
        <f>+'L-COSTOS'!$E$29</f>
        <v>3000000</v>
      </c>
      <c r="I28" s="65">
        <f>+'L-COSTOS'!$E$29</f>
        <v>3000000</v>
      </c>
      <c r="J28" s="65">
        <f>+'L-COSTOS'!$E$29</f>
        <v>3000000</v>
      </c>
      <c r="K28" s="65">
        <f>+'L-COSTOS'!$E$29</f>
        <v>3000000</v>
      </c>
      <c r="L28" s="65">
        <f>+'L-COSTOS'!$E$29</f>
        <v>3000000</v>
      </c>
      <c r="M28" s="65">
        <f>+'L-COSTOS'!$E$29</f>
        <v>3000000</v>
      </c>
    </row>
    <row r="29" spans="1:13" ht="15" x14ac:dyDescent="0.2">
      <c r="A29" s="64" t="str">
        <f>+'L-COSTOS'!A31</f>
        <v>Daniel Casalprim - CONSULTOR LADM-COL</v>
      </c>
      <c r="B29" s="65">
        <f>+'L-COSTOS'!$E$31</f>
        <v>10000000</v>
      </c>
      <c r="C29" s="65">
        <f>+'L-COSTOS'!$E$31</f>
        <v>10000000</v>
      </c>
      <c r="D29" s="65">
        <f>+'L-COSTOS'!$E$31</f>
        <v>10000000</v>
      </c>
      <c r="E29" s="65">
        <f>+'L-COSTOS'!$E$31</f>
        <v>10000000</v>
      </c>
      <c r="F29" s="65">
        <f>+'L-COSTOS'!$E$31</f>
        <v>10000000</v>
      </c>
      <c r="G29" s="65">
        <f>+'L-COSTOS'!$E$31</f>
        <v>10000000</v>
      </c>
      <c r="H29" s="65">
        <f>+'L-COSTOS'!$E$31</f>
        <v>10000000</v>
      </c>
      <c r="I29" s="65">
        <f>+'L-COSTOS'!$E$31</f>
        <v>10000000</v>
      </c>
      <c r="J29" s="65">
        <f>+'L-COSTOS'!$E$31</f>
        <v>10000000</v>
      </c>
      <c r="K29" s="65">
        <f>+'L-COSTOS'!$E$31</f>
        <v>10000000</v>
      </c>
      <c r="L29" s="65">
        <f>+'L-COSTOS'!$E$31</f>
        <v>10000000</v>
      </c>
      <c r="M29" s="65">
        <f>+'L-COSTOS'!$E$31</f>
        <v>10000000</v>
      </c>
    </row>
    <row r="30" spans="1:13" ht="15" x14ac:dyDescent="0.2">
      <c r="A30" s="64" t="str">
        <f>+'L-COSTOS'!A32</f>
        <v>Programador SENIOR (Gohan)</v>
      </c>
      <c r="B30" s="65">
        <f>+'L-COSTOS'!$E$32</f>
        <v>4185000</v>
      </c>
      <c r="C30" s="65">
        <f>+'L-COSTOS'!$E$32</f>
        <v>4185000</v>
      </c>
      <c r="D30" s="65">
        <f>+'L-COSTOS'!$E$32</f>
        <v>4185000</v>
      </c>
      <c r="E30" s="65">
        <f>+'L-COSTOS'!$E$32</f>
        <v>4185000</v>
      </c>
      <c r="F30" s="65">
        <f>+'L-COSTOS'!$E$32</f>
        <v>4185000</v>
      </c>
      <c r="G30" s="65">
        <f>+'L-COSTOS'!$E$32</f>
        <v>4185000</v>
      </c>
      <c r="H30" s="65">
        <f>+'L-COSTOS'!$E$32</f>
        <v>4185000</v>
      </c>
      <c r="I30" s="65">
        <f>+'L-COSTOS'!$E$32</f>
        <v>4185000</v>
      </c>
      <c r="J30" s="65">
        <f>+'L-COSTOS'!$E$32</f>
        <v>4185000</v>
      </c>
      <c r="K30" s="65">
        <f>+'L-COSTOS'!$E$32</f>
        <v>4185000</v>
      </c>
      <c r="L30" s="65">
        <f>+'L-COSTOS'!$E$32</f>
        <v>4185000</v>
      </c>
      <c r="M30" s="65">
        <f>+'L-COSTOS'!$E$32</f>
        <v>4185000</v>
      </c>
    </row>
    <row r="31" spans="1:13" ht="15" x14ac:dyDescent="0.2">
      <c r="A31" s="64" t="str">
        <f>+'L-COSTOS'!A33</f>
        <v xml:space="preserve">Progamador JUNIOR (Ronny) </v>
      </c>
      <c r="B31" s="65">
        <f>+'L-COSTOS'!$E$33</f>
        <v>3000000</v>
      </c>
      <c r="C31" s="65">
        <f>+'L-COSTOS'!$E$33</f>
        <v>3000000</v>
      </c>
      <c r="D31" s="65">
        <f>+'L-COSTOS'!$E$33</f>
        <v>3000000</v>
      </c>
      <c r="E31" s="65">
        <f>+'L-COSTOS'!$E$33</f>
        <v>3000000</v>
      </c>
      <c r="F31" s="65">
        <f>+'L-COSTOS'!$E$33</f>
        <v>3000000</v>
      </c>
      <c r="G31" s="65">
        <f>+'L-COSTOS'!$E$33</f>
        <v>3000000</v>
      </c>
      <c r="H31" s="65">
        <f>+'L-COSTOS'!$E$33</f>
        <v>3000000</v>
      </c>
      <c r="I31" s="65">
        <f>+'L-COSTOS'!$E$33</f>
        <v>3000000</v>
      </c>
      <c r="J31" s="65">
        <f>+'L-COSTOS'!$E$33</f>
        <v>3000000</v>
      </c>
      <c r="K31" s="65">
        <f>+'L-COSTOS'!$E$33</f>
        <v>3000000</v>
      </c>
      <c r="L31" s="65">
        <f>+'L-COSTOS'!$E$33</f>
        <v>3000000</v>
      </c>
      <c r="M31" s="65">
        <f>+'L-COSTOS'!$E$33</f>
        <v>3000000</v>
      </c>
    </row>
    <row r="32" spans="1:13" ht="15" x14ac:dyDescent="0.2">
      <c r="A32" s="64" t="str">
        <f>+'L-COSTOS'!A34</f>
        <v>Elkin (Iliana)</v>
      </c>
      <c r="B32" s="65">
        <f>+'L-COSTOS'!$E$34</f>
        <v>4000000</v>
      </c>
      <c r="C32" s="65">
        <f>+'L-COSTOS'!$E$34</f>
        <v>4000000</v>
      </c>
      <c r="D32" s="65">
        <f>+'L-COSTOS'!$E$34</f>
        <v>4000000</v>
      </c>
      <c r="E32" s="65">
        <f>+'L-COSTOS'!$E$34</f>
        <v>4000000</v>
      </c>
      <c r="F32" s="65">
        <f>+'L-COSTOS'!$E$34</f>
        <v>4000000</v>
      </c>
      <c r="G32" s="65">
        <f>+'L-COSTOS'!$E$34</f>
        <v>4000000</v>
      </c>
      <c r="H32" s="65"/>
      <c r="I32" s="65"/>
      <c r="J32" s="65"/>
      <c r="K32" s="65"/>
      <c r="L32" s="65"/>
      <c r="M32" s="65"/>
    </row>
    <row r="33" spans="1:13" ht="15" x14ac:dyDescent="0.2">
      <c r="A33" s="64" t="str">
        <f>+'L-COSTOS'!A35</f>
        <v>Sofía (Iliana)</v>
      </c>
      <c r="B33" s="65">
        <f>+'L-COSTOS'!$E$35</f>
        <v>4000000</v>
      </c>
      <c r="C33" s="65">
        <f>+'L-COSTOS'!$E$35</f>
        <v>4000000</v>
      </c>
      <c r="D33" s="65">
        <f>+'L-COSTOS'!$E$35</f>
        <v>4000000</v>
      </c>
      <c r="E33" s="65">
        <f>+'L-COSTOS'!$E$35</f>
        <v>4000000</v>
      </c>
      <c r="F33" s="65">
        <f>+'L-COSTOS'!$E$35</f>
        <v>4000000</v>
      </c>
      <c r="G33" s="65">
        <f>+'L-COSTOS'!$E$35</f>
        <v>4000000</v>
      </c>
      <c r="H33" s="65"/>
      <c r="I33" s="65"/>
      <c r="J33" s="65"/>
      <c r="K33" s="65"/>
      <c r="L33" s="65"/>
      <c r="M33" s="65"/>
    </row>
    <row r="34" spans="1:13" ht="15" x14ac:dyDescent="0.2">
      <c r="A34" s="64" t="str">
        <f>+'L-COSTOS'!A36</f>
        <v>PM - OMI &amp; PMP (Iliana)</v>
      </c>
      <c r="B34" s="65">
        <f>+'L-COSTOS'!$E$36</f>
        <v>4000000</v>
      </c>
      <c r="C34" s="65">
        <f>+'L-COSTOS'!$E$36</f>
        <v>4000000</v>
      </c>
      <c r="D34" s="65">
        <f>+'L-COSTOS'!$E$36</f>
        <v>4000000</v>
      </c>
      <c r="E34" s="65">
        <f>+'L-COSTOS'!$E$36</f>
        <v>4000000</v>
      </c>
      <c r="F34" s="65">
        <f>+'L-COSTOS'!$E$36</f>
        <v>4000000</v>
      </c>
      <c r="G34" s="65">
        <f>+'L-COSTOS'!$E$36</f>
        <v>4000000</v>
      </c>
      <c r="H34" s="65"/>
      <c r="I34" s="65"/>
      <c r="J34" s="65"/>
      <c r="K34" s="65"/>
      <c r="L34" s="65"/>
      <c r="M34" s="65"/>
    </row>
    <row r="35" spans="1:13" ht="15" x14ac:dyDescent="0.2">
      <c r="A35" s="64" t="str">
        <f>+'L-COSTOS'!A37</f>
        <v>Consultores SAP (Hernando) 1</v>
      </c>
      <c r="B35" s="65">
        <f>+'L-COSTOS'!$E$37</f>
        <v>5555555.555555555</v>
      </c>
      <c r="C35" s="65">
        <f>+'L-COSTOS'!$E$37</f>
        <v>5555555.555555555</v>
      </c>
      <c r="D35" s="65">
        <f>+'L-COSTOS'!$E$37</f>
        <v>5555555.555555555</v>
      </c>
      <c r="E35" s="65">
        <f>+'L-COSTOS'!$E$37</f>
        <v>5555555.555555555</v>
      </c>
      <c r="F35" s="65">
        <f>+'L-COSTOS'!$E$37</f>
        <v>5555555.555555555</v>
      </c>
      <c r="G35" s="65">
        <f>+'L-COSTOS'!$E$37</f>
        <v>5555555.555555555</v>
      </c>
      <c r="H35" s="65"/>
      <c r="I35" s="65"/>
      <c r="J35" s="65"/>
      <c r="K35" s="65"/>
      <c r="L35" s="65"/>
      <c r="M35" s="65"/>
    </row>
    <row r="36" spans="1:13" ht="15" x14ac:dyDescent="0.2">
      <c r="A36" s="64" t="str">
        <f>+'L-COSTOS'!A38</f>
        <v>Consultores SAP (Hernando) 2</v>
      </c>
      <c r="B36" s="65">
        <f>+'L-COSTOS'!$E$38</f>
        <v>5555555.555555555</v>
      </c>
      <c r="C36" s="65">
        <f>+'L-COSTOS'!$E$38</f>
        <v>5555555.555555555</v>
      </c>
      <c r="D36" s="65">
        <f>+'L-COSTOS'!$E$38</f>
        <v>5555555.555555555</v>
      </c>
      <c r="E36" s="65">
        <f>+'L-COSTOS'!$E$38</f>
        <v>5555555.555555555</v>
      </c>
      <c r="F36" s="65">
        <f>+'L-COSTOS'!$E$38</f>
        <v>5555555.555555555</v>
      </c>
      <c r="G36" s="65">
        <f>+'L-COSTOS'!$E$38</f>
        <v>5555555.555555555</v>
      </c>
      <c r="H36" s="65"/>
      <c r="I36" s="65"/>
      <c r="J36" s="65"/>
      <c r="K36" s="65"/>
      <c r="L36" s="65"/>
      <c r="M36" s="65"/>
    </row>
    <row r="37" spans="1:13" ht="15" x14ac:dyDescent="0.2">
      <c r="A37" s="64" t="str">
        <f>+'L-COSTOS'!A39</f>
        <v>Consultores SAP (Hernando) 3</v>
      </c>
      <c r="B37" s="65">
        <f>+'L-COSTOS'!$E$39</f>
        <v>5555555.555555555</v>
      </c>
      <c r="C37" s="65">
        <f>+'L-COSTOS'!$E$39</f>
        <v>5555555.555555555</v>
      </c>
      <c r="D37" s="65">
        <f>+'L-COSTOS'!$E$39</f>
        <v>5555555.555555555</v>
      </c>
      <c r="E37" s="65">
        <f>+'L-COSTOS'!$E$39</f>
        <v>5555555.555555555</v>
      </c>
      <c r="F37" s="65">
        <f>+'L-COSTOS'!$E$39</f>
        <v>5555555.555555555</v>
      </c>
      <c r="G37" s="65">
        <f>+'L-COSTOS'!$E$39</f>
        <v>5555555.555555555</v>
      </c>
      <c r="H37" s="65"/>
      <c r="I37" s="65"/>
      <c r="J37" s="65"/>
      <c r="K37" s="65"/>
      <c r="L37" s="65"/>
      <c r="M37" s="65"/>
    </row>
    <row r="38" spans="1:13" ht="18" x14ac:dyDescent="0.2">
      <c r="A38" s="66" t="s">
        <v>150</v>
      </c>
      <c r="B38" s="67">
        <f t="shared" ref="B38:L38" si="0">SUM(B2:B37)</f>
        <v>142351666.66666666</v>
      </c>
      <c r="C38" s="67">
        <f t="shared" si="0"/>
        <v>219851666.66666666</v>
      </c>
      <c r="D38" s="67">
        <f t="shared" si="0"/>
        <v>219851666.66666666</v>
      </c>
      <c r="E38" s="67">
        <f t="shared" si="0"/>
        <v>219851666.66666666</v>
      </c>
      <c r="F38" s="67">
        <f t="shared" si="0"/>
        <v>222851666.66666666</v>
      </c>
      <c r="G38" s="67">
        <f t="shared" si="0"/>
        <v>222851666.66666666</v>
      </c>
      <c r="H38" s="67">
        <f t="shared" si="0"/>
        <v>194185000</v>
      </c>
      <c r="I38" s="67">
        <f t="shared" si="0"/>
        <v>190685000</v>
      </c>
      <c r="J38" s="67">
        <f t="shared" si="0"/>
        <v>178685000</v>
      </c>
      <c r="K38" s="67">
        <f t="shared" si="0"/>
        <v>104685000</v>
      </c>
      <c r="L38" s="67">
        <f t="shared" si="0"/>
        <v>104685000</v>
      </c>
      <c r="M38" s="67">
        <f>SUM(M2:M37)</f>
        <v>104685000</v>
      </c>
    </row>
    <row r="39" spans="1:13" ht="18" x14ac:dyDescent="0.2">
      <c r="A39" s="68" t="s">
        <v>145</v>
      </c>
      <c r="B39" s="68" t="str">
        <f>+B1</f>
        <v>AGOSTO</v>
      </c>
      <c r="C39" s="68" t="str">
        <f t="shared" ref="C39:M39" si="1">+C1</f>
        <v>SEPTIEMBRE</v>
      </c>
      <c r="D39" s="68" t="str">
        <f t="shared" si="1"/>
        <v>OCTUBRE</v>
      </c>
      <c r="E39" s="68" t="str">
        <f t="shared" si="1"/>
        <v>NOVIEMBRE</v>
      </c>
      <c r="F39" s="68" t="str">
        <f t="shared" si="1"/>
        <v>DICIEMBRE</v>
      </c>
      <c r="G39" s="68" t="str">
        <f t="shared" si="1"/>
        <v>ENERO</v>
      </c>
      <c r="H39" s="68" t="str">
        <f t="shared" si="1"/>
        <v>FEBRERO</v>
      </c>
      <c r="I39" s="68" t="str">
        <f t="shared" si="1"/>
        <v>MARZO</v>
      </c>
      <c r="J39" s="68" t="str">
        <f t="shared" si="1"/>
        <v>ABRIL</v>
      </c>
      <c r="K39" s="68" t="str">
        <f t="shared" si="1"/>
        <v>MAYO</v>
      </c>
      <c r="L39" s="68" t="str">
        <f t="shared" si="1"/>
        <v>JUNIO</v>
      </c>
      <c r="M39" s="68" t="str">
        <f t="shared" si="1"/>
        <v>JULIO</v>
      </c>
    </row>
    <row r="40" spans="1:13" ht="15" x14ac:dyDescent="0.2">
      <c r="A40" s="64" t="str">
        <f>+'L-COSTOS'!A45</f>
        <v>Ingeniero Catastral</v>
      </c>
      <c r="B40" s="65">
        <f>+'L-COSTOS'!$H$45</f>
        <v>236810</v>
      </c>
      <c r="C40" s="65">
        <f>+'L-COSTOS'!$H$45</f>
        <v>236810</v>
      </c>
      <c r="D40" s="65">
        <f>+'L-COSTOS'!$H$45</f>
        <v>236810</v>
      </c>
      <c r="E40" s="65">
        <f>+'L-COSTOS'!$H$45</f>
        <v>236810</v>
      </c>
      <c r="F40" s="65">
        <f>+'L-COSTOS'!$H$45</f>
        <v>236810</v>
      </c>
      <c r="G40" s="65">
        <f>+'L-COSTOS'!$H$45</f>
        <v>236810</v>
      </c>
      <c r="H40" s="65">
        <f>+'L-COSTOS'!$H$45</f>
        <v>236810</v>
      </c>
      <c r="I40" s="65">
        <f>+'L-COSTOS'!$H$45</f>
        <v>236810</v>
      </c>
      <c r="J40" s="65">
        <f>+'L-COSTOS'!$H$45</f>
        <v>236810</v>
      </c>
      <c r="K40" s="65">
        <f>+'L-COSTOS'!$H$45</f>
        <v>236810</v>
      </c>
      <c r="L40" s="65">
        <f>+'L-COSTOS'!$H$45</f>
        <v>236810</v>
      </c>
      <c r="M40" s="65">
        <f>+'L-COSTOS'!$H$45</f>
        <v>236810</v>
      </c>
    </row>
    <row r="41" spans="1:13" ht="15" x14ac:dyDescent="0.2">
      <c r="A41" s="64" t="str">
        <f>+'L-COSTOS'!A46</f>
        <v>Diseñador Gráfico Junior</v>
      </c>
      <c r="B41" s="65"/>
      <c r="C41" s="65">
        <f>+'L-COSTOS'!$H$46</f>
        <v>236810</v>
      </c>
      <c r="D41" s="65">
        <f>+'L-COSTOS'!$H$46</f>
        <v>236810</v>
      </c>
      <c r="E41" s="65">
        <f>+'L-COSTOS'!$H$46</f>
        <v>236810</v>
      </c>
      <c r="F41" s="65">
        <f>+'L-COSTOS'!$H$46</f>
        <v>236810</v>
      </c>
      <c r="G41" s="65">
        <f>+'L-COSTOS'!$H$46</f>
        <v>236810</v>
      </c>
      <c r="H41" s="65">
        <f>+'L-COSTOS'!$H$46</f>
        <v>236810</v>
      </c>
      <c r="I41" s="65"/>
      <c r="J41" s="65"/>
      <c r="K41" s="65"/>
      <c r="L41" s="65"/>
      <c r="M41" s="65"/>
    </row>
    <row r="42" spans="1:13" ht="15" x14ac:dyDescent="0.2">
      <c r="A42" s="64" t="str">
        <f>+'L-COSTOS'!A47</f>
        <v>Documentador 1</v>
      </c>
      <c r="B42" s="65">
        <f>+'L-COSTOS'!$H$47*3</f>
        <v>374850</v>
      </c>
      <c r="C42" s="65">
        <f>+'L-COSTOS'!$H$47*3</f>
        <v>374850</v>
      </c>
      <c r="D42" s="65">
        <f>+'L-COSTOS'!$H$47*3</f>
        <v>374850</v>
      </c>
      <c r="E42" s="65">
        <f>+'L-COSTOS'!$H$47*3</f>
        <v>374850</v>
      </c>
      <c r="F42" s="65">
        <f>+'L-COSTOS'!$H$47*3</f>
        <v>374850</v>
      </c>
      <c r="G42" s="65">
        <f>+'L-COSTOS'!$H$47*3</f>
        <v>374850</v>
      </c>
      <c r="H42" s="65">
        <f>+'L-COSTOS'!$H$47*3</f>
        <v>374850</v>
      </c>
      <c r="I42" s="65">
        <f>+'L-COSTOS'!$H$47*3</f>
        <v>374850</v>
      </c>
      <c r="J42" s="65">
        <f>+'L-COSTOS'!$H$47*3</f>
        <v>374850</v>
      </c>
      <c r="K42" s="65">
        <f>+'L-COSTOS'!$H$47*3</f>
        <v>374850</v>
      </c>
      <c r="L42" s="65">
        <f>+'L-COSTOS'!$H$47*3</f>
        <v>374850</v>
      </c>
      <c r="M42" s="65">
        <f>+'L-COSTOS'!$H$47*3</f>
        <v>374850</v>
      </c>
    </row>
    <row r="43" spans="1:13" ht="15" x14ac:dyDescent="0.2">
      <c r="A43" s="64" t="str">
        <f>+'L-COSTOS'!A48</f>
        <v>Analista Programador ARGIS (SIG)</v>
      </c>
      <c r="B43" s="65">
        <f>+'L-COSTOS'!$H$48</f>
        <v>236810</v>
      </c>
      <c r="C43" s="65">
        <f>+'L-COSTOS'!$H$48</f>
        <v>236810</v>
      </c>
      <c r="D43" s="65">
        <f>+'L-COSTOS'!$H$48</f>
        <v>236810</v>
      </c>
      <c r="E43" s="65">
        <f>+'L-COSTOS'!$H$48</f>
        <v>236810</v>
      </c>
      <c r="F43" s="65">
        <f>+'L-COSTOS'!$H$48</f>
        <v>236810</v>
      </c>
      <c r="G43" s="65">
        <f>+'L-COSTOS'!$H$48</f>
        <v>236810</v>
      </c>
      <c r="H43" s="65">
        <f>+'L-COSTOS'!$H$48</f>
        <v>236810</v>
      </c>
      <c r="I43" s="65">
        <f>+'L-COSTOS'!$H$48</f>
        <v>236810</v>
      </c>
      <c r="J43" s="65">
        <f>+'L-COSTOS'!$H$48</f>
        <v>236810</v>
      </c>
      <c r="K43" s="65">
        <f>+'L-COSTOS'!$H$48</f>
        <v>236810</v>
      </c>
      <c r="L43" s="65">
        <f>+'L-COSTOS'!$H$48</f>
        <v>236810</v>
      </c>
      <c r="M43" s="65">
        <f>+'L-COSTOS'!$H$48</f>
        <v>236810</v>
      </c>
    </row>
    <row r="44" spans="1:13" ht="15" x14ac:dyDescent="0.2">
      <c r="A44" s="64" t="str">
        <f>+'L-COSTOS'!A49</f>
        <v>Proyect Manager</v>
      </c>
      <c r="B44" s="65">
        <f>+'L-COSTOS'!$H$49</f>
        <v>236810</v>
      </c>
      <c r="C44" s="65">
        <f>+'L-COSTOS'!$H$49</f>
        <v>236810</v>
      </c>
      <c r="D44" s="65">
        <f>+'L-COSTOS'!$H$49</f>
        <v>236810</v>
      </c>
      <c r="E44" s="65">
        <f>+'L-COSTOS'!$H$49</f>
        <v>236810</v>
      </c>
      <c r="F44" s="65">
        <f>+'L-COSTOS'!$H$49</f>
        <v>236810</v>
      </c>
      <c r="G44" s="65">
        <f>+'L-COSTOS'!$H$49</f>
        <v>236810</v>
      </c>
      <c r="H44" s="65">
        <f>+'L-COSTOS'!$H$49</f>
        <v>236810</v>
      </c>
      <c r="I44" s="65">
        <f>+'L-COSTOS'!$H$49</f>
        <v>236810</v>
      </c>
      <c r="J44" s="65"/>
      <c r="K44" s="65"/>
      <c r="L44" s="65"/>
      <c r="M44" s="65"/>
    </row>
    <row r="45" spans="1:13" ht="15" x14ac:dyDescent="0.2">
      <c r="A45" s="64" t="str">
        <f>+'L-COSTOS'!A50</f>
        <v>Contador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 ht="15" x14ac:dyDescent="0.2">
      <c r="A46" s="64" t="str">
        <f>+'L-COSTOS'!A51</f>
        <v>Analista Administrativo</v>
      </c>
      <c r="B46" s="65">
        <f>+'L-COSTOS'!$H$51</f>
        <v>124950</v>
      </c>
      <c r="C46" s="65">
        <f>+'L-COSTOS'!$H$51</f>
        <v>124950</v>
      </c>
      <c r="D46" s="65">
        <f>+'L-COSTOS'!$H$51</f>
        <v>124950</v>
      </c>
      <c r="E46" s="65">
        <f>+'L-COSTOS'!$H$51</f>
        <v>124950</v>
      </c>
      <c r="F46" s="65">
        <f>+'L-COSTOS'!$H$51</f>
        <v>124950</v>
      </c>
      <c r="G46" s="65">
        <f>+'L-COSTOS'!$H$51</f>
        <v>124950</v>
      </c>
      <c r="H46" s="65">
        <f>+'L-COSTOS'!$H$51</f>
        <v>124950</v>
      </c>
      <c r="I46" s="65">
        <f>+'L-COSTOS'!$H$51</f>
        <v>124950</v>
      </c>
      <c r="J46" s="65">
        <f>+'L-COSTOS'!$H$51</f>
        <v>124950</v>
      </c>
      <c r="K46" s="65">
        <f>+'L-COSTOS'!$H$51</f>
        <v>124950</v>
      </c>
      <c r="L46" s="65">
        <f>+'L-COSTOS'!$H$51</f>
        <v>124950</v>
      </c>
      <c r="M46" s="65">
        <f>+'L-COSTOS'!$H$51</f>
        <v>124950</v>
      </c>
    </row>
    <row r="47" spans="1:13" ht="15" x14ac:dyDescent="0.2">
      <c r="A47" s="64" t="str">
        <f>+'L-COSTOS'!A52</f>
        <v>Ingeniero de redes</v>
      </c>
      <c r="B47" s="65">
        <f>+'L-COSTOS'!$H$52</f>
        <v>124950</v>
      </c>
      <c r="C47" s="65">
        <f>+'L-COSTOS'!$H$52</f>
        <v>124950</v>
      </c>
      <c r="D47" s="65">
        <f>+'L-COSTOS'!$H$52</f>
        <v>124950</v>
      </c>
      <c r="E47" s="65">
        <f>+'L-COSTOS'!$H$52</f>
        <v>124950</v>
      </c>
      <c r="F47" s="65">
        <f>+'L-COSTOS'!$H$52</f>
        <v>124950</v>
      </c>
      <c r="G47" s="65">
        <f>+'L-COSTOS'!$H$52</f>
        <v>124950</v>
      </c>
      <c r="H47" s="65">
        <f>+'L-COSTOS'!$H$52</f>
        <v>124950</v>
      </c>
      <c r="I47" s="65">
        <f>+'L-COSTOS'!$H$52</f>
        <v>124950</v>
      </c>
      <c r="J47" s="65">
        <f>+'L-COSTOS'!$H$52</f>
        <v>124950</v>
      </c>
      <c r="K47" s="65">
        <f>+'L-COSTOS'!$H$52</f>
        <v>124950</v>
      </c>
      <c r="L47" s="65">
        <f>+'L-COSTOS'!$H$52</f>
        <v>124950</v>
      </c>
      <c r="M47" s="65">
        <f>+'L-COSTOS'!$H$52</f>
        <v>124950</v>
      </c>
    </row>
    <row r="48" spans="1:13" ht="15" x14ac:dyDescent="0.2">
      <c r="A48" s="64" t="str">
        <f>+'L-COSTOS'!A53</f>
        <v>Luis Alfredo Ramos</v>
      </c>
      <c r="B48" s="65">
        <f>+'L-COSTOS'!$H$53</f>
        <v>236810</v>
      </c>
      <c r="C48" s="65">
        <f>+'L-COSTOS'!$H$53</f>
        <v>236810</v>
      </c>
      <c r="D48" s="65">
        <f>+'L-COSTOS'!$H$53</f>
        <v>236810</v>
      </c>
      <c r="E48" s="65">
        <f>+'L-COSTOS'!$H$53</f>
        <v>236810</v>
      </c>
      <c r="F48" s="65">
        <f>+'L-COSTOS'!$H$53</f>
        <v>236810</v>
      </c>
      <c r="G48" s="65">
        <f>+'L-COSTOS'!$H$53</f>
        <v>236810</v>
      </c>
      <c r="H48" s="65">
        <f>+'L-COSTOS'!$H$53</f>
        <v>236810</v>
      </c>
      <c r="I48" s="65">
        <f>+'L-COSTOS'!$H$53</f>
        <v>236810</v>
      </c>
      <c r="J48" s="65">
        <f>+'L-COSTOS'!$H$53</f>
        <v>236810</v>
      </c>
      <c r="K48" s="65">
        <f>+'L-COSTOS'!$H$53</f>
        <v>236810</v>
      </c>
      <c r="L48" s="65">
        <f>+'L-COSTOS'!$H$53</f>
        <v>236810</v>
      </c>
      <c r="M48" s="65">
        <f>+'L-COSTOS'!$H$53</f>
        <v>236810</v>
      </c>
    </row>
    <row r="49" spans="1:14" ht="15" x14ac:dyDescent="0.2">
      <c r="A49" s="64" t="str">
        <f>+'L-COSTOS'!A54</f>
        <v>Lobsang Flechas</v>
      </c>
      <c r="B49" s="65">
        <f>+'L-COSTOS'!$H$54</f>
        <v>0</v>
      </c>
      <c r="C49" s="65">
        <f>+'L-COSTOS'!$H$54</f>
        <v>0</v>
      </c>
      <c r="D49" s="65">
        <f>+'L-COSTOS'!$H$54</f>
        <v>0</v>
      </c>
      <c r="E49" s="65">
        <f>+'L-COSTOS'!$H$54</f>
        <v>0</v>
      </c>
      <c r="F49" s="65">
        <f>+'L-COSTOS'!$H$54</f>
        <v>0</v>
      </c>
      <c r="G49" s="65">
        <f>+'L-COSTOS'!$H$54</f>
        <v>0</v>
      </c>
      <c r="H49" s="65">
        <f>+'L-COSTOS'!$H$54</f>
        <v>0</v>
      </c>
      <c r="I49" s="65">
        <f>+'L-COSTOS'!$H$54</f>
        <v>0</v>
      </c>
      <c r="J49" s="65">
        <f>+'L-COSTOS'!$H$54</f>
        <v>0</v>
      </c>
      <c r="K49" s="65">
        <f>+'L-COSTOS'!$H$54</f>
        <v>0</v>
      </c>
      <c r="L49" s="65">
        <f>+'L-COSTOS'!$H$54</f>
        <v>0</v>
      </c>
      <c r="M49" s="65">
        <f>+'L-COSTOS'!$H$54</f>
        <v>0</v>
      </c>
    </row>
    <row r="50" spans="1:14" ht="15" x14ac:dyDescent="0.2">
      <c r="A50" s="64" t="str">
        <f>+'L-COSTOS'!A55</f>
        <v>Programador SENIOR (Gohan)</v>
      </c>
      <c r="B50" s="65">
        <f>+'L-COSTOS'!$H$55</f>
        <v>153510</v>
      </c>
      <c r="C50" s="65">
        <f>+'L-COSTOS'!$H$55</f>
        <v>153510</v>
      </c>
      <c r="D50" s="65">
        <f>+'L-COSTOS'!$H$55</f>
        <v>153510</v>
      </c>
      <c r="E50" s="65">
        <f>+'L-COSTOS'!$H$55</f>
        <v>153510</v>
      </c>
      <c r="F50" s="65">
        <f>+'L-COSTOS'!$H$55</f>
        <v>153510</v>
      </c>
      <c r="G50" s="65">
        <f>+'L-COSTOS'!$H$55</f>
        <v>153510</v>
      </c>
      <c r="H50" s="65">
        <f>+'L-COSTOS'!$H$55</f>
        <v>153510</v>
      </c>
      <c r="I50" s="65">
        <f>+'L-COSTOS'!$H$55</f>
        <v>153510</v>
      </c>
      <c r="J50" s="65">
        <f>+'L-COSTOS'!$H$55</f>
        <v>153510</v>
      </c>
      <c r="K50" s="65">
        <f>+'L-COSTOS'!$H$55</f>
        <v>153510</v>
      </c>
      <c r="L50" s="65">
        <f>+'L-COSTOS'!$H$55</f>
        <v>153510</v>
      </c>
      <c r="M50" s="65">
        <f>+'L-COSTOS'!$H$55</f>
        <v>153510</v>
      </c>
    </row>
    <row r="51" spans="1:14" ht="15" x14ac:dyDescent="0.2">
      <c r="A51" s="64" t="str">
        <f>+'L-COSTOS'!A56</f>
        <v xml:space="preserve">Progamador JUNIOR (Ronny) </v>
      </c>
      <c r="B51" s="65">
        <f>+'L-COSTOS'!$H$56</f>
        <v>153510</v>
      </c>
      <c r="C51" s="65">
        <f>+'L-COSTOS'!$H$56</f>
        <v>153510</v>
      </c>
      <c r="D51" s="65">
        <f>+'L-COSTOS'!$H$56</f>
        <v>153510</v>
      </c>
      <c r="E51" s="65">
        <f>+'L-COSTOS'!$H$56</f>
        <v>153510</v>
      </c>
      <c r="F51" s="65">
        <f>+'L-COSTOS'!$H$56</f>
        <v>153510</v>
      </c>
      <c r="G51" s="65">
        <f>+'L-COSTOS'!$H$56</f>
        <v>153510</v>
      </c>
      <c r="H51" s="65">
        <f>+'L-COSTOS'!$H$56</f>
        <v>153510</v>
      </c>
      <c r="I51" s="65">
        <f>+'L-COSTOS'!$H$56</f>
        <v>153510</v>
      </c>
      <c r="J51" s="65">
        <f>+'L-COSTOS'!$H$56</f>
        <v>153510</v>
      </c>
      <c r="K51" s="65">
        <f>+'L-COSTOS'!$H$56</f>
        <v>153510</v>
      </c>
      <c r="L51" s="65">
        <f>+'L-COSTOS'!$H$56</f>
        <v>153510</v>
      </c>
      <c r="M51" s="65">
        <f>+'L-COSTOS'!$H$56</f>
        <v>153510</v>
      </c>
    </row>
    <row r="52" spans="1:14" ht="15" x14ac:dyDescent="0.2">
      <c r="A52" s="64" t="str">
        <f>+'L-COSTOS'!A57</f>
        <v xml:space="preserve">Servidores </v>
      </c>
      <c r="B52" s="65">
        <f>+'L-COSTOS'!$H$57</f>
        <v>16660000</v>
      </c>
      <c r="C52" s="65">
        <f>+'L-COSTOS'!$H$57</f>
        <v>16660000</v>
      </c>
      <c r="D52" s="65">
        <f>+'L-COSTOS'!$H$57</f>
        <v>16660000</v>
      </c>
      <c r="E52" s="65">
        <f>+'L-COSTOS'!$H$57</f>
        <v>16660000</v>
      </c>
      <c r="F52" s="65">
        <f>+'L-COSTOS'!$H$57</f>
        <v>16660000</v>
      </c>
      <c r="G52" s="65">
        <f>+'L-COSTOS'!$H$57</f>
        <v>16660000</v>
      </c>
      <c r="H52" s="65">
        <f>+'L-COSTOS'!$H$57</f>
        <v>16660000</v>
      </c>
      <c r="I52" s="65">
        <f>+'L-COSTOS'!$H$57</f>
        <v>16660000</v>
      </c>
      <c r="J52" s="65">
        <f>+'L-COSTOS'!$H$57</f>
        <v>16660000</v>
      </c>
      <c r="K52" s="65">
        <f>+'L-COSTOS'!$H$57</f>
        <v>16660000</v>
      </c>
      <c r="L52" s="65">
        <f>+'L-COSTOS'!$H$57</f>
        <v>16660000</v>
      </c>
      <c r="M52" s="65">
        <f>+'L-COSTOS'!$H$57</f>
        <v>16660000</v>
      </c>
    </row>
    <row r="53" spans="1:14" ht="15" x14ac:dyDescent="0.2">
      <c r="A53" s="64" t="str">
        <f>+'L-COSTOS'!A58</f>
        <v>Adecuación de Redes</v>
      </c>
      <c r="B53" s="65">
        <f>+'L-COSTOS'!$H$58</f>
        <v>5950000</v>
      </c>
      <c r="C53" s="65">
        <f>+'L-COSTOS'!$H$58</f>
        <v>5950000</v>
      </c>
      <c r="D53" s="65">
        <f>+'L-COSTOS'!$H$58</f>
        <v>5950000</v>
      </c>
      <c r="E53" s="65">
        <f>+'L-COSTOS'!$H$58</f>
        <v>5950000</v>
      </c>
      <c r="F53" s="65">
        <f>+'L-COSTOS'!$H$58</f>
        <v>5950000</v>
      </c>
      <c r="G53" s="65">
        <f>+'L-COSTOS'!$H$58</f>
        <v>5950000</v>
      </c>
      <c r="H53" s="65">
        <f>+'L-COSTOS'!$H$58</f>
        <v>5950000</v>
      </c>
      <c r="I53" s="65">
        <f>+'L-COSTOS'!$H$58</f>
        <v>5950000</v>
      </c>
      <c r="J53" s="65">
        <f>+'L-COSTOS'!$H$58</f>
        <v>5950000</v>
      </c>
      <c r="K53" s="65">
        <f>+'L-COSTOS'!$H$58</f>
        <v>5950000</v>
      </c>
      <c r="L53" s="65">
        <f>+'L-COSTOS'!$H$58</f>
        <v>5950000</v>
      </c>
      <c r="M53" s="65">
        <f>+'L-COSTOS'!$H$58</f>
        <v>5950000</v>
      </c>
    </row>
    <row r="54" spans="1:14" ht="18" x14ac:dyDescent="0.2">
      <c r="A54" s="66" t="s">
        <v>149</v>
      </c>
      <c r="B54" s="67">
        <f t="shared" ref="B54:M54" si="2">SUM(B40:B53)</f>
        <v>24489010</v>
      </c>
      <c r="C54" s="67">
        <f t="shared" si="2"/>
        <v>24725820</v>
      </c>
      <c r="D54" s="67">
        <f t="shared" si="2"/>
        <v>24725820</v>
      </c>
      <c r="E54" s="67">
        <f t="shared" si="2"/>
        <v>24725820</v>
      </c>
      <c r="F54" s="67">
        <f t="shared" si="2"/>
        <v>24725820</v>
      </c>
      <c r="G54" s="67">
        <f t="shared" si="2"/>
        <v>24725820</v>
      </c>
      <c r="H54" s="67">
        <f t="shared" si="2"/>
        <v>24725820</v>
      </c>
      <c r="I54" s="67">
        <f t="shared" si="2"/>
        <v>24489010</v>
      </c>
      <c r="J54" s="67">
        <f t="shared" si="2"/>
        <v>24252200</v>
      </c>
      <c r="K54" s="67">
        <f t="shared" si="2"/>
        <v>24252200</v>
      </c>
      <c r="L54" s="67">
        <f t="shared" si="2"/>
        <v>24252200</v>
      </c>
      <c r="M54" s="67">
        <f t="shared" si="2"/>
        <v>24252200</v>
      </c>
    </row>
    <row r="55" spans="1:14" ht="18" x14ac:dyDescent="0.2">
      <c r="A55" s="66" t="s">
        <v>146</v>
      </c>
      <c r="B55" s="69">
        <f>+'L-COSTOS'!$F$89/12</f>
        <v>13848408.198211111</v>
      </c>
      <c r="C55" s="69">
        <f>+'L-COSTOS'!$F$89/12</f>
        <v>13848408.198211111</v>
      </c>
      <c r="D55" s="69">
        <f>+'L-COSTOS'!$F$89/12</f>
        <v>13848408.198211111</v>
      </c>
      <c r="E55" s="69">
        <f>+'L-COSTOS'!$F$89/12</f>
        <v>13848408.198211111</v>
      </c>
      <c r="F55" s="69">
        <f>+'L-COSTOS'!$F$89/12</f>
        <v>13848408.198211111</v>
      </c>
      <c r="G55" s="69">
        <f>+'L-COSTOS'!$F$89/12</f>
        <v>13848408.198211111</v>
      </c>
      <c r="H55" s="69">
        <f>+'L-COSTOS'!$F$89/12</f>
        <v>13848408.198211111</v>
      </c>
      <c r="I55" s="69">
        <f>+'L-COSTOS'!$F$89/12</f>
        <v>13848408.198211111</v>
      </c>
      <c r="J55" s="69">
        <f>+'L-COSTOS'!$F$89/12</f>
        <v>13848408.198211111</v>
      </c>
      <c r="K55" s="69">
        <f>+'L-COSTOS'!$F$89/12</f>
        <v>13848408.198211111</v>
      </c>
      <c r="L55" s="69">
        <f>+'L-COSTOS'!$F$89/12</f>
        <v>13848408.198211111</v>
      </c>
      <c r="M55" s="69">
        <f>+'L-COSTOS'!$F$89/12</f>
        <v>13848408.198211111</v>
      </c>
    </row>
    <row r="56" spans="1:14" ht="19" thickBot="1" x14ac:dyDescent="0.25">
      <c r="A56" s="66" t="s">
        <v>147</v>
      </c>
      <c r="B56" s="69">
        <f>+'L-COSTOS'!$F$69/12</f>
        <v>790537.72884686897</v>
      </c>
      <c r="C56" s="69">
        <f>+'L-COSTOS'!$F$69/12</f>
        <v>790537.72884686897</v>
      </c>
      <c r="D56" s="69">
        <f>+'L-COSTOS'!$F$69/12</f>
        <v>790537.72884686897</v>
      </c>
      <c r="E56" s="69">
        <f>+'L-COSTOS'!$F$69/12</f>
        <v>790537.72884686897</v>
      </c>
      <c r="F56" s="69">
        <f>+'L-COSTOS'!$F$69/12</f>
        <v>790537.72884686897</v>
      </c>
      <c r="G56" s="69">
        <f>+'L-COSTOS'!$F$69/12</f>
        <v>790537.72884686897</v>
      </c>
      <c r="H56" s="69">
        <f>+'L-COSTOS'!$F$69/12</f>
        <v>790537.72884686897</v>
      </c>
      <c r="I56" s="69">
        <f>+'L-COSTOS'!$F$69/12</f>
        <v>790537.72884686897</v>
      </c>
      <c r="J56" s="69">
        <f>+'L-COSTOS'!$F$69/12</f>
        <v>790537.72884686897</v>
      </c>
      <c r="K56" s="69">
        <f>+'L-COSTOS'!$F$69/12</f>
        <v>790537.72884686897</v>
      </c>
      <c r="L56" s="69">
        <f>+'L-COSTOS'!$F$69/12</f>
        <v>790537.72884686897</v>
      </c>
      <c r="M56" s="69">
        <f>+'L-COSTOS'!$F$69/12</f>
        <v>790537.72884686897</v>
      </c>
    </row>
    <row r="57" spans="1:14" s="79" customFormat="1" ht="20" thickBot="1" x14ac:dyDescent="0.25">
      <c r="A57" s="81" t="s">
        <v>148</v>
      </c>
      <c r="B57" s="82">
        <f t="shared" ref="B57:M57" si="3">+B38+B54+B55+B56</f>
        <v>181479622.59372464</v>
      </c>
      <c r="C57" s="82">
        <f t="shared" si="3"/>
        <v>259216432.59372464</v>
      </c>
      <c r="D57" s="82">
        <f t="shared" si="3"/>
        <v>259216432.59372464</v>
      </c>
      <c r="E57" s="82">
        <f t="shared" si="3"/>
        <v>259216432.59372464</v>
      </c>
      <c r="F57" s="82">
        <f t="shared" si="3"/>
        <v>262216432.59372464</v>
      </c>
      <c r="G57" s="82">
        <f t="shared" si="3"/>
        <v>262216432.59372464</v>
      </c>
      <c r="H57" s="82">
        <f t="shared" si="3"/>
        <v>233549765.92705798</v>
      </c>
      <c r="I57" s="82">
        <f t="shared" si="3"/>
        <v>229812955.92705798</v>
      </c>
      <c r="J57" s="82">
        <f t="shared" si="3"/>
        <v>217576145.92705798</v>
      </c>
      <c r="K57" s="82">
        <f t="shared" si="3"/>
        <v>143576145.92705798</v>
      </c>
      <c r="L57" s="82">
        <f t="shared" si="3"/>
        <v>143576145.92705798</v>
      </c>
      <c r="M57" s="138">
        <f t="shared" si="3"/>
        <v>143576145.92705798</v>
      </c>
      <c r="N57" s="139">
        <f>SUM(B57:M57)</f>
        <v>2595229091.1246967</v>
      </c>
    </row>
    <row r="58" spans="1:14" s="79" customFormat="1" ht="18" x14ac:dyDescent="0.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1:14" ht="18" x14ac:dyDescent="0.2">
      <c r="A59" s="68" t="s">
        <v>184</v>
      </c>
      <c r="B59" s="68" t="str">
        <f>+B39</f>
        <v>AGOSTO</v>
      </c>
      <c r="C59" s="68" t="str">
        <f t="shared" ref="C59:M59" si="4">+C39</f>
        <v>SEPTIEMBRE</v>
      </c>
      <c r="D59" s="68" t="str">
        <f t="shared" si="4"/>
        <v>OCTUBRE</v>
      </c>
      <c r="E59" s="68" t="str">
        <f t="shared" si="4"/>
        <v>NOVIEMBRE</v>
      </c>
      <c r="F59" s="68" t="str">
        <f t="shared" si="4"/>
        <v>DICIEMBRE</v>
      </c>
      <c r="G59" s="68" t="str">
        <f t="shared" si="4"/>
        <v>ENERO</v>
      </c>
      <c r="H59" s="68" t="str">
        <f t="shared" si="4"/>
        <v>FEBRERO</v>
      </c>
      <c r="I59" s="68" t="str">
        <f t="shared" si="4"/>
        <v>MARZO</v>
      </c>
      <c r="J59" s="68" t="str">
        <f t="shared" si="4"/>
        <v>ABRIL</v>
      </c>
      <c r="K59" s="68" t="str">
        <f t="shared" si="4"/>
        <v>MAYO</v>
      </c>
      <c r="L59" s="68" t="str">
        <f t="shared" si="4"/>
        <v>JUNIO</v>
      </c>
      <c r="M59" s="68" t="str">
        <f t="shared" si="4"/>
        <v>JULIO</v>
      </c>
      <c r="N59" s="77"/>
    </row>
    <row r="60" spans="1:14" ht="18" x14ac:dyDescent="0.2">
      <c r="A60" s="68" t="s">
        <v>29</v>
      </c>
      <c r="B60" s="65">
        <f>820000000-250000000</f>
        <v>570000000</v>
      </c>
      <c r="C60" s="65">
        <f>B60</f>
        <v>570000000</v>
      </c>
      <c r="D60" s="65">
        <f>720000000-200000000</f>
        <v>520000000</v>
      </c>
      <c r="E60" s="65">
        <v>520000000</v>
      </c>
      <c r="F60" s="65">
        <v>520000000</v>
      </c>
      <c r="G60" s="65">
        <v>520000000</v>
      </c>
      <c r="H60" s="65"/>
      <c r="I60" s="65">
        <v>580000000</v>
      </c>
      <c r="J60" s="68"/>
      <c r="K60" s="68"/>
      <c r="L60" s="68"/>
      <c r="M60" s="140"/>
      <c r="N60" s="142">
        <f>SUM(B60:M60)</f>
        <v>3800000000</v>
      </c>
    </row>
    <row r="61" spans="1:14" ht="18" x14ac:dyDescent="0.2">
      <c r="A61" s="68" t="s">
        <v>39</v>
      </c>
      <c r="B61" s="65"/>
      <c r="C61" s="65"/>
      <c r="D61" s="65"/>
      <c r="E61" s="65"/>
      <c r="F61" s="65"/>
      <c r="G61" s="65">
        <f>40000000-(40000000*30%)</f>
        <v>28000000</v>
      </c>
      <c r="H61" s="65">
        <f t="shared" ref="H61:L61" si="5">40000000-(40000000*30%)</f>
        <v>28000000</v>
      </c>
      <c r="I61" s="65">
        <f t="shared" si="5"/>
        <v>28000000</v>
      </c>
      <c r="J61" s="65">
        <f>40000000-(40000000*30%)</f>
        <v>28000000</v>
      </c>
      <c r="K61" s="65">
        <f t="shared" si="5"/>
        <v>28000000</v>
      </c>
      <c r="L61" s="65">
        <f t="shared" si="5"/>
        <v>28000000</v>
      </c>
      <c r="M61" s="141">
        <f>40000000-(40000000*30%)</f>
        <v>28000000</v>
      </c>
      <c r="N61" s="142">
        <f t="shared" ref="N61:N75" si="6">SUM(B61:M61)</f>
        <v>196000000</v>
      </c>
    </row>
    <row r="62" spans="1:14" ht="18" x14ac:dyDescent="0.2">
      <c r="A62" s="68" t="s">
        <v>223</v>
      </c>
      <c r="C62" s="65"/>
      <c r="D62" s="65"/>
      <c r="E62" s="65">
        <f>31113200-(31113200*20%)</f>
        <v>24890560</v>
      </c>
      <c r="F62" s="65">
        <f t="shared" ref="F62:L62" si="7">31113200-(31113200*20%)</f>
        <v>24890560</v>
      </c>
      <c r="G62" s="65">
        <f t="shared" si="7"/>
        <v>24890560</v>
      </c>
      <c r="H62" s="65">
        <f t="shared" si="7"/>
        <v>24890560</v>
      </c>
      <c r="I62" s="65">
        <f>31113200-(31113200*20%)</f>
        <v>24890560</v>
      </c>
      <c r="J62" s="65">
        <f t="shared" si="7"/>
        <v>24890560</v>
      </c>
      <c r="K62" s="65">
        <f t="shared" si="7"/>
        <v>24890560</v>
      </c>
      <c r="L62" s="65">
        <f t="shared" si="7"/>
        <v>24890560</v>
      </c>
      <c r="M62" s="141">
        <f>31113200-(31113200*20%)</f>
        <v>24890560</v>
      </c>
      <c r="N62" s="142">
        <f t="shared" si="6"/>
        <v>224015040</v>
      </c>
    </row>
    <row r="63" spans="1:14" ht="18" x14ac:dyDescent="0.2">
      <c r="A63" s="149" t="s">
        <v>31</v>
      </c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1"/>
      <c r="N63" s="151"/>
    </row>
    <row r="64" spans="1:14" ht="18" x14ac:dyDescent="0.2">
      <c r="A64" s="149" t="s">
        <v>224</v>
      </c>
      <c r="B64" s="152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1"/>
      <c r="N64" s="151"/>
    </row>
    <row r="65" spans="1:14" ht="18" x14ac:dyDescent="0.2">
      <c r="A65" s="149" t="s">
        <v>225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</row>
    <row r="66" spans="1:14" ht="18" x14ac:dyDescent="0.2">
      <c r="A66" s="68" t="s">
        <v>226</v>
      </c>
      <c r="B66" s="143">
        <f>SUM(B60:B65)</f>
        <v>570000000</v>
      </c>
      <c r="C66" s="143">
        <f t="shared" ref="C66:J66" si="8">SUM(C60:C65)</f>
        <v>570000000</v>
      </c>
      <c r="D66" s="143">
        <f t="shared" si="8"/>
        <v>520000000</v>
      </c>
      <c r="E66" s="143">
        <f t="shared" si="8"/>
        <v>544890560</v>
      </c>
      <c r="F66" s="143">
        <f t="shared" si="8"/>
        <v>544890560</v>
      </c>
      <c r="G66" s="143">
        <f t="shared" si="8"/>
        <v>572890560</v>
      </c>
      <c r="H66" s="143">
        <f t="shared" si="8"/>
        <v>52890560</v>
      </c>
      <c r="I66" s="143">
        <f t="shared" si="8"/>
        <v>632890560</v>
      </c>
      <c r="J66" s="143">
        <f t="shared" si="8"/>
        <v>52890560</v>
      </c>
      <c r="K66" s="143">
        <f>SUM(K60:K65)</f>
        <v>52890560</v>
      </c>
      <c r="L66" s="143">
        <f t="shared" ref="L66:M66" si="9">SUM(L60:L65)</f>
        <v>52890560</v>
      </c>
      <c r="M66" s="143">
        <f t="shared" si="9"/>
        <v>52890560</v>
      </c>
      <c r="N66" s="143">
        <f>SUM(N60:N65)</f>
        <v>4220015040</v>
      </c>
    </row>
    <row r="67" spans="1:14" s="146" customFormat="1" ht="18" x14ac:dyDescent="0.2">
      <c r="A67" s="144" t="s">
        <v>221</v>
      </c>
      <c r="B67" s="145">
        <f>B66-B57</f>
        <v>388520377.40627539</v>
      </c>
      <c r="C67" s="145">
        <f t="shared" ref="C67:H67" si="10">C66-C57</f>
        <v>310783567.40627539</v>
      </c>
      <c r="D67" s="145">
        <f t="shared" si="10"/>
        <v>260783567.40627536</v>
      </c>
      <c r="E67" s="145">
        <f t="shared" si="10"/>
        <v>285674127.40627539</v>
      </c>
      <c r="F67" s="145">
        <f t="shared" si="10"/>
        <v>282674127.40627539</v>
      </c>
      <c r="G67" s="145">
        <f t="shared" si="10"/>
        <v>310674127.40627539</v>
      </c>
      <c r="H67" s="145">
        <f t="shared" si="10"/>
        <v>-180659205.92705798</v>
      </c>
      <c r="I67" s="145">
        <f>I66-I57</f>
        <v>403077604.07294202</v>
      </c>
      <c r="J67" s="145">
        <f t="shared" ref="J67:N67" si="11">J66-J57</f>
        <v>-164685585.92705798</v>
      </c>
      <c r="K67" s="145">
        <f t="shared" si="11"/>
        <v>-90685585.927057981</v>
      </c>
      <c r="L67" s="145">
        <f t="shared" si="11"/>
        <v>-90685585.927057981</v>
      </c>
      <c r="M67" s="145">
        <f t="shared" si="11"/>
        <v>-90685585.927057981</v>
      </c>
      <c r="N67" s="145">
        <f t="shared" si="11"/>
        <v>1624785948.8753033</v>
      </c>
    </row>
    <row r="68" spans="1:14" s="146" customFormat="1" ht="19" customHeight="1" x14ac:dyDescent="0.2">
      <c r="A68" s="144" t="s">
        <v>222</v>
      </c>
      <c r="B68" s="145">
        <f>B67</f>
        <v>388520377.40627539</v>
      </c>
      <c r="C68" s="145">
        <f>B68+C67</f>
        <v>699303944.81255078</v>
      </c>
      <c r="D68" s="145">
        <f>C68+D67</f>
        <v>960087512.21882617</v>
      </c>
      <c r="E68" s="145">
        <f>D68+E67</f>
        <v>1245761639.6251016</v>
      </c>
      <c r="F68" s="145">
        <f>E68+F67</f>
        <v>1528435767.0313768</v>
      </c>
      <c r="G68" s="145">
        <f>F68+G67</f>
        <v>1839109894.4376521</v>
      </c>
      <c r="H68" s="145">
        <f>G68+H67</f>
        <v>1658450688.5105941</v>
      </c>
      <c r="I68" s="145">
        <f>H68+I67</f>
        <v>2061528292.5835361</v>
      </c>
      <c r="J68" s="145">
        <f>I68+J67</f>
        <v>1896842706.6564782</v>
      </c>
      <c r="K68" s="145">
        <f>J68+K67</f>
        <v>1806157120.7294202</v>
      </c>
      <c r="L68" s="145">
        <f>K68+L67</f>
        <v>1715471534.8023622</v>
      </c>
      <c r="M68" s="147">
        <f>L68+M67</f>
        <v>1624785948.8753042</v>
      </c>
      <c r="N68" s="148"/>
    </row>
    <row r="69" spans="1:14" s="77" customFormat="1" ht="18" x14ac:dyDescent="0.2">
      <c r="A69" s="78" t="s">
        <v>185</v>
      </c>
      <c r="B69" s="83">
        <f>B68*20%</f>
        <v>77704075.481255084</v>
      </c>
      <c r="C69" s="83">
        <f>C66*20%</f>
        <v>114000000</v>
      </c>
      <c r="D69" s="83">
        <f>D66*20%</f>
        <v>104000000</v>
      </c>
      <c r="E69" s="83">
        <f>E66*20%</f>
        <v>108978112</v>
      </c>
      <c r="F69" s="83">
        <f>F66*20%</f>
        <v>108978112</v>
      </c>
      <c r="G69" s="83">
        <f>G66*20%</f>
        <v>114578112</v>
      </c>
      <c r="H69" s="83">
        <f>H66*20%</f>
        <v>10578112</v>
      </c>
      <c r="I69" s="83">
        <f>I66*20%</f>
        <v>126578112</v>
      </c>
      <c r="J69" s="83">
        <f>J66*20%</f>
        <v>10578112</v>
      </c>
      <c r="K69" s="83">
        <f>K66*20%</f>
        <v>10578112</v>
      </c>
      <c r="L69" s="83">
        <f>L66*20%</f>
        <v>10578112</v>
      </c>
      <c r="M69" s="83">
        <f>M66*20%</f>
        <v>10578112</v>
      </c>
      <c r="N69" s="142">
        <f t="shared" si="6"/>
        <v>807707083.48125505</v>
      </c>
    </row>
    <row r="70" spans="1:14" s="146" customFormat="1" ht="18" x14ac:dyDescent="0.2">
      <c r="A70" s="144" t="s">
        <v>227</v>
      </c>
      <c r="B70" s="145">
        <f>B69*10%</f>
        <v>7770407.5481255092</v>
      </c>
      <c r="C70" s="145">
        <f t="shared" ref="C70:G70" si="12">C69*10%</f>
        <v>11400000</v>
      </c>
      <c r="D70" s="145">
        <f t="shared" si="12"/>
        <v>10400000</v>
      </c>
      <c r="E70" s="145">
        <f t="shared" si="12"/>
        <v>10897811.200000001</v>
      </c>
      <c r="F70" s="145">
        <f t="shared" si="12"/>
        <v>10897811.200000001</v>
      </c>
      <c r="G70" s="145">
        <f t="shared" si="12"/>
        <v>11457811.200000001</v>
      </c>
      <c r="H70" s="145">
        <f>H69*10%</f>
        <v>1057811.2</v>
      </c>
      <c r="I70" s="145">
        <f t="shared" ref="I70:L70" si="13">I69*10%</f>
        <v>12657811.200000001</v>
      </c>
      <c r="J70" s="145">
        <f t="shared" si="13"/>
        <v>1057811.2</v>
      </c>
      <c r="K70" s="145">
        <f t="shared" si="13"/>
        <v>1057811.2</v>
      </c>
      <c r="L70" s="145">
        <f t="shared" si="13"/>
        <v>1057811.2</v>
      </c>
      <c r="M70" s="145">
        <f>M69*10%</f>
        <v>1057811.2</v>
      </c>
      <c r="N70" s="148"/>
    </row>
    <row r="71" spans="1:14" s="146" customFormat="1" ht="18" x14ac:dyDescent="0.2">
      <c r="A71" s="144" t="s">
        <v>228</v>
      </c>
      <c r="B71" s="145">
        <f>B69-B70</f>
        <v>69933667.933129579</v>
      </c>
      <c r="C71" s="145">
        <f t="shared" ref="C71:G71" si="14">C69-C70</f>
        <v>102600000</v>
      </c>
      <c r="D71" s="145">
        <f t="shared" si="14"/>
        <v>93600000</v>
      </c>
      <c r="E71" s="145">
        <f t="shared" si="14"/>
        <v>98080300.799999997</v>
      </c>
      <c r="F71" s="145">
        <f t="shared" si="14"/>
        <v>98080300.799999997</v>
      </c>
      <c r="G71" s="145">
        <f t="shared" si="14"/>
        <v>103120300.8</v>
      </c>
      <c r="H71" s="145">
        <f>H69-H70</f>
        <v>9520300.8000000007</v>
      </c>
      <c r="I71" s="145">
        <f t="shared" ref="I71:L71" si="15">I69-I70</f>
        <v>113920300.8</v>
      </c>
      <c r="J71" s="145">
        <f t="shared" si="15"/>
        <v>9520300.8000000007</v>
      </c>
      <c r="K71" s="145">
        <f t="shared" si="15"/>
        <v>9520300.8000000007</v>
      </c>
      <c r="L71" s="145">
        <f t="shared" si="15"/>
        <v>9520300.8000000007</v>
      </c>
      <c r="M71" s="145">
        <f>M69-M70</f>
        <v>9520300.8000000007</v>
      </c>
      <c r="N71" s="148">
        <f>SUM(B71:M71)</f>
        <v>726936375.13312924</v>
      </c>
    </row>
    <row r="72" spans="1:14" s="77" customFormat="1" ht="18" x14ac:dyDescent="0.2">
      <c r="A72" s="78" t="s">
        <v>187</v>
      </c>
      <c r="B72" s="83">
        <f>B71*10%</f>
        <v>6993366.7933129584</v>
      </c>
      <c r="C72" s="83">
        <f t="shared" ref="C72:G72" si="16">C71*10%</f>
        <v>10260000</v>
      </c>
      <c r="D72" s="83">
        <f t="shared" si="16"/>
        <v>9360000</v>
      </c>
      <c r="E72" s="83">
        <f t="shared" si="16"/>
        <v>9808030.0800000001</v>
      </c>
      <c r="F72" s="83">
        <f t="shared" si="16"/>
        <v>9808030.0800000001</v>
      </c>
      <c r="G72" s="83">
        <f t="shared" si="16"/>
        <v>10312030.08</v>
      </c>
      <c r="H72" s="83">
        <f>H71*10%</f>
        <v>952030.08000000007</v>
      </c>
      <c r="I72" s="83">
        <f t="shared" ref="I72:L72" si="17">I71*10%</f>
        <v>11392030.08</v>
      </c>
      <c r="J72" s="83">
        <f t="shared" si="17"/>
        <v>952030.08000000007</v>
      </c>
      <c r="K72" s="83">
        <f t="shared" si="17"/>
        <v>952030.08000000007</v>
      </c>
      <c r="L72" s="83">
        <f t="shared" si="17"/>
        <v>952030.08000000007</v>
      </c>
      <c r="M72" s="83">
        <f>M71*10%</f>
        <v>952030.08000000007</v>
      </c>
      <c r="N72" s="142">
        <f t="shared" si="6"/>
        <v>72693637.513312951</v>
      </c>
    </row>
    <row r="73" spans="1:14" s="77" customFormat="1" ht="18" x14ac:dyDescent="0.2">
      <c r="A73" s="78" t="s">
        <v>188</v>
      </c>
      <c r="B73" s="83">
        <f>B71*60%</f>
        <v>41960200.759877749</v>
      </c>
      <c r="C73" s="83">
        <f t="shared" ref="C73:G73" si="18">C71*60%</f>
        <v>61560000</v>
      </c>
      <c r="D73" s="83">
        <f t="shared" si="18"/>
        <v>56160000</v>
      </c>
      <c r="E73" s="83">
        <f t="shared" si="18"/>
        <v>58848180.479999997</v>
      </c>
      <c r="F73" s="83">
        <f t="shared" si="18"/>
        <v>58848180.479999997</v>
      </c>
      <c r="G73" s="83">
        <f t="shared" si="18"/>
        <v>61872180.479999997</v>
      </c>
      <c r="H73" s="83">
        <f>H71*60%</f>
        <v>5712180.4800000004</v>
      </c>
      <c r="I73" s="83">
        <f t="shared" ref="I73:L73" si="19">I71*60%</f>
        <v>68352180.479999989</v>
      </c>
      <c r="J73" s="83">
        <f t="shared" si="19"/>
        <v>5712180.4800000004</v>
      </c>
      <c r="K73" s="83">
        <f t="shared" si="19"/>
        <v>5712180.4800000004</v>
      </c>
      <c r="L73" s="83">
        <f t="shared" si="19"/>
        <v>5712180.4800000004</v>
      </c>
      <c r="M73" s="83">
        <f>M71*60%</f>
        <v>5712180.4800000004</v>
      </c>
      <c r="N73" s="142">
        <f t="shared" si="6"/>
        <v>436161825.07987785</v>
      </c>
    </row>
    <row r="74" spans="1:14" s="77" customFormat="1" ht="18" x14ac:dyDescent="0.2">
      <c r="A74" s="78" t="s">
        <v>189</v>
      </c>
      <c r="B74" s="83">
        <f>B71*10%</f>
        <v>6993366.7933129584</v>
      </c>
      <c r="C74" s="83">
        <f t="shared" ref="C74:G74" si="20">C71*10%</f>
        <v>10260000</v>
      </c>
      <c r="D74" s="83">
        <f t="shared" si="20"/>
        <v>9360000</v>
      </c>
      <c r="E74" s="83">
        <f t="shared" si="20"/>
        <v>9808030.0800000001</v>
      </c>
      <c r="F74" s="83">
        <f t="shared" si="20"/>
        <v>9808030.0800000001</v>
      </c>
      <c r="G74" s="83">
        <f t="shared" si="20"/>
        <v>10312030.08</v>
      </c>
      <c r="H74" s="83">
        <f>H71*10%</f>
        <v>952030.08000000007</v>
      </c>
      <c r="I74" s="83">
        <f t="shared" ref="I74:L74" si="21">I71*10%</f>
        <v>11392030.08</v>
      </c>
      <c r="J74" s="83">
        <f t="shared" si="21"/>
        <v>952030.08000000007</v>
      </c>
      <c r="K74" s="83">
        <f t="shared" si="21"/>
        <v>952030.08000000007</v>
      </c>
      <c r="L74" s="83">
        <f t="shared" si="21"/>
        <v>952030.08000000007</v>
      </c>
      <c r="M74" s="83">
        <f>M71*10%</f>
        <v>952030.08000000007</v>
      </c>
      <c r="N74" s="142">
        <f t="shared" si="6"/>
        <v>72693637.513312951</v>
      </c>
    </row>
    <row r="75" spans="1:14" s="77" customFormat="1" ht="18" x14ac:dyDescent="0.2">
      <c r="A75" s="78" t="s">
        <v>190</v>
      </c>
      <c r="B75" s="83">
        <f>B71*10%</f>
        <v>6993366.7933129584</v>
      </c>
      <c r="C75" s="83">
        <f t="shared" ref="C75:G75" si="22">C71*10%</f>
        <v>10260000</v>
      </c>
      <c r="D75" s="83">
        <f t="shared" si="22"/>
        <v>9360000</v>
      </c>
      <c r="E75" s="83">
        <f t="shared" si="22"/>
        <v>9808030.0800000001</v>
      </c>
      <c r="F75" s="83">
        <f t="shared" si="22"/>
        <v>9808030.0800000001</v>
      </c>
      <c r="G75" s="83">
        <f t="shared" si="22"/>
        <v>10312030.08</v>
      </c>
      <c r="H75" s="83">
        <f>H71*10%</f>
        <v>952030.08000000007</v>
      </c>
      <c r="I75" s="83">
        <f t="shared" ref="I75:L75" si="23">I71*10%</f>
        <v>11392030.08</v>
      </c>
      <c r="J75" s="83">
        <f t="shared" si="23"/>
        <v>952030.08000000007</v>
      </c>
      <c r="K75" s="83">
        <f t="shared" si="23"/>
        <v>952030.08000000007</v>
      </c>
      <c r="L75" s="83">
        <f t="shared" si="23"/>
        <v>952030.08000000007</v>
      </c>
      <c r="M75" s="83">
        <f>M71*10%</f>
        <v>952030.08000000007</v>
      </c>
      <c r="N75" s="142">
        <f t="shared" si="6"/>
        <v>72693637.513312951</v>
      </c>
    </row>
    <row r="76" spans="1:14" s="77" customFormat="1" ht="18" x14ac:dyDescent="0.2">
      <c r="A76" s="78" t="s">
        <v>191</v>
      </c>
      <c r="B76" s="83">
        <f>B71*10%</f>
        <v>6993366.7933129584</v>
      </c>
      <c r="C76" s="83">
        <f t="shared" ref="C76:G76" si="24">C71*10%</f>
        <v>10260000</v>
      </c>
      <c r="D76" s="83">
        <f t="shared" si="24"/>
        <v>9360000</v>
      </c>
      <c r="E76" s="83">
        <f t="shared" si="24"/>
        <v>9808030.0800000001</v>
      </c>
      <c r="F76" s="83">
        <f t="shared" si="24"/>
        <v>9808030.0800000001</v>
      </c>
      <c r="G76" s="83">
        <f t="shared" si="24"/>
        <v>10312030.08</v>
      </c>
      <c r="H76" s="83">
        <f>H71*10%</f>
        <v>952030.08000000007</v>
      </c>
      <c r="I76" s="83">
        <f t="shared" ref="I76:L76" si="25">I71*10%</f>
        <v>11392030.08</v>
      </c>
      <c r="J76" s="83">
        <f t="shared" si="25"/>
        <v>952030.08000000007</v>
      </c>
      <c r="K76" s="83">
        <f t="shared" si="25"/>
        <v>952030.08000000007</v>
      </c>
      <c r="L76" s="83">
        <f t="shared" si="25"/>
        <v>952030.08000000007</v>
      </c>
      <c r="M76" s="83">
        <f>M71*10%</f>
        <v>952030.08000000007</v>
      </c>
      <c r="N76" s="142">
        <f>SUM(B76:M76)</f>
        <v>72693637.513312951</v>
      </c>
    </row>
    <row r="77" spans="1:14" x14ac:dyDescent="0.2">
      <c r="N77" s="77"/>
    </row>
    <row r="78" spans="1:14" x14ac:dyDescent="0.2">
      <c r="N78" s="77"/>
    </row>
    <row r="79" spans="1:14" x14ac:dyDescent="0.2">
      <c r="N79" s="7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0C6A-3316-9349-A440-BCAE5E5B4330}">
  <dimension ref="A1:P28"/>
  <sheetViews>
    <sheetView showGridLines="0" zoomScale="130" zoomScaleNormal="130" workbookViewId="0">
      <pane xSplit="2" topLeftCell="J1" activePane="topRight" state="frozen"/>
      <selection pane="topRight" activeCell="J1" sqref="J1:L1048576"/>
    </sheetView>
  </sheetViews>
  <sheetFormatPr baseColWidth="10" defaultColWidth="10.83203125" defaultRowHeight="13" x14ac:dyDescent="0.15"/>
  <cols>
    <col min="1" max="1" width="25.6640625" style="32" bestFit="1" customWidth="1"/>
    <col min="2" max="2" width="15.83203125" style="32" bestFit="1" customWidth="1"/>
    <col min="3" max="3" width="12.6640625" style="32" bestFit="1" customWidth="1"/>
    <col min="4" max="4" width="16.33203125" style="32" bestFit="1" customWidth="1"/>
    <col min="5" max="5" width="11.5" style="32" bestFit="1" customWidth="1"/>
    <col min="6" max="6" width="10.33203125" style="32" bestFit="1" customWidth="1"/>
    <col min="7" max="7" width="14.6640625" style="32" bestFit="1" customWidth="1"/>
    <col min="8" max="8" width="15.5" style="32" bestFit="1" customWidth="1"/>
    <col min="9" max="9" width="20.6640625" style="32" bestFit="1" customWidth="1"/>
    <col min="10" max="10" width="25.83203125" style="32" bestFit="1" customWidth="1"/>
    <col min="11" max="11" width="17.1640625" style="32" bestFit="1" customWidth="1"/>
    <col min="12" max="12" width="22.33203125" style="32" bestFit="1" customWidth="1"/>
    <col min="13" max="13" width="22.5" style="32" bestFit="1" customWidth="1"/>
    <col min="14" max="14" width="18" style="32" bestFit="1" customWidth="1"/>
    <col min="15" max="15" width="29.1640625" style="32" bestFit="1" customWidth="1"/>
    <col min="16" max="16" width="26.83203125" style="32" bestFit="1" customWidth="1"/>
    <col min="17" max="16384" width="10.83203125" style="32"/>
  </cols>
  <sheetData>
    <row r="1" spans="1:16" s="24" customFormat="1" ht="14" x14ac:dyDescent="0.2">
      <c r="A1" s="1" t="s">
        <v>0</v>
      </c>
      <c r="B1" s="1" t="s">
        <v>1</v>
      </c>
      <c r="C1" s="2" t="s">
        <v>2</v>
      </c>
      <c r="D1" s="2" t="s">
        <v>44</v>
      </c>
      <c r="E1" s="22" t="s">
        <v>101</v>
      </c>
      <c r="F1" s="22" t="s">
        <v>48</v>
      </c>
      <c r="G1" s="22" t="s">
        <v>18</v>
      </c>
      <c r="H1" s="22" t="s">
        <v>20</v>
      </c>
      <c r="I1" s="22" t="s">
        <v>21</v>
      </c>
      <c r="J1" s="22" t="s">
        <v>49</v>
      </c>
      <c r="K1" s="22" t="s">
        <v>50</v>
      </c>
      <c r="L1" s="22" t="s">
        <v>51</v>
      </c>
      <c r="M1" s="22" t="s">
        <v>53</v>
      </c>
      <c r="N1" s="22" t="s">
        <v>52</v>
      </c>
      <c r="O1" s="22" t="s">
        <v>54</v>
      </c>
      <c r="P1" s="23" t="s">
        <v>55</v>
      </c>
    </row>
    <row r="2" spans="1:16" s="6" customFormat="1" x14ac:dyDescent="0.15">
      <c r="A2" s="51" t="s">
        <v>22</v>
      </c>
      <c r="B2" s="51" t="s">
        <v>23</v>
      </c>
      <c r="C2" s="7">
        <v>65066</v>
      </c>
      <c r="D2" s="7" t="s">
        <v>45</v>
      </c>
      <c r="E2" s="8">
        <v>400</v>
      </c>
      <c r="F2" s="25">
        <v>12</v>
      </c>
      <c r="G2" s="26">
        <f>C2*E2</f>
        <v>26026400</v>
      </c>
      <c r="H2" s="27">
        <f t="shared" ref="H2:H13" si="0">+C2*E2*F2</f>
        <v>312316800</v>
      </c>
      <c r="I2" s="27">
        <f>H2-J2</f>
        <v>38354694.736842096</v>
      </c>
      <c r="J2" s="75">
        <f>H2/1.14</f>
        <v>273962105.2631579</v>
      </c>
      <c r="K2" s="75">
        <f>+J2*0.25</f>
        <v>68490526.315789476</v>
      </c>
      <c r="L2" s="75">
        <f>+J2-K2</f>
        <v>205471578.94736844</v>
      </c>
      <c r="M2" s="28">
        <v>0.9</v>
      </c>
      <c r="N2" s="28">
        <f>100%-M2</f>
        <v>9.9999999999999978E-2</v>
      </c>
      <c r="O2" s="27">
        <f>+L2*M2</f>
        <v>184924421.05263162</v>
      </c>
      <c r="P2" s="27">
        <f>L2*N2</f>
        <v>20547157.894736841</v>
      </c>
    </row>
    <row r="3" spans="1:16" s="6" customFormat="1" x14ac:dyDescent="0.15">
      <c r="A3" s="51" t="s">
        <v>24</v>
      </c>
      <c r="B3" s="51" t="s">
        <v>25</v>
      </c>
      <c r="C3" s="7">
        <v>144955</v>
      </c>
      <c r="D3" s="7" t="s">
        <v>45</v>
      </c>
      <c r="E3" s="8">
        <v>400</v>
      </c>
      <c r="F3" s="25">
        <v>12</v>
      </c>
      <c r="G3" s="26">
        <f t="shared" ref="G3:G13" si="1">C3*E3</f>
        <v>57982000</v>
      </c>
      <c r="H3" s="27">
        <f t="shared" si="0"/>
        <v>695784000</v>
      </c>
      <c r="I3" s="27">
        <f t="shared" ref="I3:I13" si="2">H3-J3</f>
        <v>85447157.894736767</v>
      </c>
      <c r="J3" s="75">
        <f t="shared" ref="J3:J13" si="3">H3/1.14</f>
        <v>610336842.10526323</v>
      </c>
      <c r="K3" s="75">
        <f t="shared" ref="K3:K13" si="4">+J3*0.25</f>
        <v>152584210.52631581</v>
      </c>
      <c r="L3" s="75">
        <f t="shared" ref="L3:L13" si="5">+J3-K3</f>
        <v>457752631.57894742</v>
      </c>
      <c r="M3" s="28">
        <v>0.9</v>
      </c>
      <c r="N3" s="28">
        <f t="shared" ref="N3:N13" si="6">100%-M3</f>
        <v>9.9999999999999978E-2</v>
      </c>
      <c r="O3" s="27">
        <f t="shared" ref="O3:O13" si="7">+L3*M3</f>
        <v>411977368.42105269</v>
      </c>
      <c r="P3" s="27">
        <f t="shared" ref="P3:P13" si="8">L3*N3</f>
        <v>45775263.157894731</v>
      </c>
    </row>
    <row r="4" spans="1:16" s="6" customFormat="1" ht="14" x14ac:dyDescent="0.15">
      <c r="A4" s="52" t="s">
        <v>26</v>
      </c>
      <c r="B4" s="52" t="s">
        <v>27</v>
      </c>
      <c r="C4" s="9">
        <v>190018</v>
      </c>
      <c r="D4" s="7" t="s">
        <v>45</v>
      </c>
      <c r="E4" s="8">
        <v>400</v>
      </c>
      <c r="F4" s="25">
        <v>12</v>
      </c>
      <c r="G4" s="26">
        <f t="shared" si="1"/>
        <v>76007200</v>
      </c>
      <c r="H4" s="27">
        <f t="shared" si="0"/>
        <v>912086400</v>
      </c>
      <c r="I4" s="27">
        <f t="shared" si="2"/>
        <v>112010610.52631569</v>
      </c>
      <c r="J4" s="75">
        <f t="shared" si="3"/>
        <v>800075789.47368431</v>
      </c>
      <c r="K4" s="75">
        <f t="shared" si="4"/>
        <v>200018947.36842108</v>
      </c>
      <c r="L4" s="75">
        <f t="shared" si="5"/>
        <v>600056842.10526323</v>
      </c>
      <c r="M4" s="28">
        <v>0.9</v>
      </c>
      <c r="N4" s="28">
        <f t="shared" si="6"/>
        <v>9.9999999999999978E-2</v>
      </c>
      <c r="O4" s="27">
        <f t="shared" si="7"/>
        <v>540051157.89473689</v>
      </c>
      <c r="P4" s="27">
        <f t="shared" si="8"/>
        <v>60005684.21052631</v>
      </c>
    </row>
    <row r="5" spans="1:16" s="6" customFormat="1" ht="14" x14ac:dyDescent="0.15">
      <c r="A5" s="52" t="s">
        <v>28</v>
      </c>
      <c r="B5" s="52" t="s">
        <v>29</v>
      </c>
      <c r="C5" s="9">
        <v>732361</v>
      </c>
      <c r="D5" s="7" t="s">
        <v>45</v>
      </c>
      <c r="E5" s="8">
        <v>400</v>
      </c>
      <c r="F5" s="25">
        <v>12</v>
      </c>
      <c r="G5" s="26">
        <f t="shared" si="1"/>
        <v>292944400</v>
      </c>
      <c r="H5" s="27">
        <f t="shared" si="0"/>
        <v>3515332800</v>
      </c>
      <c r="I5" s="27">
        <f t="shared" si="2"/>
        <v>431707536.84210491</v>
      </c>
      <c r="J5" s="75">
        <f t="shared" si="3"/>
        <v>3083625263.1578951</v>
      </c>
      <c r="K5" s="75">
        <f t="shared" si="4"/>
        <v>770906315.78947377</v>
      </c>
      <c r="L5" s="75">
        <f t="shared" si="5"/>
        <v>2312718947.3684216</v>
      </c>
      <c r="M5" s="28">
        <v>0.9</v>
      </c>
      <c r="N5" s="28">
        <f t="shared" si="6"/>
        <v>9.9999999999999978E-2</v>
      </c>
      <c r="O5" s="27">
        <f t="shared" si="7"/>
        <v>2081447052.6315794</v>
      </c>
      <c r="P5" s="27">
        <f t="shared" si="8"/>
        <v>231271894.7368421</v>
      </c>
    </row>
    <row r="6" spans="1:16" x14ac:dyDescent="0.15">
      <c r="A6" s="53" t="s">
        <v>30</v>
      </c>
      <c r="B6" s="53" t="s">
        <v>31</v>
      </c>
      <c r="C6" s="4">
        <v>8681</v>
      </c>
      <c r="D6" s="4" t="s">
        <v>47</v>
      </c>
      <c r="E6" s="5">
        <v>400</v>
      </c>
      <c r="F6" s="21">
        <v>12</v>
      </c>
      <c r="G6" s="29">
        <f t="shared" si="1"/>
        <v>3472400</v>
      </c>
      <c r="H6" s="30">
        <f t="shared" si="0"/>
        <v>41668800</v>
      </c>
      <c r="I6" s="30">
        <f t="shared" si="2"/>
        <v>5117221.0526315793</v>
      </c>
      <c r="J6" s="76">
        <f t="shared" si="3"/>
        <v>36551578.947368421</v>
      </c>
      <c r="K6" s="76">
        <f t="shared" si="4"/>
        <v>9137894.7368421052</v>
      </c>
      <c r="L6" s="76">
        <f t="shared" si="5"/>
        <v>27413684.210526317</v>
      </c>
      <c r="M6" s="31">
        <v>0.2</v>
      </c>
      <c r="N6" s="31">
        <f t="shared" si="6"/>
        <v>0.8</v>
      </c>
      <c r="O6" s="30">
        <f t="shared" si="7"/>
        <v>5482736.8421052638</v>
      </c>
      <c r="P6" s="30">
        <f t="shared" si="8"/>
        <v>21930947.368421055</v>
      </c>
    </row>
    <row r="7" spans="1:16" x14ac:dyDescent="0.15">
      <c r="A7" s="53" t="s">
        <v>32</v>
      </c>
      <c r="B7" s="53" t="s">
        <v>33</v>
      </c>
      <c r="C7" s="4">
        <v>19045</v>
      </c>
      <c r="D7" s="4" t="s">
        <v>47</v>
      </c>
      <c r="E7" s="5">
        <v>400</v>
      </c>
      <c r="F7" s="21">
        <v>12</v>
      </c>
      <c r="G7" s="29">
        <f t="shared" si="1"/>
        <v>7618000</v>
      </c>
      <c r="H7" s="30">
        <f t="shared" si="0"/>
        <v>91416000</v>
      </c>
      <c r="I7" s="30">
        <f t="shared" si="2"/>
        <v>11226526.315789461</v>
      </c>
      <c r="J7" s="76">
        <f t="shared" si="3"/>
        <v>80189473.684210539</v>
      </c>
      <c r="K7" s="76">
        <f t="shared" si="4"/>
        <v>20047368.421052635</v>
      </c>
      <c r="L7" s="76">
        <f t="shared" si="5"/>
        <v>60142105.263157904</v>
      </c>
      <c r="M7" s="31">
        <v>0.2</v>
      </c>
      <c r="N7" s="31">
        <f t="shared" si="6"/>
        <v>0.8</v>
      </c>
      <c r="O7" s="30">
        <f t="shared" si="7"/>
        <v>12028421.052631581</v>
      </c>
      <c r="P7" s="30">
        <f t="shared" si="8"/>
        <v>48113684.210526325</v>
      </c>
    </row>
    <row r="8" spans="1:16" x14ac:dyDescent="0.15">
      <c r="A8" s="53" t="s">
        <v>34</v>
      </c>
      <c r="B8" s="53" t="s">
        <v>35</v>
      </c>
      <c r="C8" s="4">
        <v>19762</v>
      </c>
      <c r="D8" s="4" t="s">
        <v>46</v>
      </c>
      <c r="E8" s="5">
        <v>400</v>
      </c>
      <c r="F8" s="21">
        <v>12</v>
      </c>
      <c r="G8" s="29">
        <f t="shared" si="1"/>
        <v>7904800</v>
      </c>
      <c r="H8" s="30">
        <f t="shared" si="0"/>
        <v>94857600</v>
      </c>
      <c r="I8" s="30">
        <f t="shared" si="2"/>
        <v>11649178.947368413</v>
      </c>
      <c r="J8" s="76">
        <f t="shared" si="3"/>
        <v>83208421.052631587</v>
      </c>
      <c r="K8" s="76">
        <f t="shared" si="4"/>
        <v>20802105.263157897</v>
      </c>
      <c r="L8" s="76">
        <f t="shared" si="5"/>
        <v>62406315.78947369</v>
      </c>
      <c r="M8" s="31">
        <v>0.2</v>
      </c>
      <c r="N8" s="31">
        <f t="shared" si="6"/>
        <v>0.8</v>
      </c>
      <c r="O8" s="30">
        <f t="shared" si="7"/>
        <v>12481263.157894738</v>
      </c>
      <c r="P8" s="30">
        <f t="shared" si="8"/>
        <v>49925052.631578952</v>
      </c>
    </row>
    <row r="9" spans="1:16" x14ac:dyDescent="0.15">
      <c r="A9" s="53" t="s">
        <v>34</v>
      </c>
      <c r="B9" s="53" t="s">
        <v>36</v>
      </c>
      <c r="C9" s="4">
        <v>14042</v>
      </c>
      <c r="D9" s="4" t="s">
        <v>46</v>
      </c>
      <c r="E9" s="5">
        <v>400</v>
      </c>
      <c r="F9" s="21">
        <v>12</v>
      </c>
      <c r="G9" s="29">
        <f t="shared" si="1"/>
        <v>5616800</v>
      </c>
      <c r="H9" s="30">
        <f t="shared" si="0"/>
        <v>67401600</v>
      </c>
      <c r="I9" s="30">
        <f t="shared" si="2"/>
        <v>8277389.4736842066</v>
      </c>
      <c r="J9" s="76">
        <f t="shared" si="3"/>
        <v>59124210.526315793</v>
      </c>
      <c r="K9" s="76">
        <f t="shared" si="4"/>
        <v>14781052.631578948</v>
      </c>
      <c r="L9" s="76">
        <f t="shared" si="5"/>
        <v>44343157.894736841</v>
      </c>
      <c r="M9" s="31">
        <v>0.2</v>
      </c>
      <c r="N9" s="31">
        <f t="shared" si="6"/>
        <v>0.8</v>
      </c>
      <c r="O9" s="30">
        <f t="shared" si="7"/>
        <v>8868631.578947369</v>
      </c>
      <c r="P9" s="30">
        <f t="shared" si="8"/>
        <v>35474526.315789476</v>
      </c>
    </row>
    <row r="10" spans="1:16" x14ac:dyDescent="0.15">
      <c r="A10" s="53" t="s">
        <v>34</v>
      </c>
      <c r="B10" s="53" t="s">
        <v>37</v>
      </c>
      <c r="C10" s="4">
        <v>27014</v>
      </c>
      <c r="D10" s="4" t="s">
        <v>46</v>
      </c>
      <c r="E10" s="5">
        <v>400</v>
      </c>
      <c r="F10" s="21">
        <v>12</v>
      </c>
      <c r="G10" s="29">
        <f t="shared" si="1"/>
        <v>10805600</v>
      </c>
      <c r="H10" s="30">
        <f t="shared" si="0"/>
        <v>129667200</v>
      </c>
      <c r="I10" s="30">
        <f t="shared" si="2"/>
        <v>15924042.105263144</v>
      </c>
      <c r="J10" s="76">
        <f t="shared" si="3"/>
        <v>113743157.89473686</v>
      </c>
      <c r="K10" s="76">
        <f t="shared" si="4"/>
        <v>28435789.473684214</v>
      </c>
      <c r="L10" s="76">
        <f t="shared" si="5"/>
        <v>85307368.421052635</v>
      </c>
      <c r="M10" s="31">
        <v>0.2</v>
      </c>
      <c r="N10" s="31">
        <f t="shared" si="6"/>
        <v>0.8</v>
      </c>
      <c r="O10" s="30">
        <f t="shared" si="7"/>
        <v>17061473.684210528</v>
      </c>
      <c r="P10" s="30">
        <f t="shared" si="8"/>
        <v>68245894.736842111</v>
      </c>
    </row>
    <row r="11" spans="1:16" x14ac:dyDescent="0.15">
      <c r="A11" s="53" t="s">
        <v>38</v>
      </c>
      <c r="B11" s="53" t="s">
        <v>39</v>
      </c>
      <c r="C11" s="4">
        <v>87215</v>
      </c>
      <c r="D11" s="4" t="s">
        <v>46</v>
      </c>
      <c r="E11" s="5">
        <v>400</v>
      </c>
      <c r="F11" s="21">
        <v>12</v>
      </c>
      <c r="G11" s="29">
        <f t="shared" si="1"/>
        <v>34886000</v>
      </c>
      <c r="H11" s="30">
        <f t="shared" si="0"/>
        <v>418632000</v>
      </c>
      <c r="I11" s="30">
        <f t="shared" si="2"/>
        <v>51410947.368421018</v>
      </c>
      <c r="J11" s="76">
        <f t="shared" si="3"/>
        <v>367221052.63157898</v>
      </c>
      <c r="K11" s="76">
        <f t="shared" si="4"/>
        <v>91805263.157894745</v>
      </c>
      <c r="L11" s="76">
        <f t="shared" si="5"/>
        <v>275415789.47368425</v>
      </c>
      <c r="M11" s="31">
        <v>0.2</v>
      </c>
      <c r="N11" s="31">
        <f t="shared" si="6"/>
        <v>0.8</v>
      </c>
      <c r="O11" s="30">
        <f t="shared" si="7"/>
        <v>55083157.894736856</v>
      </c>
      <c r="P11" s="30">
        <f t="shared" si="8"/>
        <v>220332631.57894742</v>
      </c>
    </row>
    <row r="12" spans="1:16" x14ac:dyDescent="0.15">
      <c r="A12" s="53" t="s">
        <v>40</v>
      </c>
      <c r="B12" s="53" t="s">
        <v>41</v>
      </c>
      <c r="C12" s="4">
        <v>199285</v>
      </c>
      <c r="D12" s="4" t="s">
        <v>46</v>
      </c>
      <c r="E12" s="5">
        <v>400</v>
      </c>
      <c r="F12" s="21">
        <v>12</v>
      </c>
      <c r="G12" s="29">
        <f t="shared" si="1"/>
        <v>79714000</v>
      </c>
      <c r="H12" s="30">
        <f t="shared" si="0"/>
        <v>956568000</v>
      </c>
      <c r="I12" s="30">
        <f t="shared" si="2"/>
        <v>117473263.15789461</v>
      </c>
      <c r="J12" s="76">
        <f t="shared" si="3"/>
        <v>839094736.84210539</v>
      </c>
      <c r="K12" s="76">
        <f t="shared" si="4"/>
        <v>209773684.21052635</v>
      </c>
      <c r="L12" s="76">
        <f t="shared" si="5"/>
        <v>629321052.63157904</v>
      </c>
      <c r="M12" s="31">
        <v>0.1</v>
      </c>
      <c r="N12" s="31">
        <f t="shared" si="6"/>
        <v>0.9</v>
      </c>
      <c r="O12" s="30">
        <f t="shared" si="7"/>
        <v>62932105.263157904</v>
      </c>
      <c r="P12" s="30">
        <f t="shared" si="8"/>
        <v>566388947.3684212</v>
      </c>
    </row>
    <row r="13" spans="1:16" x14ac:dyDescent="0.15">
      <c r="A13" s="53" t="s">
        <v>42</v>
      </c>
      <c r="B13" s="53" t="s">
        <v>43</v>
      </c>
      <c r="C13" s="4">
        <v>247068</v>
      </c>
      <c r="D13" s="4" t="s">
        <v>47</v>
      </c>
      <c r="E13" s="5">
        <v>400</v>
      </c>
      <c r="F13" s="21">
        <v>12</v>
      </c>
      <c r="G13" s="29">
        <f t="shared" si="1"/>
        <v>98827200</v>
      </c>
      <c r="H13" s="30">
        <f t="shared" si="0"/>
        <v>1185926400</v>
      </c>
      <c r="I13" s="30">
        <f t="shared" si="2"/>
        <v>145640084.21052623</v>
      </c>
      <c r="J13" s="76">
        <f t="shared" si="3"/>
        <v>1040286315.7894738</v>
      </c>
      <c r="K13" s="76">
        <f t="shared" si="4"/>
        <v>260071578.94736844</v>
      </c>
      <c r="L13" s="76">
        <f t="shared" si="5"/>
        <v>780214736.84210539</v>
      </c>
      <c r="M13" s="31">
        <v>0.2</v>
      </c>
      <c r="N13" s="31">
        <f t="shared" si="6"/>
        <v>0.8</v>
      </c>
      <c r="O13" s="30">
        <f t="shared" si="7"/>
        <v>156042947.36842108</v>
      </c>
      <c r="P13" s="30">
        <f t="shared" si="8"/>
        <v>624171789.47368431</v>
      </c>
    </row>
    <row r="14" spans="1:16" x14ac:dyDescent="0.15">
      <c r="A14" s="95"/>
      <c r="B14" s="96"/>
      <c r="C14" s="49">
        <f>SUM(C2:C13)</f>
        <v>1754512</v>
      </c>
      <c r="D14" s="97"/>
      <c r="E14" s="98"/>
      <c r="F14" s="99"/>
      <c r="G14" s="49">
        <f>SUM(G2:G13)</f>
        <v>701804800</v>
      </c>
      <c r="H14" s="95"/>
      <c r="I14" s="100"/>
      <c r="J14" s="96"/>
      <c r="K14" s="49">
        <f>SUM(K2:K13)</f>
        <v>1846854736.8421056</v>
      </c>
      <c r="L14" s="49">
        <f>SUM(L2:L13)</f>
        <v>5540564210.5263176</v>
      </c>
      <c r="M14" s="95"/>
      <c r="N14" s="96"/>
      <c r="O14" s="50">
        <f>SUM(O2:O13)</f>
        <v>3548380736.8421054</v>
      </c>
      <c r="P14" s="50">
        <f>SUM(P2:P13)</f>
        <v>1992183473.6842108</v>
      </c>
    </row>
    <row r="15" spans="1:16" x14ac:dyDescent="0.15">
      <c r="C15" s="33"/>
      <c r="D15" s="33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15">
      <c r="G16" s="6"/>
      <c r="H16" s="6"/>
      <c r="I16" s="6"/>
      <c r="K16" s="6"/>
      <c r="L16" s="34"/>
      <c r="M16" s="6"/>
      <c r="N16" s="6"/>
      <c r="O16" s="6"/>
      <c r="P16" s="6"/>
    </row>
    <row r="22" spans="14:15" x14ac:dyDescent="0.15">
      <c r="O22" s="35"/>
    </row>
    <row r="23" spans="14:15" x14ac:dyDescent="0.15">
      <c r="O23" s="35"/>
    </row>
    <row r="24" spans="14:15" x14ac:dyDescent="0.15">
      <c r="O24" s="35"/>
    </row>
    <row r="25" spans="14:15" x14ac:dyDescent="0.15">
      <c r="O25" s="35"/>
    </row>
    <row r="27" spans="14:15" x14ac:dyDescent="0.15">
      <c r="O27" s="35"/>
    </row>
    <row r="28" spans="14:15" x14ac:dyDescent="0.15">
      <c r="N28" s="36"/>
    </row>
  </sheetData>
  <autoFilter ref="A1:P1" xr:uid="{A4FD0C6A-3316-9349-A440-BCAE5E5B4330}"/>
  <mergeCells count="4">
    <mergeCell ref="A14:B14"/>
    <mergeCell ref="D14:F14"/>
    <mergeCell ref="H14:J14"/>
    <mergeCell ref="M14:N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B682-D0BA-45DC-85D4-00B65EC0285F}">
  <dimension ref="A1:E10"/>
  <sheetViews>
    <sheetView showGridLines="0" workbookViewId="0">
      <selection activeCell="E15" sqref="E15:E16"/>
    </sheetView>
  </sheetViews>
  <sheetFormatPr baseColWidth="10" defaultColWidth="11.5" defaultRowHeight="13" x14ac:dyDescent="0.15"/>
  <cols>
    <col min="1" max="1" width="8.83203125" style="3" bestFit="1" customWidth="1"/>
    <col min="2" max="2" width="30.6640625" style="3" bestFit="1" customWidth="1"/>
    <col min="3" max="3" width="44.1640625" style="3" bestFit="1" customWidth="1"/>
    <col min="4" max="4" width="8.6640625" style="3" bestFit="1" customWidth="1"/>
    <col min="5" max="5" width="9.6640625" style="3" bestFit="1" customWidth="1"/>
    <col min="6" max="16384" width="11.5" style="3"/>
  </cols>
  <sheetData>
    <row r="1" spans="1:5" ht="14" x14ac:dyDescent="0.15">
      <c r="A1" s="22" t="s">
        <v>77</v>
      </c>
      <c r="B1" s="22" t="s">
        <v>78</v>
      </c>
      <c r="C1" s="22" t="s">
        <v>79</v>
      </c>
      <c r="D1" s="40" t="s">
        <v>80</v>
      </c>
      <c r="E1" s="22" t="s">
        <v>81</v>
      </c>
    </row>
    <row r="2" spans="1:5" ht="28" x14ac:dyDescent="0.15">
      <c r="A2" s="41" t="s">
        <v>82</v>
      </c>
      <c r="B2" s="37" t="s">
        <v>83</v>
      </c>
      <c r="C2" s="37" t="s">
        <v>84</v>
      </c>
      <c r="D2" s="38">
        <v>304000</v>
      </c>
      <c r="E2" s="42">
        <v>361760</v>
      </c>
    </row>
    <row r="3" spans="1:5" ht="28" x14ac:dyDescent="0.15">
      <c r="A3" s="41" t="s">
        <v>85</v>
      </c>
      <c r="B3" s="37" t="s">
        <v>86</v>
      </c>
      <c r="C3" s="37" t="s">
        <v>87</v>
      </c>
      <c r="D3" s="38">
        <v>199000</v>
      </c>
      <c r="E3" s="42">
        <v>236810</v>
      </c>
    </row>
    <row r="4" spans="1:5" ht="14" x14ac:dyDescent="0.15">
      <c r="A4" s="41" t="s">
        <v>85</v>
      </c>
      <c r="B4" s="37" t="s">
        <v>88</v>
      </c>
      <c r="C4" s="37" t="s">
        <v>89</v>
      </c>
      <c r="D4" s="38">
        <v>189000</v>
      </c>
      <c r="E4" s="42">
        <v>224910</v>
      </c>
    </row>
    <row r="5" spans="1:5" ht="42" x14ac:dyDescent="0.15">
      <c r="A5" s="41" t="s">
        <v>90</v>
      </c>
      <c r="B5" s="41" t="s">
        <v>91</v>
      </c>
      <c r="C5" s="41" t="s">
        <v>92</v>
      </c>
      <c r="D5" s="38">
        <v>174000</v>
      </c>
      <c r="E5" s="42">
        <v>207060</v>
      </c>
    </row>
    <row r="6" spans="1:5" ht="28" x14ac:dyDescent="0.15">
      <c r="A6" s="41" t="s">
        <v>85</v>
      </c>
      <c r="B6" s="41" t="s">
        <v>93</v>
      </c>
      <c r="C6" s="41" t="s">
        <v>94</v>
      </c>
      <c r="D6" s="38">
        <v>169000</v>
      </c>
      <c r="E6" s="42">
        <v>201110</v>
      </c>
    </row>
    <row r="7" spans="1:5" ht="28" x14ac:dyDescent="0.15">
      <c r="A7" s="41" t="s">
        <v>90</v>
      </c>
      <c r="B7" s="41" t="s">
        <v>91</v>
      </c>
      <c r="C7" s="41" t="s">
        <v>95</v>
      </c>
      <c r="D7" s="38">
        <v>164000</v>
      </c>
      <c r="E7" s="42">
        <v>195160</v>
      </c>
    </row>
    <row r="8" spans="1:5" ht="28" x14ac:dyDescent="0.15">
      <c r="A8" s="41" t="s">
        <v>90</v>
      </c>
      <c r="B8" s="41" t="s">
        <v>96</v>
      </c>
      <c r="C8" s="41" t="s">
        <v>95</v>
      </c>
      <c r="D8" s="42">
        <v>154000</v>
      </c>
      <c r="E8" s="42">
        <v>183260</v>
      </c>
    </row>
    <row r="9" spans="1:5" ht="28" x14ac:dyDescent="0.15">
      <c r="A9" s="39" t="s">
        <v>85</v>
      </c>
      <c r="B9" s="37" t="s">
        <v>97</v>
      </c>
      <c r="C9" s="37" t="s">
        <v>98</v>
      </c>
      <c r="D9" s="38">
        <v>129000</v>
      </c>
      <c r="E9" s="42">
        <v>153510</v>
      </c>
    </row>
    <row r="10" spans="1:5" ht="28" x14ac:dyDescent="0.15">
      <c r="A10" s="39" t="s">
        <v>85</v>
      </c>
      <c r="B10" s="37" t="s">
        <v>99</v>
      </c>
      <c r="C10" s="37" t="s">
        <v>100</v>
      </c>
      <c r="D10" s="38">
        <v>105000</v>
      </c>
      <c r="E10" s="42">
        <v>124950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3D1-A24A-4E2F-9E6A-C476146167A5}">
  <dimension ref="A1:L114"/>
  <sheetViews>
    <sheetView showGridLines="0" zoomScale="268" zoomScaleNormal="100" workbookViewId="0">
      <selection activeCell="K4" sqref="K4"/>
    </sheetView>
  </sheetViews>
  <sheetFormatPr baseColWidth="10" defaultColWidth="11.5" defaultRowHeight="13" x14ac:dyDescent="0.2"/>
  <cols>
    <col min="1" max="1" width="38.1640625" style="10" bestFit="1" customWidth="1"/>
    <col min="2" max="2" width="12.6640625" style="10" bestFit="1" customWidth="1"/>
    <col min="3" max="3" width="8.33203125" style="10" bestFit="1" customWidth="1"/>
    <col min="4" max="4" width="6" style="10" bestFit="1" customWidth="1"/>
    <col min="5" max="5" width="11.1640625" style="10" customWidth="1"/>
    <col min="6" max="6" width="11.6640625" style="10" customWidth="1"/>
    <col min="7" max="7" width="10.6640625" style="10" customWidth="1"/>
    <col min="8" max="9" width="11.6640625" style="10" customWidth="1"/>
    <col min="10" max="10" width="12.6640625" style="92" customWidth="1"/>
    <col min="11" max="11" width="11.5" style="10"/>
    <col min="12" max="12" width="32.33203125" style="10" bestFit="1" customWidth="1"/>
    <col min="13" max="13" width="11.33203125" style="10" customWidth="1"/>
    <col min="14" max="16384" width="11.5" style="10"/>
  </cols>
  <sheetData>
    <row r="1" spans="1:12" x14ac:dyDescent="0.2">
      <c r="A1" s="102" t="s">
        <v>76</v>
      </c>
      <c r="B1" s="102"/>
      <c r="C1" s="102"/>
      <c r="D1" s="102"/>
      <c r="E1" s="102"/>
      <c r="F1" s="102"/>
      <c r="G1" s="102"/>
      <c r="H1" s="102"/>
      <c r="I1" s="102"/>
      <c r="J1" s="88"/>
    </row>
    <row r="2" spans="1:12" x14ac:dyDescent="0.2">
      <c r="A2" s="11" t="s">
        <v>59</v>
      </c>
      <c r="B2" s="11" t="s">
        <v>70</v>
      </c>
      <c r="C2" s="11" t="s">
        <v>62</v>
      </c>
      <c r="D2" s="11" t="s">
        <v>48</v>
      </c>
      <c r="E2" s="12" t="s">
        <v>63</v>
      </c>
      <c r="F2" s="12" t="s">
        <v>69</v>
      </c>
      <c r="G2" s="12" t="s">
        <v>64</v>
      </c>
      <c r="H2" s="12" t="s">
        <v>65</v>
      </c>
      <c r="I2" s="12" t="s">
        <v>4</v>
      </c>
      <c r="J2" s="88" t="s">
        <v>216</v>
      </c>
    </row>
    <row r="3" spans="1:12" x14ac:dyDescent="0.2">
      <c r="A3" s="13" t="s">
        <v>56</v>
      </c>
      <c r="B3" s="5" t="s">
        <v>71</v>
      </c>
      <c r="C3" s="5">
        <v>1</v>
      </c>
      <c r="D3" s="5">
        <v>12</v>
      </c>
      <c r="E3" s="14">
        <v>8000000</v>
      </c>
      <c r="F3" s="14">
        <f>+E3/1.6</f>
        <v>5000000</v>
      </c>
      <c r="G3" s="14">
        <v>2000000</v>
      </c>
      <c r="H3" s="14">
        <f>+E3+G3</f>
        <v>10000000</v>
      </c>
      <c r="I3" s="14">
        <f>+H3*C3*D3</f>
        <v>120000000</v>
      </c>
      <c r="J3" s="93">
        <v>44777</v>
      </c>
      <c r="K3" s="10" t="s">
        <v>192</v>
      </c>
      <c r="L3" s="10" t="s">
        <v>193</v>
      </c>
    </row>
    <row r="4" spans="1:12" x14ac:dyDescent="0.2">
      <c r="A4" s="86" t="s">
        <v>144</v>
      </c>
      <c r="B4" s="5" t="s">
        <v>71</v>
      </c>
      <c r="C4" s="5">
        <v>1</v>
      </c>
      <c r="D4" s="5">
        <v>6</v>
      </c>
      <c r="E4" s="14">
        <v>3500000</v>
      </c>
      <c r="F4" s="14">
        <f t="shared" ref="F4:F36" si="0">+E4/1.6</f>
        <v>2187500</v>
      </c>
      <c r="G4" s="14"/>
      <c r="H4" s="14">
        <f>+E4+G4</f>
        <v>3500000</v>
      </c>
      <c r="I4" s="14">
        <f t="shared" ref="I4:I35" si="1">+H4*C4*D4</f>
        <v>21000000</v>
      </c>
      <c r="J4" s="93"/>
      <c r="K4" s="15" t="s">
        <v>194</v>
      </c>
      <c r="L4" s="10" t="s">
        <v>195</v>
      </c>
    </row>
    <row r="5" spans="1:12" ht="16" x14ac:dyDescent="0.2">
      <c r="A5" s="89" t="s">
        <v>167</v>
      </c>
      <c r="B5" s="5" t="s">
        <v>71</v>
      </c>
      <c r="C5" s="5">
        <v>1</v>
      </c>
      <c r="D5" s="5">
        <v>12</v>
      </c>
      <c r="E5" s="14">
        <v>5000000</v>
      </c>
      <c r="F5" s="14">
        <f t="shared" si="0"/>
        <v>3125000</v>
      </c>
      <c r="G5" s="14"/>
      <c r="H5" s="14">
        <f>+E5+G5</f>
        <v>5000000</v>
      </c>
      <c r="I5" s="14">
        <f t="shared" si="1"/>
        <v>60000000</v>
      </c>
      <c r="J5" s="93">
        <v>44777</v>
      </c>
      <c r="K5" s="15" t="s">
        <v>196</v>
      </c>
      <c r="L5" s="10" t="s">
        <v>198</v>
      </c>
    </row>
    <row r="6" spans="1:12" ht="15" customHeight="1" x14ac:dyDescent="0.2">
      <c r="A6" s="86" t="s">
        <v>168</v>
      </c>
      <c r="B6" s="5" t="s">
        <v>71</v>
      </c>
      <c r="C6" s="5">
        <v>1</v>
      </c>
      <c r="D6" s="5">
        <v>12</v>
      </c>
      <c r="E6" s="14">
        <v>5000000</v>
      </c>
      <c r="F6" s="14">
        <f t="shared" si="0"/>
        <v>3125000</v>
      </c>
      <c r="G6" s="14"/>
      <c r="H6" s="14">
        <f t="shared" ref="H6:H7" si="2">+E6+G6</f>
        <v>5000000</v>
      </c>
      <c r="I6" s="14">
        <f t="shared" ref="I6:I7" si="3">+H6*C6*D6</f>
        <v>60000000</v>
      </c>
      <c r="J6" s="93">
        <v>44777</v>
      </c>
      <c r="K6" s="15" t="s">
        <v>200</v>
      </c>
      <c r="L6" s="129" t="s">
        <v>199</v>
      </c>
    </row>
    <row r="7" spans="1:12" ht="20" customHeight="1" x14ac:dyDescent="0.2">
      <c r="A7" s="89" t="s">
        <v>169</v>
      </c>
      <c r="B7" s="5" t="s">
        <v>71</v>
      </c>
      <c r="C7" s="5">
        <v>1</v>
      </c>
      <c r="D7" s="5">
        <v>12</v>
      </c>
      <c r="E7" s="14">
        <v>5000000</v>
      </c>
      <c r="F7" s="14">
        <f t="shared" si="0"/>
        <v>3125000</v>
      </c>
      <c r="G7" s="14"/>
      <c r="H7" s="14">
        <f t="shared" si="2"/>
        <v>5000000</v>
      </c>
      <c r="I7" s="14">
        <f t="shared" si="3"/>
        <v>60000000</v>
      </c>
      <c r="J7" s="93"/>
      <c r="K7" s="15" t="s">
        <v>197</v>
      </c>
      <c r="L7" s="130"/>
    </row>
    <row r="8" spans="1:12" x14ac:dyDescent="0.2">
      <c r="A8" s="13" t="s">
        <v>151</v>
      </c>
      <c r="B8" s="5" t="s">
        <v>72</v>
      </c>
      <c r="C8" s="5">
        <v>1</v>
      </c>
      <c r="D8" s="5">
        <v>12</v>
      </c>
      <c r="E8" s="14">
        <v>6400000</v>
      </c>
      <c r="F8" s="14">
        <f t="shared" si="0"/>
        <v>4000000</v>
      </c>
      <c r="G8" s="14">
        <v>1000000</v>
      </c>
      <c r="H8" s="14">
        <f>+E8+G8</f>
        <v>7400000</v>
      </c>
      <c r="I8" s="14">
        <f t="shared" si="1"/>
        <v>88800000</v>
      </c>
      <c r="J8" s="93">
        <v>44777</v>
      </c>
      <c r="K8" s="15" t="s">
        <v>200</v>
      </c>
    </row>
    <row r="9" spans="1:12" x14ac:dyDescent="0.2">
      <c r="A9" s="13" t="s">
        <v>152</v>
      </c>
      <c r="B9" s="5" t="s">
        <v>72</v>
      </c>
      <c r="C9" s="5">
        <v>1</v>
      </c>
      <c r="D9" s="5">
        <v>12</v>
      </c>
      <c r="E9" s="14">
        <v>6400000</v>
      </c>
      <c r="F9" s="14">
        <f t="shared" si="0"/>
        <v>4000000</v>
      </c>
      <c r="G9" s="14">
        <v>1000000</v>
      </c>
      <c r="H9" s="14">
        <f t="shared" ref="H9:H19" si="4">+E9+G9</f>
        <v>7400000</v>
      </c>
      <c r="I9" s="14">
        <f t="shared" ref="I9:I19" si="5">+H9*C9*D9</f>
        <v>88800000</v>
      </c>
      <c r="J9" s="93">
        <v>44824</v>
      </c>
      <c r="K9" s="15" t="s">
        <v>201</v>
      </c>
    </row>
    <row r="10" spans="1:12" x14ac:dyDescent="0.2">
      <c r="A10" s="16" t="s">
        <v>153</v>
      </c>
      <c r="B10" s="5" t="s">
        <v>72</v>
      </c>
      <c r="C10" s="5">
        <v>1</v>
      </c>
      <c r="D10" s="5">
        <v>11</v>
      </c>
      <c r="E10" s="14">
        <v>6400000</v>
      </c>
      <c r="F10" s="14">
        <f t="shared" si="0"/>
        <v>4000000</v>
      </c>
      <c r="G10" s="14">
        <v>1000000</v>
      </c>
      <c r="H10" s="14">
        <f t="shared" si="4"/>
        <v>7400000</v>
      </c>
      <c r="I10" s="14">
        <f t="shared" si="5"/>
        <v>81400000</v>
      </c>
      <c r="J10" s="93">
        <v>44824</v>
      </c>
      <c r="K10" s="15" t="s">
        <v>211</v>
      </c>
      <c r="L10" s="10" t="s">
        <v>212</v>
      </c>
    </row>
    <row r="11" spans="1:12" x14ac:dyDescent="0.2">
      <c r="A11" s="86" t="s">
        <v>154</v>
      </c>
      <c r="B11" s="5" t="s">
        <v>72</v>
      </c>
      <c r="C11" s="5">
        <v>1</v>
      </c>
      <c r="D11" s="5">
        <v>11</v>
      </c>
      <c r="E11" s="14">
        <v>6400000</v>
      </c>
      <c r="F11" s="14">
        <f t="shared" si="0"/>
        <v>4000000</v>
      </c>
      <c r="G11" s="14">
        <v>1000000</v>
      </c>
      <c r="H11" s="14">
        <f t="shared" si="4"/>
        <v>7400000</v>
      </c>
      <c r="I11" s="14">
        <f t="shared" si="5"/>
        <v>81400000</v>
      </c>
      <c r="J11" s="93"/>
      <c r="K11" s="15" t="s">
        <v>197</v>
      </c>
    </row>
    <row r="12" spans="1:12" ht="16" x14ac:dyDescent="0.2">
      <c r="A12" s="89" t="s">
        <v>155</v>
      </c>
      <c r="B12" s="5" t="s">
        <v>72</v>
      </c>
      <c r="C12" s="5">
        <v>1</v>
      </c>
      <c r="D12" s="5">
        <v>8</v>
      </c>
      <c r="E12" s="14">
        <v>6400000</v>
      </c>
      <c r="F12" s="14">
        <f t="shared" si="0"/>
        <v>4000000</v>
      </c>
      <c r="G12" s="14">
        <v>1000000</v>
      </c>
      <c r="H12" s="14">
        <f t="shared" si="4"/>
        <v>7400000</v>
      </c>
      <c r="I12" s="14">
        <f t="shared" si="5"/>
        <v>59200000</v>
      </c>
      <c r="J12" s="93">
        <v>44805</v>
      </c>
      <c r="K12" s="131" t="s">
        <v>202</v>
      </c>
    </row>
    <row r="13" spans="1:12" ht="16" x14ac:dyDescent="0.2">
      <c r="A13" s="89" t="s">
        <v>156</v>
      </c>
      <c r="B13" s="5" t="s">
        <v>72</v>
      </c>
      <c r="C13" s="5">
        <v>1</v>
      </c>
      <c r="D13" s="5">
        <v>8</v>
      </c>
      <c r="E13" s="14">
        <v>6400000</v>
      </c>
      <c r="F13" s="14">
        <f t="shared" si="0"/>
        <v>4000000</v>
      </c>
      <c r="G13" s="14">
        <v>1000000</v>
      </c>
      <c r="H13" s="14">
        <f t="shared" si="4"/>
        <v>7400000</v>
      </c>
      <c r="I13" s="14">
        <f t="shared" si="5"/>
        <v>59200000</v>
      </c>
      <c r="J13" s="93">
        <v>44805</v>
      </c>
      <c r="K13" s="132"/>
    </row>
    <row r="14" spans="1:12" ht="16" x14ac:dyDescent="0.2">
      <c r="A14" s="89" t="s">
        <v>157</v>
      </c>
      <c r="B14" s="5" t="s">
        <v>72</v>
      </c>
      <c r="C14" s="5">
        <v>1</v>
      </c>
      <c r="D14" s="5">
        <v>8</v>
      </c>
      <c r="E14" s="14">
        <v>6400000</v>
      </c>
      <c r="F14" s="14">
        <f t="shared" si="0"/>
        <v>4000000</v>
      </c>
      <c r="G14" s="14">
        <v>1000000</v>
      </c>
      <c r="H14" s="14">
        <f t="shared" si="4"/>
        <v>7400000</v>
      </c>
      <c r="I14" s="14">
        <f t="shared" si="5"/>
        <v>59200000</v>
      </c>
      <c r="J14" s="93">
        <v>44805</v>
      </c>
      <c r="K14" s="132"/>
    </row>
    <row r="15" spans="1:12" ht="16" x14ac:dyDescent="0.2">
      <c r="A15" s="89" t="s">
        <v>158</v>
      </c>
      <c r="B15" s="5" t="s">
        <v>72</v>
      </c>
      <c r="C15" s="5">
        <v>1</v>
      </c>
      <c r="D15" s="5">
        <v>8</v>
      </c>
      <c r="E15" s="14">
        <v>6400000</v>
      </c>
      <c r="F15" s="14">
        <f t="shared" si="0"/>
        <v>4000000</v>
      </c>
      <c r="G15" s="14">
        <v>1000000</v>
      </c>
      <c r="H15" s="14">
        <f t="shared" si="4"/>
        <v>7400000</v>
      </c>
      <c r="I15" s="14">
        <f t="shared" si="5"/>
        <v>59200000</v>
      </c>
      <c r="J15" s="93">
        <v>44824</v>
      </c>
      <c r="K15" s="132"/>
    </row>
    <row r="16" spans="1:12" ht="16" x14ac:dyDescent="0.2">
      <c r="A16" s="89" t="s">
        <v>159</v>
      </c>
      <c r="B16" s="5" t="s">
        <v>72</v>
      </c>
      <c r="C16" s="5">
        <v>1</v>
      </c>
      <c r="D16" s="5">
        <v>8</v>
      </c>
      <c r="E16" s="14">
        <v>6400000</v>
      </c>
      <c r="F16" s="14">
        <f t="shared" si="0"/>
        <v>4000000</v>
      </c>
      <c r="G16" s="14">
        <v>1000000</v>
      </c>
      <c r="H16" s="14">
        <f t="shared" si="4"/>
        <v>7400000</v>
      </c>
      <c r="I16" s="14">
        <f t="shared" si="5"/>
        <v>59200000</v>
      </c>
      <c r="J16" s="93">
        <v>44824</v>
      </c>
      <c r="K16" s="133"/>
    </row>
    <row r="17" spans="1:12" x14ac:dyDescent="0.2">
      <c r="A17" s="86" t="s">
        <v>160</v>
      </c>
      <c r="B17" s="5" t="s">
        <v>72</v>
      </c>
      <c r="C17" s="5">
        <v>1</v>
      </c>
      <c r="D17" s="5">
        <v>8</v>
      </c>
      <c r="E17" s="14">
        <v>6400000</v>
      </c>
      <c r="F17" s="14">
        <f t="shared" si="0"/>
        <v>4000000</v>
      </c>
      <c r="G17" s="14">
        <v>1000000</v>
      </c>
      <c r="H17" s="14">
        <f t="shared" si="4"/>
        <v>7400000</v>
      </c>
      <c r="I17" s="14">
        <f t="shared" si="5"/>
        <v>59200000</v>
      </c>
      <c r="J17" s="93">
        <v>44824</v>
      </c>
      <c r="K17" s="15" t="s">
        <v>197</v>
      </c>
      <c r="L17" s="129" t="s">
        <v>203</v>
      </c>
    </row>
    <row r="18" spans="1:12" x14ac:dyDescent="0.2">
      <c r="A18" s="86" t="s">
        <v>161</v>
      </c>
      <c r="B18" s="5" t="s">
        <v>72</v>
      </c>
      <c r="C18" s="5">
        <v>1</v>
      </c>
      <c r="D18" s="5">
        <v>8</v>
      </c>
      <c r="E18" s="14">
        <v>6400000</v>
      </c>
      <c r="F18" s="14">
        <f t="shared" si="0"/>
        <v>4000000</v>
      </c>
      <c r="G18" s="14">
        <v>1000000</v>
      </c>
      <c r="H18" s="14">
        <f t="shared" si="4"/>
        <v>7400000</v>
      </c>
      <c r="I18" s="14">
        <f t="shared" si="5"/>
        <v>59200000</v>
      </c>
      <c r="J18" s="93"/>
      <c r="K18" s="15" t="s">
        <v>197</v>
      </c>
      <c r="L18" s="134"/>
    </row>
    <row r="19" spans="1:12" x14ac:dyDescent="0.2">
      <c r="A19" s="86" t="s">
        <v>162</v>
      </c>
      <c r="B19" s="5" t="s">
        <v>72</v>
      </c>
      <c r="C19" s="5">
        <v>1</v>
      </c>
      <c r="D19" s="5">
        <v>8</v>
      </c>
      <c r="E19" s="14">
        <v>6400000</v>
      </c>
      <c r="F19" s="14">
        <f t="shared" si="0"/>
        <v>4000000</v>
      </c>
      <c r="G19" s="14">
        <v>1000000</v>
      </c>
      <c r="H19" s="14">
        <f t="shared" si="4"/>
        <v>7400000</v>
      </c>
      <c r="I19" s="14">
        <f t="shared" si="5"/>
        <v>59200000</v>
      </c>
      <c r="J19" s="93"/>
      <c r="K19" s="15" t="s">
        <v>197</v>
      </c>
      <c r="L19" s="130"/>
    </row>
    <row r="20" spans="1:12" x14ac:dyDescent="0.2">
      <c r="A20" s="13" t="s">
        <v>61</v>
      </c>
      <c r="B20" s="5" t="s">
        <v>71</v>
      </c>
      <c r="C20" s="5">
        <v>1</v>
      </c>
      <c r="D20" s="5">
        <v>12</v>
      </c>
      <c r="E20" s="14">
        <v>10000000</v>
      </c>
      <c r="F20" s="14">
        <f>+E20/1.6</f>
        <v>6250000</v>
      </c>
      <c r="G20" s="14"/>
      <c r="H20" s="14">
        <f>+E20+G20</f>
        <v>10000000</v>
      </c>
      <c r="I20" s="14">
        <f t="shared" si="1"/>
        <v>120000000</v>
      </c>
      <c r="J20" s="93">
        <v>44805</v>
      </c>
      <c r="K20" s="15" t="s">
        <v>204</v>
      </c>
      <c r="L20" s="5" t="s">
        <v>205</v>
      </c>
    </row>
    <row r="21" spans="1:12" ht="16" x14ac:dyDescent="0.2">
      <c r="A21" s="89" t="s">
        <v>57</v>
      </c>
      <c r="B21" s="5" t="s">
        <v>71</v>
      </c>
      <c r="C21" s="5">
        <v>1</v>
      </c>
      <c r="D21" s="5">
        <v>8</v>
      </c>
      <c r="E21" s="14">
        <v>12000000</v>
      </c>
      <c r="F21" s="14">
        <f t="shared" si="0"/>
        <v>7500000</v>
      </c>
      <c r="G21" s="14"/>
      <c r="H21" s="14">
        <f>+E21+G21</f>
        <v>12000000</v>
      </c>
      <c r="I21" s="14">
        <f t="shared" si="1"/>
        <v>96000000</v>
      </c>
      <c r="J21" s="93">
        <v>44777</v>
      </c>
      <c r="K21" s="15" t="s">
        <v>206</v>
      </c>
    </row>
    <row r="22" spans="1:12" x14ac:dyDescent="0.2">
      <c r="A22" s="13" t="s">
        <v>58</v>
      </c>
      <c r="B22" s="5" t="s">
        <v>72</v>
      </c>
      <c r="C22" s="5">
        <v>1</v>
      </c>
      <c r="D22" s="5">
        <v>8</v>
      </c>
      <c r="E22" s="14">
        <v>3000000</v>
      </c>
      <c r="F22" s="14">
        <f t="shared" si="0"/>
        <v>1875000</v>
      </c>
      <c r="G22" s="14"/>
      <c r="H22" s="14">
        <f t="shared" ref="H22:H35" si="6">+E22+G22</f>
        <v>3000000</v>
      </c>
      <c r="I22" s="14">
        <f t="shared" si="1"/>
        <v>24000000</v>
      </c>
      <c r="J22" s="93">
        <v>44777</v>
      </c>
      <c r="K22" s="10" t="s">
        <v>196</v>
      </c>
    </row>
    <row r="23" spans="1:12" x14ac:dyDescent="0.2">
      <c r="A23" s="13" t="s">
        <v>66</v>
      </c>
      <c r="B23" s="5" t="s">
        <v>71</v>
      </c>
      <c r="C23" s="5">
        <v>1</v>
      </c>
      <c r="D23" s="5">
        <v>12</v>
      </c>
      <c r="E23" s="14">
        <v>3500000</v>
      </c>
      <c r="F23" s="14">
        <f t="shared" si="0"/>
        <v>2187500</v>
      </c>
      <c r="G23" s="14"/>
      <c r="H23" s="14">
        <f t="shared" si="6"/>
        <v>3500000</v>
      </c>
      <c r="I23" s="14">
        <f t="shared" si="1"/>
        <v>42000000</v>
      </c>
      <c r="J23" s="93"/>
      <c r="K23" s="10" t="s">
        <v>207</v>
      </c>
    </row>
    <row r="24" spans="1:12" x14ac:dyDescent="0.2">
      <c r="A24" s="86" t="s">
        <v>170</v>
      </c>
      <c r="B24" s="5" t="s">
        <v>71</v>
      </c>
      <c r="C24" s="5">
        <v>1</v>
      </c>
      <c r="D24" s="5">
        <v>12</v>
      </c>
      <c r="E24" s="14">
        <v>2500000</v>
      </c>
      <c r="F24" s="14">
        <f t="shared" si="0"/>
        <v>1562500</v>
      </c>
      <c r="G24" s="14"/>
      <c r="H24" s="14">
        <f t="shared" si="6"/>
        <v>2500000</v>
      </c>
      <c r="I24" s="14">
        <f t="shared" si="1"/>
        <v>30000000</v>
      </c>
      <c r="J24" s="93"/>
      <c r="K24" s="10" t="s">
        <v>197</v>
      </c>
    </row>
    <row r="25" spans="1:12" x14ac:dyDescent="0.2">
      <c r="A25" s="13" t="s">
        <v>67</v>
      </c>
      <c r="B25" s="5" t="s">
        <v>71</v>
      </c>
      <c r="C25" s="5">
        <v>1</v>
      </c>
      <c r="D25" s="5">
        <v>12</v>
      </c>
      <c r="E25" s="14">
        <v>4800000</v>
      </c>
      <c r="F25" s="14">
        <f t="shared" si="0"/>
        <v>3000000</v>
      </c>
      <c r="G25" s="14"/>
      <c r="H25" s="14">
        <f t="shared" si="6"/>
        <v>4800000</v>
      </c>
      <c r="I25" s="14">
        <f t="shared" si="1"/>
        <v>57600000</v>
      </c>
      <c r="J25" s="93">
        <v>44777</v>
      </c>
      <c r="K25" s="10" t="s">
        <v>196</v>
      </c>
    </row>
    <row r="26" spans="1:12" ht="16" x14ac:dyDescent="0.2">
      <c r="A26" s="89" t="s">
        <v>68</v>
      </c>
      <c r="B26" s="5" t="s">
        <v>71</v>
      </c>
      <c r="C26" s="5">
        <v>1</v>
      </c>
      <c r="D26" s="5">
        <v>12</v>
      </c>
      <c r="E26" s="14">
        <v>8500000</v>
      </c>
      <c r="F26" s="14">
        <f t="shared" si="0"/>
        <v>5312500</v>
      </c>
      <c r="G26" s="14">
        <v>1500000</v>
      </c>
      <c r="H26" s="14">
        <f t="shared" si="6"/>
        <v>10000000</v>
      </c>
      <c r="I26" s="14">
        <f t="shared" si="1"/>
        <v>120000000</v>
      </c>
      <c r="J26" s="93"/>
      <c r="K26" s="10" t="s">
        <v>208</v>
      </c>
    </row>
    <row r="27" spans="1:12" ht="16" x14ac:dyDescent="0.2">
      <c r="A27" s="89" t="s">
        <v>75</v>
      </c>
      <c r="B27" s="5" t="s">
        <v>71</v>
      </c>
      <c r="C27" s="5">
        <v>1</v>
      </c>
      <c r="D27" s="5">
        <v>12</v>
      </c>
      <c r="E27" s="14">
        <f>3000000*1.6</f>
        <v>4800000</v>
      </c>
      <c r="F27" s="14">
        <f t="shared" si="0"/>
        <v>3000000</v>
      </c>
      <c r="G27" s="14"/>
      <c r="H27" s="14">
        <f t="shared" si="6"/>
        <v>4800000</v>
      </c>
      <c r="I27" s="14">
        <f t="shared" si="1"/>
        <v>57600000</v>
      </c>
      <c r="J27" s="93"/>
    </row>
    <row r="28" spans="1:12" ht="16" x14ac:dyDescent="0.2">
      <c r="A28" s="89" t="s">
        <v>186</v>
      </c>
      <c r="B28" s="5" t="s">
        <v>71</v>
      </c>
      <c r="C28" s="5">
        <v>1</v>
      </c>
      <c r="D28" s="5">
        <v>12</v>
      </c>
      <c r="E28" s="14">
        <f>3000000*1.6*2</f>
        <v>9600000</v>
      </c>
      <c r="F28" s="14">
        <f t="shared" ref="F28" si="7">+E28/1.6</f>
        <v>6000000</v>
      </c>
      <c r="G28" s="14"/>
      <c r="H28" s="14">
        <f t="shared" ref="H28" si="8">+E28+G28</f>
        <v>9600000</v>
      </c>
      <c r="I28" s="14">
        <f t="shared" ref="I28" si="9">+H28*C28*D28</f>
        <v>115200000</v>
      </c>
      <c r="J28" s="93"/>
    </row>
    <row r="29" spans="1:12" ht="16" x14ac:dyDescent="0.2">
      <c r="A29" s="89" t="s">
        <v>183</v>
      </c>
      <c r="B29" s="5" t="s">
        <v>71</v>
      </c>
      <c r="C29" s="5">
        <v>1</v>
      </c>
      <c r="D29" s="5">
        <v>12</v>
      </c>
      <c r="E29" s="14">
        <v>3000000</v>
      </c>
      <c r="F29" s="14">
        <v>3000000</v>
      </c>
      <c r="G29" s="14"/>
      <c r="H29" s="14">
        <f t="shared" si="6"/>
        <v>3000000</v>
      </c>
      <c r="I29" s="14">
        <f t="shared" si="1"/>
        <v>36000000</v>
      </c>
      <c r="J29" s="93"/>
    </row>
    <row r="30" spans="1:12" ht="16" x14ac:dyDescent="0.2">
      <c r="A30" s="89" t="s">
        <v>214</v>
      </c>
      <c r="B30" s="5" t="s">
        <v>71</v>
      </c>
      <c r="C30" s="5">
        <v>1</v>
      </c>
      <c r="D30" s="5">
        <v>12</v>
      </c>
      <c r="E30" s="14">
        <v>12500000</v>
      </c>
      <c r="F30" s="14"/>
      <c r="G30" s="14"/>
      <c r="H30" s="14">
        <f t="shared" si="6"/>
        <v>12500000</v>
      </c>
      <c r="I30" s="14">
        <f t="shared" si="1"/>
        <v>150000000</v>
      </c>
      <c r="J30" s="93"/>
    </row>
    <row r="31" spans="1:12" x14ac:dyDescent="0.2">
      <c r="A31" s="17" t="s">
        <v>122</v>
      </c>
      <c r="B31" s="18" t="s">
        <v>72</v>
      </c>
      <c r="C31" s="18">
        <v>1</v>
      </c>
      <c r="D31" s="18">
        <v>12</v>
      </c>
      <c r="E31" s="19">
        <v>10000000</v>
      </c>
      <c r="F31" s="19">
        <f t="shared" si="0"/>
        <v>6250000</v>
      </c>
      <c r="G31" s="19"/>
      <c r="H31" s="19">
        <f t="shared" ref="H31" si="10">+E31+G31</f>
        <v>10000000</v>
      </c>
      <c r="I31" s="19">
        <f t="shared" ref="I31" si="11">+H31*C31*D31</f>
        <v>120000000</v>
      </c>
      <c r="J31" s="94"/>
      <c r="K31" s="10" t="s">
        <v>209</v>
      </c>
    </row>
    <row r="32" spans="1:12" x14ac:dyDescent="0.2">
      <c r="A32" s="87" t="s">
        <v>217</v>
      </c>
      <c r="B32" s="5" t="s">
        <v>71</v>
      </c>
      <c r="C32" s="5">
        <v>1</v>
      </c>
      <c r="D32" s="5">
        <v>12</v>
      </c>
      <c r="E32" s="14">
        <v>4185000</v>
      </c>
      <c r="F32" s="14">
        <f t="shared" si="0"/>
        <v>2615625</v>
      </c>
      <c r="G32" s="14">
        <v>1000000</v>
      </c>
      <c r="H32" s="14">
        <f t="shared" si="6"/>
        <v>5185000</v>
      </c>
      <c r="I32" s="14">
        <f t="shared" si="1"/>
        <v>62220000</v>
      </c>
      <c r="J32" s="93">
        <v>44777</v>
      </c>
      <c r="K32" s="10" t="s">
        <v>218</v>
      </c>
    </row>
    <row r="33" spans="1:11" x14ac:dyDescent="0.2">
      <c r="A33" s="87" t="s">
        <v>213</v>
      </c>
      <c r="B33" s="5" t="s">
        <v>71</v>
      </c>
      <c r="C33" s="5">
        <v>1</v>
      </c>
      <c r="D33" s="5">
        <v>12</v>
      </c>
      <c r="E33" s="14">
        <v>3000000</v>
      </c>
      <c r="F33" s="14">
        <f t="shared" si="0"/>
        <v>1875000</v>
      </c>
      <c r="G33" s="14">
        <v>500000</v>
      </c>
      <c r="H33" s="14">
        <f t="shared" si="6"/>
        <v>3500000</v>
      </c>
      <c r="I33" s="14">
        <f t="shared" si="1"/>
        <v>42000000</v>
      </c>
      <c r="J33" s="93">
        <v>44777</v>
      </c>
      <c r="K33" s="10" t="s">
        <v>219</v>
      </c>
    </row>
    <row r="34" spans="1:11" x14ac:dyDescent="0.2">
      <c r="A34" s="17" t="s">
        <v>73</v>
      </c>
      <c r="B34" s="18" t="s">
        <v>3</v>
      </c>
      <c r="C34" s="18">
        <v>1</v>
      </c>
      <c r="D34" s="18">
        <v>6</v>
      </c>
      <c r="E34" s="19">
        <v>4000000</v>
      </c>
      <c r="F34" s="19">
        <f t="shared" si="0"/>
        <v>2500000</v>
      </c>
      <c r="G34" s="19"/>
      <c r="H34" s="19">
        <f t="shared" si="6"/>
        <v>4000000</v>
      </c>
      <c r="I34" s="19">
        <f t="shared" si="1"/>
        <v>24000000</v>
      </c>
      <c r="J34" s="94" t="s">
        <v>194</v>
      </c>
    </row>
    <row r="35" spans="1:11" x14ac:dyDescent="0.2">
      <c r="A35" s="17" t="s">
        <v>74</v>
      </c>
      <c r="B35" s="18" t="s">
        <v>3</v>
      </c>
      <c r="C35" s="18">
        <v>1</v>
      </c>
      <c r="D35" s="18">
        <v>6</v>
      </c>
      <c r="E35" s="19">
        <v>4000000</v>
      </c>
      <c r="F35" s="19">
        <f t="shared" si="0"/>
        <v>2500000</v>
      </c>
      <c r="G35" s="19"/>
      <c r="H35" s="19">
        <f t="shared" si="6"/>
        <v>4000000</v>
      </c>
      <c r="I35" s="19">
        <f t="shared" si="1"/>
        <v>24000000</v>
      </c>
      <c r="J35" s="94" t="s">
        <v>194</v>
      </c>
    </row>
    <row r="36" spans="1:11" x14ac:dyDescent="0.2">
      <c r="A36" s="17" t="s">
        <v>166</v>
      </c>
      <c r="B36" s="18" t="s">
        <v>3</v>
      </c>
      <c r="C36" s="18">
        <v>1</v>
      </c>
      <c r="D36" s="18">
        <v>6</v>
      </c>
      <c r="E36" s="19">
        <v>4000000</v>
      </c>
      <c r="F36" s="19">
        <f t="shared" si="0"/>
        <v>2500000</v>
      </c>
      <c r="G36" s="19"/>
      <c r="H36" s="19">
        <f t="shared" ref="H36" si="12">+E36+G36</f>
        <v>4000000</v>
      </c>
      <c r="I36" s="19">
        <f t="shared" ref="I36" si="13">+H36*C36*D36</f>
        <v>24000000</v>
      </c>
      <c r="J36" s="94" t="s">
        <v>194</v>
      </c>
    </row>
    <row r="37" spans="1:11" x14ac:dyDescent="0.2">
      <c r="A37" s="13" t="s">
        <v>163</v>
      </c>
      <c r="B37" s="5" t="s">
        <v>72</v>
      </c>
      <c r="C37" s="5">
        <v>1</v>
      </c>
      <c r="D37" s="5">
        <v>6</v>
      </c>
      <c r="E37" s="14">
        <v>5555555.555555555</v>
      </c>
      <c r="F37" s="14"/>
      <c r="G37" s="14"/>
      <c r="H37" s="14">
        <f>+D37*E37*C37</f>
        <v>33333333.333333328</v>
      </c>
      <c r="I37" s="14">
        <f>+H37</f>
        <v>33333333.333333328</v>
      </c>
      <c r="J37" s="93"/>
      <c r="K37" s="10" t="s">
        <v>210</v>
      </c>
    </row>
    <row r="38" spans="1:11" x14ac:dyDescent="0.2">
      <c r="A38" s="13" t="s">
        <v>164</v>
      </c>
      <c r="B38" s="5" t="s">
        <v>72</v>
      </c>
      <c r="C38" s="5">
        <v>1</v>
      </c>
      <c r="D38" s="5">
        <v>6</v>
      </c>
      <c r="E38" s="14">
        <v>5555555.555555555</v>
      </c>
      <c r="F38" s="14"/>
      <c r="G38" s="14"/>
      <c r="H38" s="14">
        <f t="shared" ref="H38:H39" si="14">+D38*E38*C38</f>
        <v>33333333.333333328</v>
      </c>
      <c r="I38" s="14">
        <f t="shared" ref="I38:I39" si="15">+H38</f>
        <v>33333333.333333328</v>
      </c>
      <c r="J38" s="93"/>
      <c r="K38" s="10" t="s">
        <v>210</v>
      </c>
    </row>
    <row r="39" spans="1:11" x14ac:dyDescent="0.2">
      <c r="A39" s="13" t="s">
        <v>165</v>
      </c>
      <c r="B39" s="5" t="s">
        <v>72</v>
      </c>
      <c r="C39" s="5">
        <v>1</v>
      </c>
      <c r="D39" s="5">
        <v>6</v>
      </c>
      <c r="E39" s="14">
        <v>5555555.555555555</v>
      </c>
      <c r="F39" s="14"/>
      <c r="G39" s="14"/>
      <c r="H39" s="14">
        <f t="shared" si="14"/>
        <v>33333333.333333328</v>
      </c>
      <c r="I39" s="14">
        <f t="shared" si="15"/>
        <v>33333333.333333328</v>
      </c>
      <c r="J39" s="93"/>
      <c r="K39" s="10" t="s">
        <v>210</v>
      </c>
    </row>
    <row r="40" spans="1:11" x14ac:dyDescent="0.2">
      <c r="A40" s="101" t="s">
        <v>121</v>
      </c>
      <c r="B40" s="101"/>
      <c r="C40" s="101"/>
      <c r="D40" s="101"/>
      <c r="E40" s="101"/>
      <c r="F40" s="101"/>
      <c r="G40" s="101"/>
      <c r="H40" s="101"/>
      <c r="I40" s="48">
        <f>SUM(I3:I39)</f>
        <v>2379620000.0000005</v>
      </c>
      <c r="J40" s="91"/>
    </row>
    <row r="41" spans="1:11" x14ac:dyDescent="0.2">
      <c r="E41" s="20"/>
      <c r="H41" s="20"/>
    </row>
    <row r="42" spans="1:11" x14ac:dyDescent="0.2">
      <c r="E42" s="20"/>
    </row>
    <row r="43" spans="1:11" x14ac:dyDescent="0.2">
      <c r="A43" s="103" t="s">
        <v>108</v>
      </c>
      <c r="B43" s="103"/>
      <c r="C43" s="103"/>
      <c r="D43" s="103"/>
      <c r="E43" s="103"/>
      <c r="F43" s="103"/>
      <c r="G43" s="103"/>
      <c r="H43" s="103"/>
      <c r="I43" s="103"/>
      <c r="J43" s="88"/>
    </row>
    <row r="44" spans="1:11" x14ac:dyDescent="0.2">
      <c r="A44" s="11" t="s">
        <v>59</v>
      </c>
      <c r="B44" s="11" t="s">
        <v>103</v>
      </c>
      <c r="C44" s="11" t="s">
        <v>60</v>
      </c>
      <c r="D44" s="11" t="s">
        <v>104</v>
      </c>
      <c r="E44" s="12" t="s">
        <v>105</v>
      </c>
      <c r="F44" s="12" t="s">
        <v>79</v>
      </c>
      <c r="G44" s="12" t="s">
        <v>106</v>
      </c>
      <c r="H44" s="12" t="s">
        <v>107</v>
      </c>
      <c r="I44" s="12" t="s">
        <v>19</v>
      </c>
      <c r="J44" s="88"/>
    </row>
    <row r="45" spans="1:11" x14ac:dyDescent="0.2">
      <c r="A45" s="13" t="str">
        <f t="shared" ref="A45:D46" si="16">+A3</f>
        <v>Ingeniero Catastral</v>
      </c>
      <c r="B45" s="5" t="str">
        <f t="shared" si="16"/>
        <v>Barranquilla</v>
      </c>
      <c r="C45" s="5">
        <f t="shared" si="16"/>
        <v>1</v>
      </c>
      <c r="D45" s="5">
        <f t="shared" si="16"/>
        <v>12</v>
      </c>
      <c r="E45" s="44" t="str">
        <f>+'L-EQUIPOS'!B3</f>
        <v>Computador Portatil HP Core i7-8550U</v>
      </c>
      <c r="F45" s="44" t="str">
        <f>+'L-EQUIPOS'!C3</f>
        <v>Memoria RAM de 16 GB , 1 Disco duro de 1 TB, 1 Tarjeta de red Inalámbrica, 1 Estandar</v>
      </c>
      <c r="G45" s="14">
        <f>+'L-EQUIPOS'!D3</f>
        <v>199000</v>
      </c>
      <c r="H45" s="14">
        <f>+G45*1.19</f>
        <v>236810</v>
      </c>
      <c r="I45" s="14">
        <f t="shared" ref="I45:I58" si="17">+C45*D45*H45</f>
        <v>2841720</v>
      </c>
      <c r="J45" s="90"/>
    </row>
    <row r="46" spans="1:11" x14ac:dyDescent="0.2">
      <c r="A46" s="13" t="str">
        <f t="shared" si="16"/>
        <v>Diseñador Gráfico Junior</v>
      </c>
      <c r="B46" s="5" t="str">
        <f t="shared" si="16"/>
        <v>Barranquilla</v>
      </c>
      <c r="C46" s="5">
        <f t="shared" si="16"/>
        <v>1</v>
      </c>
      <c r="D46" s="5">
        <f t="shared" si="16"/>
        <v>6</v>
      </c>
      <c r="E46" s="44" t="str">
        <f>+'L-EQUIPOS'!B3</f>
        <v>Computador Portatil HP Core i7-8550U</v>
      </c>
      <c r="F46" s="44" t="str">
        <f>+'L-EQUIPOS'!C3</f>
        <v>Memoria RAM de 16 GB , 1 Disco duro de 1 TB, 1 Tarjeta de red Inalámbrica, 1 Estandar</v>
      </c>
      <c r="G46" s="14">
        <f>+'L-EQUIPOS'!D3</f>
        <v>199000</v>
      </c>
      <c r="H46" s="14">
        <f t="shared" ref="H46:H58" si="18">+G46*1.19</f>
        <v>236810</v>
      </c>
      <c r="I46" s="14">
        <f t="shared" si="17"/>
        <v>1420860</v>
      </c>
      <c r="J46" s="90"/>
    </row>
    <row r="47" spans="1:11" x14ac:dyDescent="0.2">
      <c r="A47" s="13" t="str">
        <f>+A5</f>
        <v>Documentador 1</v>
      </c>
      <c r="B47" s="5" t="str">
        <f>+B5</f>
        <v>Barranquilla</v>
      </c>
      <c r="C47" s="5">
        <f>+C5+C6+C7</f>
        <v>3</v>
      </c>
      <c r="D47" s="5">
        <f>+D5</f>
        <v>12</v>
      </c>
      <c r="E47" s="44" t="str">
        <f>+'L-EQUIPOS'!B10</f>
        <v>Computador Portátil Core i5-8265U</v>
      </c>
      <c r="F47" s="44" t="str">
        <f>+'L-EQUIPOS'!C10</f>
        <v>Memoria RAM de 8 GB , 1 Disco duro de 1 TB, 1 Tarjeta de red Inalámbrica</v>
      </c>
      <c r="G47" s="14">
        <f>+'L-EQUIPOS'!D10</f>
        <v>105000</v>
      </c>
      <c r="H47" s="14">
        <f t="shared" si="18"/>
        <v>124950</v>
      </c>
      <c r="I47" s="14">
        <f t="shared" si="17"/>
        <v>4498200</v>
      </c>
      <c r="J47" s="90"/>
    </row>
    <row r="48" spans="1:11" x14ac:dyDescent="0.2">
      <c r="A48" s="13" t="str">
        <f t="shared" ref="A48:B48" si="19">+A20</f>
        <v>Analista Programador ARGIS (SIG)</v>
      </c>
      <c r="B48" s="5" t="str">
        <f t="shared" si="19"/>
        <v>Barranquilla</v>
      </c>
      <c r="C48" s="5">
        <f>+C20</f>
        <v>1</v>
      </c>
      <c r="D48" s="5">
        <f t="shared" ref="D48" si="20">+D20</f>
        <v>12</v>
      </c>
      <c r="E48" s="44" t="str">
        <f>+'L-EQUIPOS'!B3</f>
        <v>Computador Portatil HP Core i7-8550U</v>
      </c>
      <c r="F48" s="44" t="str">
        <f>+'L-EQUIPOS'!C3</f>
        <v>Memoria RAM de 16 GB , 1 Disco duro de 1 TB, 1 Tarjeta de red Inalámbrica, 1 Estandar</v>
      </c>
      <c r="G48" s="14">
        <f>+'L-EQUIPOS'!D3</f>
        <v>199000</v>
      </c>
      <c r="H48" s="14">
        <f t="shared" si="18"/>
        <v>236810</v>
      </c>
      <c r="I48" s="14">
        <f t="shared" si="17"/>
        <v>2841720</v>
      </c>
      <c r="J48" s="90"/>
    </row>
    <row r="49" spans="1:10" x14ac:dyDescent="0.2">
      <c r="A49" s="13" t="str">
        <f t="shared" ref="A49:B49" si="21">+A21</f>
        <v>Proyect Manager</v>
      </c>
      <c r="B49" s="5" t="str">
        <f t="shared" si="21"/>
        <v>Barranquilla</v>
      </c>
      <c r="C49" s="5">
        <f t="shared" ref="C49:D49" si="22">+C21</f>
        <v>1</v>
      </c>
      <c r="D49" s="5">
        <f t="shared" si="22"/>
        <v>8</v>
      </c>
      <c r="E49" s="44" t="str">
        <f>+'L-EQUIPOS'!B3</f>
        <v>Computador Portatil HP Core i7-8550U</v>
      </c>
      <c r="F49" s="44" t="str">
        <f>+'L-EQUIPOS'!C3</f>
        <v>Memoria RAM de 16 GB , 1 Disco duro de 1 TB, 1 Tarjeta de red Inalámbrica, 1 Estandar</v>
      </c>
      <c r="G49" s="14">
        <f>+'L-EQUIPOS'!D3</f>
        <v>199000</v>
      </c>
      <c r="H49" s="14">
        <f t="shared" si="18"/>
        <v>236810</v>
      </c>
      <c r="I49" s="14">
        <f t="shared" si="17"/>
        <v>1894480</v>
      </c>
      <c r="J49" s="90"/>
    </row>
    <row r="50" spans="1:10" x14ac:dyDescent="0.2">
      <c r="A50" s="13" t="str">
        <f t="shared" ref="A50:B50" si="23">+A23</f>
        <v>Contador</v>
      </c>
      <c r="B50" s="5" t="str">
        <f t="shared" si="23"/>
        <v>Barranquilla</v>
      </c>
      <c r="C50" s="5"/>
      <c r="D50" s="5">
        <f t="shared" ref="D50" si="24">+D23</f>
        <v>12</v>
      </c>
      <c r="E50" s="44" t="str">
        <f>+'L-EQUIPOS'!B10</f>
        <v>Computador Portátil Core i5-8265U</v>
      </c>
      <c r="F50" s="44" t="str">
        <f>+'L-EQUIPOS'!C10</f>
        <v>Memoria RAM de 8 GB , 1 Disco duro de 1 TB, 1 Tarjeta de red Inalámbrica</v>
      </c>
      <c r="G50" s="14">
        <f>+'L-EQUIPOS'!D10</f>
        <v>105000</v>
      </c>
      <c r="H50" s="14">
        <f t="shared" si="18"/>
        <v>124950</v>
      </c>
      <c r="I50" s="14">
        <f t="shared" si="17"/>
        <v>0</v>
      </c>
      <c r="J50" s="90"/>
    </row>
    <row r="51" spans="1:10" x14ac:dyDescent="0.2">
      <c r="A51" s="13" t="str">
        <f t="shared" ref="A51:B51" si="25">+A24</f>
        <v>Analista Administrativo</v>
      </c>
      <c r="B51" s="5" t="str">
        <f t="shared" si="25"/>
        <v>Barranquilla</v>
      </c>
      <c r="C51" s="5">
        <f t="shared" ref="C51:D51" si="26">+C24</f>
        <v>1</v>
      </c>
      <c r="D51" s="5">
        <f t="shared" si="26"/>
        <v>12</v>
      </c>
      <c r="E51" s="44" t="str">
        <f>+'L-EQUIPOS'!B10</f>
        <v>Computador Portátil Core i5-8265U</v>
      </c>
      <c r="F51" s="44" t="str">
        <f>+'L-EQUIPOS'!C10</f>
        <v>Memoria RAM de 8 GB , 1 Disco duro de 1 TB, 1 Tarjeta de red Inalámbrica</v>
      </c>
      <c r="G51" s="14">
        <f>+'L-EQUIPOS'!D10</f>
        <v>105000</v>
      </c>
      <c r="H51" s="14">
        <f t="shared" si="18"/>
        <v>124950</v>
      </c>
      <c r="I51" s="14">
        <f t="shared" si="17"/>
        <v>1499400</v>
      </c>
      <c r="J51" s="90"/>
    </row>
    <row r="52" spans="1:10" x14ac:dyDescent="0.2">
      <c r="A52" s="13" t="str">
        <f t="shared" ref="A52:B52" si="27">+A25</f>
        <v>Ingeniero de redes</v>
      </c>
      <c r="B52" s="5" t="str">
        <f t="shared" si="27"/>
        <v>Barranquilla</v>
      </c>
      <c r="C52" s="5">
        <f t="shared" ref="C52:D52" si="28">+C25</f>
        <v>1</v>
      </c>
      <c r="D52" s="5">
        <f t="shared" si="28"/>
        <v>12</v>
      </c>
      <c r="E52" s="44" t="str">
        <f>+'L-EQUIPOS'!B10</f>
        <v>Computador Portátil Core i5-8265U</v>
      </c>
      <c r="F52" s="44" t="str">
        <f>+'L-EQUIPOS'!C10</f>
        <v>Memoria RAM de 8 GB , 1 Disco duro de 1 TB, 1 Tarjeta de red Inalámbrica</v>
      </c>
      <c r="G52" s="14">
        <f>+'L-EQUIPOS'!D10</f>
        <v>105000</v>
      </c>
      <c r="H52" s="14">
        <f t="shared" si="18"/>
        <v>124950</v>
      </c>
      <c r="I52" s="14">
        <f t="shared" si="17"/>
        <v>1499400</v>
      </c>
      <c r="J52" s="90"/>
    </row>
    <row r="53" spans="1:10" x14ac:dyDescent="0.2">
      <c r="A53" s="13" t="str">
        <f t="shared" ref="A53:B53" si="29">+A26</f>
        <v>Luis Alfredo Ramos</v>
      </c>
      <c r="B53" s="5" t="str">
        <f t="shared" si="29"/>
        <v>Barranquilla</v>
      </c>
      <c r="C53" s="5">
        <f t="shared" ref="C53:D53" si="30">+C26</f>
        <v>1</v>
      </c>
      <c r="D53" s="5">
        <f t="shared" si="30"/>
        <v>12</v>
      </c>
      <c r="E53" s="44" t="str">
        <f>+'L-EQUIPOS'!B3</f>
        <v>Computador Portatil HP Core i7-8550U</v>
      </c>
      <c r="F53" s="44" t="str">
        <f>+'L-EQUIPOS'!C3</f>
        <v>Memoria RAM de 16 GB , 1 Disco duro de 1 TB, 1 Tarjeta de red Inalámbrica, 1 Estandar</v>
      </c>
      <c r="G53" s="14">
        <f>+'L-EQUIPOS'!D3</f>
        <v>199000</v>
      </c>
      <c r="H53" s="14">
        <f t="shared" si="18"/>
        <v>236810</v>
      </c>
      <c r="I53" s="14">
        <f t="shared" si="17"/>
        <v>2841720</v>
      </c>
      <c r="J53" s="90"/>
    </row>
    <row r="54" spans="1:10" x14ac:dyDescent="0.2">
      <c r="A54" s="13" t="str">
        <f>+A27</f>
        <v>Lobsang Flechas</v>
      </c>
      <c r="B54" s="5" t="str">
        <f>+B27</f>
        <v>Barranquilla</v>
      </c>
      <c r="C54" s="5">
        <f>+C27</f>
        <v>1</v>
      </c>
      <c r="D54" s="5">
        <f>+D27</f>
        <v>12</v>
      </c>
      <c r="E54" s="5" t="s">
        <v>102</v>
      </c>
      <c r="F54" s="5" t="s">
        <v>102</v>
      </c>
      <c r="G54" s="14">
        <v>0</v>
      </c>
      <c r="H54" s="14">
        <f t="shared" si="18"/>
        <v>0</v>
      </c>
      <c r="I54" s="14">
        <f t="shared" si="17"/>
        <v>0</v>
      </c>
      <c r="J54" s="90"/>
    </row>
    <row r="55" spans="1:10" x14ac:dyDescent="0.2">
      <c r="A55" s="13" t="str">
        <f t="shared" ref="A55:B55" si="31">+A32</f>
        <v>Programador SENIOR (Gohan)</v>
      </c>
      <c r="B55" s="5" t="str">
        <f t="shared" si="31"/>
        <v>Barranquilla</v>
      </c>
      <c r="C55" s="5">
        <f t="shared" ref="C55:D55" si="32">+C32</f>
        <v>1</v>
      </c>
      <c r="D55" s="5">
        <f t="shared" si="32"/>
        <v>12</v>
      </c>
      <c r="E55" s="44" t="str">
        <f>+'L-EQUIPOS'!B9</f>
        <v>Computador Portátil Lenovo Core i7-8550U</v>
      </c>
      <c r="F55" s="44" t="str">
        <f>+'L-EQUIPOS'!C9</f>
        <v>Memoria RAM de 12 GB , 1 Disco duro de 1 TB, 1 Tarjeta de red Inalámbrica</v>
      </c>
      <c r="G55" s="14">
        <f>+'L-EQUIPOS'!D9</f>
        <v>129000</v>
      </c>
      <c r="H55" s="14">
        <f t="shared" si="18"/>
        <v>153510</v>
      </c>
      <c r="I55" s="14">
        <f t="shared" si="17"/>
        <v>1842120</v>
      </c>
      <c r="J55" s="90"/>
    </row>
    <row r="56" spans="1:10" x14ac:dyDescent="0.2">
      <c r="A56" s="13" t="str">
        <f t="shared" ref="A56:B56" si="33">+A33</f>
        <v xml:space="preserve">Progamador JUNIOR (Ronny) </v>
      </c>
      <c r="B56" s="5" t="str">
        <f t="shared" si="33"/>
        <v>Barranquilla</v>
      </c>
      <c r="C56" s="5">
        <f t="shared" ref="C56:D56" si="34">+C33</f>
        <v>1</v>
      </c>
      <c r="D56" s="5">
        <f t="shared" si="34"/>
        <v>12</v>
      </c>
      <c r="E56" s="44" t="str">
        <f>+'L-EQUIPOS'!B9</f>
        <v>Computador Portátil Lenovo Core i7-8550U</v>
      </c>
      <c r="F56" s="44" t="str">
        <f>+'L-EQUIPOS'!C9</f>
        <v>Memoria RAM de 12 GB , 1 Disco duro de 1 TB, 1 Tarjeta de red Inalámbrica</v>
      </c>
      <c r="G56" s="14">
        <f>+'L-EQUIPOS'!D9</f>
        <v>129000</v>
      </c>
      <c r="H56" s="14">
        <f t="shared" si="18"/>
        <v>153510</v>
      </c>
      <c r="I56" s="14">
        <f t="shared" si="17"/>
        <v>1842120</v>
      </c>
      <c r="J56" s="90"/>
    </row>
    <row r="57" spans="1:10" x14ac:dyDescent="0.2">
      <c r="A57" s="13" t="s">
        <v>109</v>
      </c>
      <c r="B57" s="5" t="s">
        <v>110</v>
      </c>
      <c r="C57" s="5">
        <v>1</v>
      </c>
      <c r="D57" s="5">
        <f t="shared" ref="D57" si="35">+D37</f>
        <v>6</v>
      </c>
      <c r="E57" s="5" t="s">
        <v>111</v>
      </c>
      <c r="F57" s="5"/>
      <c r="G57" s="14">
        <v>14000000</v>
      </c>
      <c r="H57" s="14">
        <f t="shared" si="18"/>
        <v>16660000</v>
      </c>
      <c r="I57" s="14">
        <f t="shared" si="17"/>
        <v>99960000</v>
      </c>
      <c r="J57" s="90"/>
    </row>
    <row r="58" spans="1:10" x14ac:dyDescent="0.2">
      <c r="A58" s="13" t="s">
        <v>112</v>
      </c>
      <c r="B58" s="5" t="s">
        <v>71</v>
      </c>
      <c r="C58" s="5">
        <v>1</v>
      </c>
      <c r="D58" s="5">
        <v>1</v>
      </c>
      <c r="E58" s="107" t="s">
        <v>102</v>
      </c>
      <c r="F58" s="108"/>
      <c r="G58" s="14">
        <v>5000000</v>
      </c>
      <c r="H58" s="14">
        <f t="shared" si="18"/>
        <v>5950000</v>
      </c>
      <c r="I58" s="14">
        <f t="shared" si="17"/>
        <v>5950000</v>
      </c>
      <c r="J58" s="90"/>
    </row>
    <row r="59" spans="1:10" x14ac:dyDescent="0.2">
      <c r="A59" s="43" t="s">
        <v>174</v>
      </c>
      <c r="B59" s="5" t="s">
        <v>71</v>
      </c>
      <c r="C59" s="5">
        <v>1</v>
      </c>
      <c r="D59" s="5">
        <v>1</v>
      </c>
      <c r="E59" s="107" t="s">
        <v>175</v>
      </c>
      <c r="F59" s="108"/>
      <c r="G59" s="14"/>
      <c r="H59" s="14"/>
      <c r="I59" s="14">
        <v>100000000</v>
      </c>
      <c r="J59" s="90"/>
    </row>
    <row r="60" spans="1:10" x14ac:dyDescent="0.2">
      <c r="A60" s="104" t="s">
        <v>120</v>
      </c>
      <c r="B60" s="105"/>
      <c r="C60" s="105"/>
      <c r="D60" s="105"/>
      <c r="E60" s="105"/>
      <c r="F60" s="105"/>
      <c r="G60" s="105"/>
      <c r="H60" s="106"/>
      <c r="I60" s="48">
        <f>SUM(I45:I59)</f>
        <v>228931740</v>
      </c>
      <c r="J60" s="91"/>
    </row>
    <row r="63" spans="1:10" x14ac:dyDescent="0.2">
      <c r="A63" s="113" t="s">
        <v>113</v>
      </c>
      <c r="B63" s="114"/>
      <c r="C63" s="114"/>
      <c r="D63" s="114"/>
      <c r="E63" s="114"/>
      <c r="F63" s="115"/>
    </row>
    <row r="64" spans="1:10" x14ac:dyDescent="0.2">
      <c r="A64" s="109" t="s">
        <v>114</v>
      </c>
      <c r="B64" s="110"/>
      <c r="C64" s="45" t="s">
        <v>62</v>
      </c>
      <c r="D64" s="45" t="s">
        <v>115</v>
      </c>
      <c r="E64" s="45" t="s">
        <v>116</v>
      </c>
      <c r="F64" s="45" t="s">
        <v>117</v>
      </c>
    </row>
    <row r="65" spans="1:7" x14ac:dyDescent="0.2">
      <c r="A65" s="111" t="s">
        <v>118</v>
      </c>
      <c r="B65" s="112"/>
      <c r="C65" s="5">
        <v>1</v>
      </c>
      <c r="D65" s="56">
        <v>1</v>
      </c>
      <c r="E65" s="47">
        <v>4200000</v>
      </c>
      <c r="F65" s="54">
        <f>+E65*C65*D65</f>
        <v>4200000</v>
      </c>
    </row>
    <row r="66" spans="1:7" x14ac:dyDescent="0.2">
      <c r="A66" s="111" t="s">
        <v>119</v>
      </c>
      <c r="B66" s="112"/>
      <c r="C66" s="5">
        <f>+SUM(C45:C58)</f>
        <v>15</v>
      </c>
      <c r="D66" s="56">
        <f>+MAX(D45:D58)</f>
        <v>12</v>
      </c>
      <c r="E66" s="47">
        <v>15000</v>
      </c>
      <c r="F66" s="54">
        <f>+E66*C66*D66</f>
        <v>2700000</v>
      </c>
    </row>
    <row r="67" spans="1:7" x14ac:dyDescent="0.2">
      <c r="A67" s="111" t="s">
        <v>141</v>
      </c>
      <c r="B67" s="112"/>
      <c r="C67" s="5">
        <f>+COUNTA(C8:C19)</f>
        <v>12</v>
      </c>
      <c r="D67" s="46">
        <f>+GEOMEAN(D8:D19)</f>
        <v>9.0258680421636903</v>
      </c>
      <c r="E67" s="47">
        <f>6*3980</f>
        <v>23880</v>
      </c>
      <c r="F67" s="54">
        <f>+E67*C67*D67</f>
        <v>2586452.7461624271</v>
      </c>
    </row>
    <row r="68" spans="1:7" x14ac:dyDescent="0.2">
      <c r="A68" s="111" t="s">
        <v>142</v>
      </c>
      <c r="B68" s="112"/>
      <c r="C68" s="5"/>
      <c r="D68" s="46"/>
      <c r="E68" s="47"/>
      <c r="F68" s="54"/>
    </row>
    <row r="69" spans="1:7" x14ac:dyDescent="0.2">
      <c r="A69" s="120" t="s">
        <v>173</v>
      </c>
      <c r="B69" s="121"/>
      <c r="C69" s="121"/>
      <c r="D69" s="121"/>
      <c r="E69" s="121"/>
      <c r="F69" s="55">
        <f>SUM(F65:F68)</f>
        <v>9486452.7461624276</v>
      </c>
    </row>
    <row r="72" spans="1:7" x14ac:dyDescent="0.2">
      <c r="A72" s="122" t="s">
        <v>135</v>
      </c>
      <c r="B72" s="123"/>
      <c r="C72" s="123"/>
      <c r="D72" s="123"/>
      <c r="E72" s="123"/>
      <c r="F72" s="123"/>
      <c r="G72" s="124"/>
    </row>
    <row r="73" spans="1:7" x14ac:dyDescent="0.2">
      <c r="A73" s="109" t="s">
        <v>114</v>
      </c>
      <c r="B73" s="110"/>
      <c r="C73" s="45" t="s">
        <v>62</v>
      </c>
      <c r="D73" s="45" t="s">
        <v>115</v>
      </c>
      <c r="E73" s="45" t="s">
        <v>116</v>
      </c>
      <c r="F73" s="109" t="s">
        <v>117</v>
      </c>
      <c r="G73" s="110"/>
    </row>
    <row r="74" spans="1:7" x14ac:dyDescent="0.2">
      <c r="A74" s="116" t="s">
        <v>123</v>
      </c>
      <c r="B74" s="117"/>
      <c r="C74" s="56">
        <v>1</v>
      </c>
      <c r="D74" s="46">
        <v>12</v>
      </c>
      <c r="E74" s="47">
        <v>6500000</v>
      </c>
      <c r="F74" s="118">
        <f>+(C74*D74*E74)*0.25</f>
        <v>19500000</v>
      </c>
      <c r="G74" s="119"/>
    </row>
    <row r="75" spans="1:7" x14ac:dyDescent="0.2">
      <c r="A75" s="116" t="s">
        <v>124</v>
      </c>
      <c r="B75" s="117"/>
      <c r="C75" s="5">
        <v>1</v>
      </c>
      <c r="D75" s="46">
        <v>12</v>
      </c>
      <c r="E75" s="47"/>
      <c r="F75" s="118">
        <f t="shared" ref="F75:F81" si="36">+(C75*D75*E75)*0.25</f>
        <v>0</v>
      </c>
      <c r="G75" s="119"/>
    </row>
    <row r="76" spans="1:7" x14ac:dyDescent="0.2">
      <c r="A76" s="116" t="s">
        <v>125</v>
      </c>
      <c r="B76" s="117"/>
      <c r="C76" s="5">
        <v>1</v>
      </c>
      <c r="D76" s="46">
        <v>12</v>
      </c>
      <c r="E76" s="47">
        <v>1521000</v>
      </c>
      <c r="F76" s="118">
        <f t="shared" si="36"/>
        <v>4563000</v>
      </c>
      <c r="G76" s="119"/>
    </row>
    <row r="77" spans="1:7" x14ac:dyDescent="0.2">
      <c r="A77" s="116" t="s">
        <v>126</v>
      </c>
      <c r="B77" s="117"/>
      <c r="C77" s="56">
        <v>1</v>
      </c>
      <c r="D77" s="46">
        <v>12</v>
      </c>
      <c r="E77" s="47"/>
      <c r="F77" s="118">
        <f t="shared" si="36"/>
        <v>0</v>
      </c>
      <c r="G77" s="119"/>
    </row>
    <row r="78" spans="1:7" x14ac:dyDescent="0.2">
      <c r="A78" s="116" t="s">
        <v>127</v>
      </c>
      <c r="B78" s="117"/>
      <c r="C78" s="56">
        <v>1</v>
      </c>
      <c r="D78" s="46">
        <v>12</v>
      </c>
      <c r="E78" s="47"/>
      <c r="F78" s="118">
        <f t="shared" si="36"/>
        <v>0</v>
      </c>
      <c r="G78" s="119"/>
    </row>
    <row r="79" spans="1:7" x14ac:dyDescent="0.2">
      <c r="A79" s="116" t="s">
        <v>128</v>
      </c>
      <c r="B79" s="117"/>
      <c r="C79" s="5">
        <v>1</v>
      </c>
      <c r="D79" s="46">
        <v>12</v>
      </c>
      <c r="E79" s="47"/>
      <c r="F79" s="118">
        <f t="shared" si="36"/>
        <v>0</v>
      </c>
      <c r="G79" s="119"/>
    </row>
    <row r="80" spans="1:7" x14ac:dyDescent="0.2">
      <c r="A80" s="116" t="s">
        <v>129</v>
      </c>
      <c r="B80" s="117"/>
      <c r="C80" s="5">
        <v>1</v>
      </c>
      <c r="D80" s="46">
        <v>12</v>
      </c>
      <c r="E80" s="47">
        <v>2260000</v>
      </c>
      <c r="F80" s="118">
        <f t="shared" si="36"/>
        <v>6780000</v>
      </c>
      <c r="G80" s="119"/>
    </row>
    <row r="81" spans="1:8" x14ac:dyDescent="0.2">
      <c r="A81" s="116" t="s">
        <v>130</v>
      </c>
      <c r="B81" s="117"/>
      <c r="C81" s="5">
        <v>1</v>
      </c>
      <c r="D81" s="46">
        <f>+MAX(D45:D58)</f>
        <v>12</v>
      </c>
      <c r="E81" s="47">
        <v>500000</v>
      </c>
      <c r="F81" s="118">
        <f t="shared" si="36"/>
        <v>1500000</v>
      </c>
      <c r="G81" s="119"/>
    </row>
    <row r="82" spans="1:8" x14ac:dyDescent="0.2">
      <c r="A82" s="116" t="s">
        <v>215</v>
      </c>
      <c r="B82" s="117"/>
      <c r="C82" s="5">
        <v>1</v>
      </c>
      <c r="D82" s="46">
        <f>+MAX(D45:D58)</f>
        <v>12</v>
      </c>
      <c r="E82" s="47">
        <v>6000000</v>
      </c>
      <c r="F82" s="118">
        <f t="shared" ref="F82:F88" si="37">+C82*D82*E82</f>
        <v>72000000</v>
      </c>
      <c r="G82" s="119"/>
    </row>
    <row r="83" spans="1:8" x14ac:dyDescent="0.2">
      <c r="A83" s="116" t="s">
        <v>131</v>
      </c>
      <c r="B83" s="117"/>
      <c r="C83" s="5">
        <v>1</v>
      </c>
      <c r="D83" s="46">
        <f>+GEOMEAN(D45:D56)</f>
        <v>10.950177057125927</v>
      </c>
      <c r="E83" s="47">
        <v>2000000</v>
      </c>
      <c r="F83" s="118">
        <f t="shared" si="37"/>
        <v>21900354.114251856</v>
      </c>
      <c r="G83" s="119"/>
    </row>
    <row r="84" spans="1:8" x14ac:dyDescent="0.2">
      <c r="A84" s="116" t="s">
        <v>132</v>
      </c>
      <c r="B84" s="117"/>
      <c r="C84" s="5">
        <v>1</v>
      </c>
      <c r="D84" s="46">
        <f>+GEOMEAN(D45:D56)</f>
        <v>10.950177057125927</v>
      </c>
      <c r="E84" s="47">
        <v>250000</v>
      </c>
      <c r="F84" s="118">
        <f t="shared" si="37"/>
        <v>2737544.264281482</v>
      </c>
      <c r="G84" s="119"/>
    </row>
    <row r="85" spans="1:8" x14ac:dyDescent="0.2">
      <c r="A85" s="116" t="s">
        <v>133</v>
      </c>
      <c r="B85" s="117"/>
      <c r="C85" s="5">
        <v>1</v>
      </c>
      <c r="D85" s="46">
        <f>+MAX(D45:D58)</f>
        <v>12</v>
      </c>
      <c r="E85" s="47">
        <v>750000</v>
      </c>
      <c r="F85" s="118">
        <f t="shared" si="37"/>
        <v>9000000</v>
      </c>
      <c r="G85" s="119"/>
    </row>
    <row r="86" spans="1:8" x14ac:dyDescent="0.2">
      <c r="A86" s="116" t="s">
        <v>172</v>
      </c>
      <c r="B86" s="117"/>
      <c r="C86" s="5">
        <v>1</v>
      </c>
      <c r="D86" s="46">
        <v>12</v>
      </c>
      <c r="E86" s="47">
        <v>700000</v>
      </c>
      <c r="F86" s="118">
        <f t="shared" si="37"/>
        <v>8400000</v>
      </c>
      <c r="G86" s="119"/>
    </row>
    <row r="87" spans="1:8" x14ac:dyDescent="0.2">
      <c r="A87" s="125" t="s">
        <v>134</v>
      </c>
      <c r="B87" s="126"/>
      <c r="C87" s="5">
        <v>1</v>
      </c>
      <c r="D87" s="46">
        <f>+MAX(D45:D58)</f>
        <v>12</v>
      </c>
      <c r="E87" s="47">
        <v>1500000</v>
      </c>
      <c r="F87" s="118">
        <f t="shared" si="37"/>
        <v>18000000</v>
      </c>
      <c r="G87" s="119"/>
    </row>
    <row r="88" spans="1:8" x14ac:dyDescent="0.2">
      <c r="A88" s="125" t="s">
        <v>171</v>
      </c>
      <c r="B88" s="126"/>
      <c r="C88" s="5">
        <v>6</v>
      </c>
      <c r="D88" s="46">
        <v>1</v>
      </c>
      <c r="E88" s="47">
        <v>300000</v>
      </c>
      <c r="F88" s="118">
        <f t="shared" si="37"/>
        <v>1800000</v>
      </c>
      <c r="G88" s="119"/>
    </row>
    <row r="89" spans="1:8" x14ac:dyDescent="0.2">
      <c r="A89" s="120" t="s">
        <v>136</v>
      </c>
      <c r="B89" s="121"/>
      <c r="C89" s="121"/>
      <c r="D89" s="121"/>
      <c r="E89" s="121"/>
      <c r="F89" s="127">
        <f>SUM(F74:G88)</f>
        <v>166180898.37853333</v>
      </c>
      <c r="G89" s="128"/>
      <c r="H89" s="61"/>
    </row>
    <row r="92" spans="1:8" ht="18" x14ac:dyDescent="0.2">
      <c r="A92" s="137" t="s">
        <v>140</v>
      </c>
      <c r="B92" s="137"/>
      <c r="C92" s="137"/>
      <c r="D92" s="57"/>
    </row>
    <row r="93" spans="1:8" x14ac:dyDescent="0.2">
      <c r="A93" s="58" t="str">
        <f>+A1</f>
        <v>PERSONAL PREVISTO</v>
      </c>
      <c r="B93" s="136">
        <f>+I40</f>
        <v>2379620000.0000005</v>
      </c>
      <c r="C93" s="136"/>
      <c r="D93" s="57"/>
    </row>
    <row r="94" spans="1:8" x14ac:dyDescent="0.2">
      <c r="A94" s="58" t="str">
        <f>+A43</f>
        <v>EQUIPOS PREVISTOS</v>
      </c>
      <c r="B94" s="136">
        <f>+I60</f>
        <v>228931740</v>
      </c>
      <c r="C94" s="136"/>
      <c r="D94" s="57"/>
    </row>
    <row r="95" spans="1:8" x14ac:dyDescent="0.2">
      <c r="A95" s="58" t="str">
        <f>+A69</f>
        <v xml:space="preserve">VLR. TOTAL LICENCIAS </v>
      </c>
      <c r="B95" s="136">
        <f>+F69</f>
        <v>9486452.7461624276</v>
      </c>
      <c r="C95" s="136"/>
      <c r="D95" s="57"/>
    </row>
    <row r="96" spans="1:8" x14ac:dyDescent="0.2">
      <c r="A96" s="58" t="str">
        <f>+A72</f>
        <v xml:space="preserve">FUNCIONAMIENTO </v>
      </c>
      <c r="B96" s="136">
        <f>+F89</f>
        <v>166180898.37853333</v>
      </c>
      <c r="C96" s="136"/>
      <c r="D96" s="57"/>
    </row>
    <row r="97" spans="1:8" x14ac:dyDescent="0.2">
      <c r="A97" s="58" t="s">
        <v>143</v>
      </c>
      <c r="B97" s="136">
        <f>+B96*0.5</f>
        <v>83090449.189266667</v>
      </c>
      <c r="C97" s="136"/>
      <c r="D97" s="57"/>
    </row>
    <row r="98" spans="1:8" x14ac:dyDescent="0.2">
      <c r="A98" s="58" t="s">
        <v>137</v>
      </c>
      <c r="B98" s="136">
        <f>SUM(B93:C97)</f>
        <v>2867309540.3139629</v>
      </c>
      <c r="C98" s="136"/>
      <c r="D98" s="57"/>
    </row>
    <row r="99" spans="1:8" ht="14.25" customHeight="1" x14ac:dyDescent="0.2">
      <c r="A99" s="58" t="s">
        <v>220</v>
      </c>
      <c r="B99" s="136">
        <f>+B98*0.05</f>
        <v>143365477.01569816</v>
      </c>
      <c r="C99" s="136"/>
      <c r="D99" s="57"/>
    </row>
    <row r="100" spans="1:8" ht="14.25" customHeight="1" x14ac:dyDescent="0.2">
      <c r="A100" s="58" t="s">
        <v>138</v>
      </c>
      <c r="B100" s="136">
        <f>+B98+B99</f>
        <v>3010675017.3296609</v>
      </c>
      <c r="C100" s="136"/>
    </row>
    <row r="101" spans="1:8" ht="16.5" customHeight="1" x14ac:dyDescent="0.2">
      <c r="A101" s="58" t="s">
        <v>139</v>
      </c>
      <c r="B101" s="60"/>
      <c r="C101" s="62">
        <f>+B100*B101</f>
        <v>0</v>
      </c>
    </row>
    <row r="102" spans="1:8" ht="14.25" customHeight="1" x14ac:dyDescent="0.2">
      <c r="A102" s="135">
        <f>+C101+B100</f>
        <v>3010675017.3296609</v>
      </c>
      <c r="B102" s="135"/>
      <c r="C102" s="135"/>
      <c r="F102" s="61"/>
      <c r="G102" s="61"/>
    </row>
    <row r="103" spans="1:8" ht="14.25" customHeight="1" x14ac:dyDescent="0.2"/>
    <row r="104" spans="1:8" ht="14" x14ac:dyDescent="0.2">
      <c r="A104" s="59" t="s">
        <v>39</v>
      </c>
      <c r="B104" s="14">
        <f>((80000*400*12)*0.9)*0.8</f>
        <v>276480000</v>
      </c>
      <c r="E104" s="72"/>
      <c r="F104" s="61"/>
      <c r="G104" s="61"/>
    </row>
    <row r="105" spans="1:8" ht="14" x14ac:dyDescent="0.2">
      <c r="A105" s="59" t="s">
        <v>176</v>
      </c>
      <c r="B105" s="14">
        <f>((73783*400*12)*0.9)*0.6</f>
        <v>191245536</v>
      </c>
      <c r="E105" s="20"/>
      <c r="G105" s="61"/>
      <c r="H105" s="61"/>
    </row>
    <row r="106" spans="1:8" ht="14" x14ac:dyDescent="0.2">
      <c r="A106" s="59" t="s">
        <v>182</v>
      </c>
      <c r="B106" s="14">
        <f>((12000*400*12)*0.9)*0.6</f>
        <v>31104000</v>
      </c>
      <c r="E106" s="20"/>
      <c r="G106" s="61"/>
      <c r="H106" s="61"/>
    </row>
    <row r="107" spans="1:8" ht="14" x14ac:dyDescent="0.2">
      <c r="A107" s="59" t="s">
        <v>29</v>
      </c>
      <c r="B107" s="73">
        <f>750000*250*12*0.35</f>
        <v>787500000</v>
      </c>
    </row>
    <row r="108" spans="1:8" ht="14" x14ac:dyDescent="0.2">
      <c r="A108" s="59" t="s">
        <v>41</v>
      </c>
      <c r="B108" s="73">
        <f>((180000*400*12)*0.9)*0.6</f>
        <v>466560000</v>
      </c>
    </row>
    <row r="110" spans="1:8" x14ac:dyDescent="0.2">
      <c r="A110" s="74" t="s">
        <v>177</v>
      </c>
      <c r="B110" s="73">
        <f>+B104+B105+B107+B106+B108</f>
        <v>1752889536</v>
      </c>
    </row>
    <row r="111" spans="1:8" x14ac:dyDescent="0.2">
      <c r="A111" s="74" t="s">
        <v>178</v>
      </c>
      <c r="B111" s="14">
        <f>+B110*0.35</f>
        <v>613511337.5999999</v>
      </c>
    </row>
    <row r="112" spans="1:8" x14ac:dyDescent="0.2">
      <c r="A112" s="74" t="s">
        <v>179</v>
      </c>
      <c r="B112" s="73">
        <f>+B110-B111</f>
        <v>1139378198.4000001</v>
      </c>
    </row>
    <row r="113" spans="1:2" x14ac:dyDescent="0.2">
      <c r="A113" s="74" t="s">
        <v>180</v>
      </c>
      <c r="B113" s="14">
        <f>+B112/12</f>
        <v>94948183.200000003</v>
      </c>
    </row>
    <row r="114" spans="1:2" x14ac:dyDescent="0.2">
      <c r="A114" s="74" t="s">
        <v>181</v>
      </c>
      <c r="B114" s="14">
        <f>+B113*0.5</f>
        <v>47474091.600000001</v>
      </c>
    </row>
  </sheetData>
  <mergeCells count="61">
    <mergeCell ref="L6:L7"/>
    <mergeCell ref="K12:K16"/>
    <mergeCell ref="L17:L19"/>
    <mergeCell ref="A102:C102"/>
    <mergeCell ref="B96:C96"/>
    <mergeCell ref="A88:B88"/>
    <mergeCell ref="A86:B86"/>
    <mergeCell ref="A92:C92"/>
    <mergeCell ref="B98:C98"/>
    <mergeCell ref="B99:C99"/>
    <mergeCell ref="B100:C100"/>
    <mergeCell ref="B97:C97"/>
    <mergeCell ref="B93:C93"/>
    <mergeCell ref="B94:C94"/>
    <mergeCell ref="B95:C95"/>
    <mergeCell ref="A85:B85"/>
    <mergeCell ref="F85:G85"/>
    <mergeCell ref="A87:B87"/>
    <mergeCell ref="F87:G87"/>
    <mergeCell ref="A89:E89"/>
    <mergeCell ref="F89:G89"/>
    <mergeCell ref="F88:G88"/>
    <mergeCell ref="F86:G86"/>
    <mergeCell ref="A82:B82"/>
    <mergeCell ref="F82:G82"/>
    <mergeCell ref="A83:B83"/>
    <mergeCell ref="F83:G83"/>
    <mergeCell ref="A84:B84"/>
    <mergeCell ref="F84:G84"/>
    <mergeCell ref="A79:B79"/>
    <mergeCell ref="F79:G79"/>
    <mergeCell ref="A80:B80"/>
    <mergeCell ref="F80:G80"/>
    <mergeCell ref="A81:B81"/>
    <mergeCell ref="F81:G81"/>
    <mergeCell ref="A76:B76"/>
    <mergeCell ref="F76:G76"/>
    <mergeCell ref="A77:B77"/>
    <mergeCell ref="F77:G77"/>
    <mergeCell ref="A78:B78"/>
    <mergeCell ref="F78:G78"/>
    <mergeCell ref="A75:B75"/>
    <mergeCell ref="F75:G75"/>
    <mergeCell ref="A67:B67"/>
    <mergeCell ref="A69:E69"/>
    <mergeCell ref="A68:B68"/>
    <mergeCell ref="A72:G72"/>
    <mergeCell ref="A73:B73"/>
    <mergeCell ref="F73:G73"/>
    <mergeCell ref="A74:B74"/>
    <mergeCell ref="F74:G74"/>
    <mergeCell ref="A64:B64"/>
    <mergeCell ref="A65:B65"/>
    <mergeCell ref="A66:B66"/>
    <mergeCell ref="A63:F63"/>
    <mergeCell ref="E59:F59"/>
    <mergeCell ref="A40:H40"/>
    <mergeCell ref="A1:I1"/>
    <mergeCell ref="A43:I43"/>
    <mergeCell ref="A60:H60"/>
    <mergeCell ref="E58:F58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FCE-CA13-41A5-A0FD-0425BA7722E6}">
  <dimension ref="A1:N79"/>
  <sheetViews>
    <sheetView showGridLines="0" topLeftCell="A57" zoomScale="178" zoomScaleNormal="85" workbookViewId="0">
      <pane xSplit="11920" topLeftCell="J1" activePane="topRight"/>
      <selection activeCell="A69" sqref="A69:XFD69"/>
      <selection pane="topRight" activeCell="M63" sqref="M63:N65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4" width="15.6640625" style="70" bestFit="1" customWidth="1"/>
    <col min="15" max="16384" width="11.5" style="70"/>
  </cols>
  <sheetData>
    <row r="1" spans="1:13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3" ht="15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</row>
    <row r="3" spans="1:13" ht="15" x14ac:dyDescent="0.2">
      <c r="A3" s="64" t="str">
        <f>+'L-COSTOS'!A4</f>
        <v>Diseñador Gráfico Junior</v>
      </c>
      <c r="B3" s="65"/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</row>
    <row r="4" spans="1:13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</row>
    <row r="5" spans="1:13" ht="15" x14ac:dyDescent="0.2">
      <c r="A5" s="64" t="str">
        <f>+'L-COSTOS'!A6</f>
        <v>Documentador 2</v>
      </c>
      <c r="B5" s="65">
        <f>+'L-COSTOS'!$E$6</f>
        <v>5000000</v>
      </c>
      <c r="C5" s="65">
        <f>+'L-COSTOS'!$E$6</f>
        <v>5000000</v>
      </c>
      <c r="D5" s="65">
        <f>+'L-COSTOS'!$E$6</f>
        <v>5000000</v>
      </c>
      <c r="E5" s="65">
        <f>+'L-COSTOS'!$E$6</f>
        <v>5000000</v>
      </c>
      <c r="F5" s="65">
        <f>+'L-COSTOS'!$E$6</f>
        <v>5000000</v>
      </c>
      <c r="G5" s="65">
        <f>+'L-COSTOS'!$E$6</f>
        <v>5000000</v>
      </c>
      <c r="H5" s="65">
        <f>+'L-COSTOS'!$E$6</f>
        <v>5000000</v>
      </c>
      <c r="I5" s="65">
        <f>+'L-COSTOS'!$E$6</f>
        <v>5000000</v>
      </c>
      <c r="J5" s="65">
        <f>+'L-COSTOS'!$E$6</f>
        <v>5000000</v>
      </c>
      <c r="K5" s="65">
        <f>+'L-COSTOS'!$E$6</f>
        <v>5000000</v>
      </c>
      <c r="L5" s="65">
        <f>+'L-COSTOS'!$E$6</f>
        <v>5000000</v>
      </c>
      <c r="M5" s="65">
        <f>+'L-COSTOS'!$E$6</f>
        <v>5000000</v>
      </c>
    </row>
    <row r="6" spans="1:13" ht="15" x14ac:dyDescent="0.2">
      <c r="A6" s="64" t="str">
        <f>+'L-COSTOS'!A7</f>
        <v>Documentador 3</v>
      </c>
      <c r="B6" s="65">
        <f>+'L-COSTOS'!$E$7</f>
        <v>5000000</v>
      </c>
      <c r="C6" s="65">
        <f>+'L-COSTOS'!$E$7</f>
        <v>5000000</v>
      </c>
      <c r="D6" s="65">
        <f>+'L-COSTOS'!$E$7</f>
        <v>5000000</v>
      </c>
      <c r="E6" s="65">
        <f>+'L-COSTOS'!$E$7</f>
        <v>5000000</v>
      </c>
      <c r="F6" s="65">
        <f>+'L-COSTOS'!$E$7</f>
        <v>5000000</v>
      </c>
      <c r="G6" s="65">
        <f>+'L-COSTOS'!$E$7</f>
        <v>5000000</v>
      </c>
      <c r="H6" s="65">
        <f>+'L-COSTOS'!$E$7</f>
        <v>5000000</v>
      </c>
      <c r="I6" s="65">
        <f>+'L-COSTOS'!$E$7</f>
        <v>5000000</v>
      </c>
      <c r="J6" s="65">
        <f>+'L-COSTOS'!$E$7</f>
        <v>5000000</v>
      </c>
      <c r="K6" s="65">
        <f>+'L-COSTOS'!$E$7</f>
        <v>5000000</v>
      </c>
      <c r="L6" s="65">
        <f>+'L-COSTOS'!$E$7</f>
        <v>5000000</v>
      </c>
      <c r="M6" s="65">
        <f>+'L-COSTOS'!$E$7</f>
        <v>5000000</v>
      </c>
    </row>
    <row r="7" spans="1:13" ht="15" x14ac:dyDescent="0.2">
      <c r="A7" s="64" t="str">
        <f>+'L-COSTOS'!A8</f>
        <v>Analista Programador Senior - Fijos 1</v>
      </c>
      <c r="B7" s="65">
        <f>+'L-COSTOS'!$H$8</f>
        <v>7400000</v>
      </c>
      <c r="C7" s="65">
        <f>+'L-COSTOS'!$H$8</f>
        <v>7400000</v>
      </c>
      <c r="D7" s="65">
        <f>+'L-COSTOS'!$H$8</f>
        <v>7400000</v>
      </c>
      <c r="E7" s="65">
        <f>+'L-COSTOS'!$H$8</f>
        <v>7400000</v>
      </c>
      <c r="F7" s="65">
        <f>+'L-COSTOS'!$H$8</f>
        <v>7400000</v>
      </c>
      <c r="G7" s="65">
        <f>+'L-COSTOS'!$H$8</f>
        <v>7400000</v>
      </c>
      <c r="H7" s="65">
        <f>+'L-COSTOS'!$H$8</f>
        <v>7400000</v>
      </c>
      <c r="I7" s="65">
        <f>+'L-COSTOS'!$H$8</f>
        <v>7400000</v>
      </c>
      <c r="J7" s="65">
        <f>+'L-COSTOS'!$H$8</f>
        <v>7400000</v>
      </c>
      <c r="K7" s="65">
        <f>+'L-COSTOS'!$H$8</f>
        <v>7400000</v>
      </c>
      <c r="L7" s="65">
        <f>+'L-COSTOS'!$H$8</f>
        <v>7400000</v>
      </c>
      <c r="M7" s="65">
        <f>+'L-COSTOS'!$H$8</f>
        <v>7400000</v>
      </c>
    </row>
    <row r="8" spans="1:13" ht="15" x14ac:dyDescent="0.2">
      <c r="A8" s="64" t="str">
        <f>+'L-COSTOS'!A9</f>
        <v>Analista Programador Senior - Fijos 2</v>
      </c>
      <c r="B8" s="65">
        <f>+'L-COSTOS'!$H$9</f>
        <v>7400000</v>
      </c>
      <c r="C8" s="65">
        <f>+'L-COSTOS'!$H$9</f>
        <v>7400000</v>
      </c>
      <c r="D8" s="65">
        <f>+'L-COSTOS'!$H$9</f>
        <v>7400000</v>
      </c>
      <c r="E8" s="65">
        <f>+'L-COSTOS'!$H$9</f>
        <v>7400000</v>
      </c>
      <c r="F8" s="65">
        <f>+'L-COSTOS'!$H$9</f>
        <v>7400000</v>
      </c>
      <c r="G8" s="65">
        <f>+'L-COSTOS'!$H$9</f>
        <v>7400000</v>
      </c>
      <c r="H8" s="65">
        <f>+'L-COSTOS'!$H$9</f>
        <v>7400000</v>
      </c>
      <c r="I8" s="65">
        <f>+'L-COSTOS'!$H$9</f>
        <v>7400000</v>
      </c>
      <c r="J8" s="65">
        <f>+'L-COSTOS'!$H$9</f>
        <v>7400000</v>
      </c>
      <c r="K8" s="65">
        <f>+'L-COSTOS'!$H$9</f>
        <v>7400000</v>
      </c>
      <c r="L8" s="65">
        <f>+'L-COSTOS'!$H$9</f>
        <v>7400000</v>
      </c>
      <c r="M8" s="65">
        <f>+'L-COSTOS'!$H$9</f>
        <v>7400000</v>
      </c>
    </row>
    <row r="9" spans="1:13" ht="15" x14ac:dyDescent="0.2">
      <c r="A9" s="64" t="str">
        <f>+'L-COSTOS'!A10</f>
        <v>Analista Programador Senior - Fijos 3</v>
      </c>
      <c r="B9" s="65"/>
      <c r="C9" s="65">
        <f>+'L-COSTOS'!$H$10</f>
        <v>7400000</v>
      </c>
      <c r="D9" s="65">
        <f>+'L-COSTOS'!$H$10</f>
        <v>7400000</v>
      </c>
      <c r="E9" s="65">
        <f>+'L-COSTOS'!$H$10</f>
        <v>7400000</v>
      </c>
      <c r="F9" s="65">
        <f>+'L-COSTOS'!$H$10</f>
        <v>7400000</v>
      </c>
      <c r="G9" s="65">
        <f>+'L-COSTOS'!$H$10</f>
        <v>7400000</v>
      </c>
      <c r="H9" s="65">
        <f>+'L-COSTOS'!$H$10</f>
        <v>7400000</v>
      </c>
      <c r="I9" s="65">
        <f>+'L-COSTOS'!$H$10</f>
        <v>7400000</v>
      </c>
      <c r="J9" s="65">
        <f>+'L-COSTOS'!$H$10</f>
        <v>7400000</v>
      </c>
      <c r="K9" s="65"/>
      <c r="L9" s="65"/>
      <c r="M9" s="65"/>
    </row>
    <row r="10" spans="1:13" ht="15" x14ac:dyDescent="0.2">
      <c r="A10" s="64" t="str">
        <f>+'L-COSTOS'!A11</f>
        <v>Analista Programador Senior - Fijos 4</v>
      </c>
      <c r="B10" s="65"/>
      <c r="C10" s="65">
        <f>+'L-COSTOS'!$H$11</f>
        <v>7400000</v>
      </c>
      <c r="D10" s="65">
        <f>+'L-COSTOS'!$H$11</f>
        <v>7400000</v>
      </c>
      <c r="E10" s="65">
        <f>+'L-COSTOS'!$H$11</f>
        <v>7400000</v>
      </c>
      <c r="F10" s="65">
        <f>+'L-COSTOS'!$H$11</f>
        <v>7400000</v>
      </c>
      <c r="G10" s="65">
        <f>+'L-COSTOS'!$H$11</f>
        <v>7400000</v>
      </c>
      <c r="H10" s="65">
        <f>+'L-COSTOS'!$H$11</f>
        <v>7400000</v>
      </c>
      <c r="I10" s="65">
        <f>+'L-COSTOS'!$H$11</f>
        <v>7400000</v>
      </c>
      <c r="J10" s="65">
        <f>+'L-COSTOS'!$H$11</f>
        <v>7400000</v>
      </c>
      <c r="K10" s="65"/>
      <c r="L10" s="65"/>
      <c r="M10" s="65"/>
    </row>
    <row r="11" spans="1:13" ht="15" x14ac:dyDescent="0.2">
      <c r="A11" s="64" t="str">
        <f>+'L-COSTOS'!A12</f>
        <v>Analista Programador Senior - Temp 1</v>
      </c>
      <c r="B11" s="65"/>
      <c r="C11" s="65">
        <f>+'L-COSTOS'!$H$12</f>
        <v>7400000</v>
      </c>
      <c r="D11" s="65">
        <f>+'L-COSTOS'!$H$12</f>
        <v>7400000</v>
      </c>
      <c r="E11" s="65">
        <f>+'L-COSTOS'!$H$12</f>
        <v>7400000</v>
      </c>
      <c r="F11" s="65">
        <f>+'L-COSTOS'!$H$12</f>
        <v>7400000</v>
      </c>
      <c r="G11" s="65">
        <f>+'L-COSTOS'!$H$12</f>
        <v>7400000</v>
      </c>
      <c r="H11" s="65">
        <f>+'L-COSTOS'!$H$12</f>
        <v>7400000</v>
      </c>
      <c r="I11" s="65">
        <f>+'L-COSTOS'!$H$12</f>
        <v>7400000</v>
      </c>
      <c r="J11" s="65">
        <f>+'L-COSTOS'!$H$12</f>
        <v>7400000</v>
      </c>
      <c r="K11" s="65"/>
      <c r="L11" s="65"/>
      <c r="M11" s="65"/>
    </row>
    <row r="12" spans="1:13" ht="15" x14ac:dyDescent="0.2">
      <c r="A12" s="64" t="str">
        <f>+'L-COSTOS'!A13</f>
        <v>Analista Programador Senior - Temp 2</v>
      </c>
      <c r="B12" s="65"/>
      <c r="C12" s="65">
        <f>+'L-COSTOS'!$H$13</f>
        <v>7400000</v>
      </c>
      <c r="D12" s="65">
        <f>+'L-COSTOS'!$H$13</f>
        <v>7400000</v>
      </c>
      <c r="E12" s="65">
        <f>+'L-COSTOS'!$H$13</f>
        <v>7400000</v>
      </c>
      <c r="F12" s="65">
        <f>+'L-COSTOS'!$H$13</f>
        <v>7400000</v>
      </c>
      <c r="G12" s="65">
        <f>+'L-COSTOS'!$H$13</f>
        <v>7400000</v>
      </c>
      <c r="H12" s="65">
        <f>+'L-COSTOS'!$H$13</f>
        <v>7400000</v>
      </c>
      <c r="I12" s="65">
        <f>+'L-COSTOS'!$H$13</f>
        <v>7400000</v>
      </c>
      <c r="J12" s="65">
        <f>+'L-COSTOS'!$H$13</f>
        <v>7400000</v>
      </c>
      <c r="K12" s="65"/>
      <c r="L12" s="65"/>
      <c r="M12" s="65"/>
    </row>
    <row r="13" spans="1:13" ht="15" x14ac:dyDescent="0.2">
      <c r="A13" s="64" t="str">
        <f>+'L-COSTOS'!A14</f>
        <v>Analista Programador Senior - Temp 3</v>
      </c>
      <c r="B13" s="65"/>
      <c r="C13" s="65">
        <f>+'L-COSTOS'!$H$14</f>
        <v>7400000</v>
      </c>
      <c r="D13" s="65">
        <f>+'L-COSTOS'!$H$14</f>
        <v>7400000</v>
      </c>
      <c r="E13" s="65">
        <f>+'L-COSTOS'!$H$14</f>
        <v>7400000</v>
      </c>
      <c r="F13" s="65">
        <f>+'L-COSTOS'!$H$14</f>
        <v>7400000</v>
      </c>
      <c r="G13" s="65">
        <f>+'L-COSTOS'!$H$14</f>
        <v>7400000</v>
      </c>
      <c r="H13" s="65">
        <f>+'L-COSTOS'!$H$14</f>
        <v>7400000</v>
      </c>
      <c r="I13" s="65">
        <f>+'L-COSTOS'!$H$14</f>
        <v>7400000</v>
      </c>
      <c r="J13" s="65">
        <f>+'L-COSTOS'!$H$14</f>
        <v>7400000</v>
      </c>
      <c r="K13" s="65"/>
      <c r="L13" s="65"/>
      <c r="M13" s="65"/>
    </row>
    <row r="14" spans="1:13" ht="15" x14ac:dyDescent="0.2">
      <c r="A14" s="64" t="str">
        <f>+'L-COSTOS'!A15</f>
        <v>Analista Programador Senior - Temp 4</v>
      </c>
      <c r="B14" s="65"/>
      <c r="C14" s="65">
        <f>+'L-COSTOS'!$H$15</f>
        <v>7400000</v>
      </c>
      <c r="D14" s="65">
        <f>+'L-COSTOS'!$H$15</f>
        <v>7400000</v>
      </c>
      <c r="E14" s="65">
        <f>+'L-COSTOS'!$H$15</f>
        <v>7400000</v>
      </c>
      <c r="F14" s="65">
        <f>+'L-COSTOS'!$H$15</f>
        <v>7400000</v>
      </c>
      <c r="G14" s="65">
        <f>+'L-COSTOS'!$H$15</f>
        <v>7400000</v>
      </c>
      <c r="H14" s="65">
        <f>+'L-COSTOS'!$H$15</f>
        <v>7400000</v>
      </c>
      <c r="I14" s="65">
        <f>+'L-COSTOS'!$H$15</f>
        <v>7400000</v>
      </c>
      <c r="J14" s="65">
        <f>+'L-COSTOS'!$H$15</f>
        <v>7400000</v>
      </c>
      <c r="K14" s="65"/>
      <c r="L14" s="65"/>
      <c r="M14" s="65"/>
    </row>
    <row r="15" spans="1:13" ht="15" x14ac:dyDescent="0.2">
      <c r="A15" s="64" t="str">
        <f>+'L-COSTOS'!A16</f>
        <v>Analista Programador Senior - Temp 5</v>
      </c>
      <c r="B15" s="65"/>
      <c r="C15" s="65">
        <f>+'L-COSTOS'!$H$16</f>
        <v>7400000</v>
      </c>
      <c r="D15" s="65">
        <f>+'L-COSTOS'!$H$16</f>
        <v>7400000</v>
      </c>
      <c r="E15" s="65">
        <f>+'L-COSTOS'!$H$16</f>
        <v>7400000</v>
      </c>
      <c r="F15" s="65">
        <f>+'L-COSTOS'!$H$16</f>
        <v>7400000</v>
      </c>
      <c r="G15" s="65">
        <f>+'L-COSTOS'!$H$16</f>
        <v>7400000</v>
      </c>
      <c r="H15" s="65">
        <f>+'L-COSTOS'!$H$16</f>
        <v>7400000</v>
      </c>
      <c r="I15" s="65">
        <f>+'L-COSTOS'!$H$16</f>
        <v>7400000</v>
      </c>
      <c r="J15" s="65">
        <f>+'L-COSTOS'!$H$16</f>
        <v>7400000</v>
      </c>
      <c r="K15" s="65"/>
      <c r="L15" s="65"/>
      <c r="M15" s="65"/>
    </row>
    <row r="16" spans="1:13" ht="15" x14ac:dyDescent="0.2">
      <c r="A16" s="64" t="str">
        <f>+'L-COSTOS'!A17</f>
        <v>Analista Programador Senior - Eventuales 1</v>
      </c>
      <c r="B16" s="65"/>
      <c r="C16" s="65">
        <f>+'L-COSTOS'!$H$17</f>
        <v>7400000</v>
      </c>
      <c r="D16" s="65">
        <f>+'L-COSTOS'!$H$17</f>
        <v>7400000</v>
      </c>
      <c r="E16" s="65">
        <f>+'L-COSTOS'!$H$17</f>
        <v>7400000</v>
      </c>
      <c r="F16" s="65">
        <f>+'L-COSTOS'!$H$17</f>
        <v>7400000</v>
      </c>
      <c r="G16" s="65">
        <f>+'L-COSTOS'!$H$17</f>
        <v>7400000</v>
      </c>
      <c r="H16" s="65">
        <f>+'L-COSTOS'!$H$17</f>
        <v>7400000</v>
      </c>
      <c r="I16" s="65">
        <f>+'L-COSTOS'!$H$17</f>
        <v>7400000</v>
      </c>
      <c r="J16" s="65">
        <f>+'L-COSTOS'!$H$17</f>
        <v>7400000</v>
      </c>
      <c r="K16" s="65"/>
      <c r="L16" s="65"/>
      <c r="M16" s="65"/>
    </row>
    <row r="17" spans="1:13" ht="15" x14ac:dyDescent="0.2">
      <c r="A17" s="64" t="str">
        <f>+'L-COSTOS'!A18</f>
        <v>Analista Programador Senior - Eventuales 2</v>
      </c>
      <c r="B17" s="65"/>
      <c r="C17" s="65">
        <f>+'L-COSTOS'!$H$18</f>
        <v>7400000</v>
      </c>
      <c r="D17" s="65">
        <f>+'L-COSTOS'!$H$18</f>
        <v>7400000</v>
      </c>
      <c r="E17" s="65">
        <f>+'L-COSTOS'!$H$18</f>
        <v>7400000</v>
      </c>
      <c r="F17" s="65">
        <f>+'L-COSTOS'!$H$18</f>
        <v>7400000</v>
      </c>
      <c r="G17" s="65">
        <f>+'L-COSTOS'!$H$18</f>
        <v>7400000</v>
      </c>
      <c r="H17" s="65">
        <f>+'L-COSTOS'!$H$18</f>
        <v>7400000</v>
      </c>
      <c r="I17" s="65">
        <f>+'L-COSTOS'!$H$18</f>
        <v>7400000</v>
      </c>
      <c r="J17" s="65">
        <f>+'L-COSTOS'!$H$18</f>
        <v>7400000</v>
      </c>
      <c r="K17" s="65"/>
      <c r="L17" s="65"/>
      <c r="M17" s="65"/>
    </row>
    <row r="18" spans="1:13" ht="15" x14ac:dyDescent="0.2">
      <c r="A18" s="64" t="str">
        <f>+'L-COSTOS'!A19</f>
        <v>Analista Programador Senior - Eventuales 3</v>
      </c>
      <c r="B18" s="65"/>
      <c r="C18" s="65">
        <f>+'L-COSTOS'!$H$19</f>
        <v>7400000</v>
      </c>
      <c r="D18" s="65">
        <f>+'L-COSTOS'!$H$19</f>
        <v>7400000</v>
      </c>
      <c r="E18" s="65">
        <f>+'L-COSTOS'!$H$19</f>
        <v>7400000</v>
      </c>
      <c r="F18" s="65">
        <f>+'L-COSTOS'!$H$19</f>
        <v>7400000</v>
      </c>
      <c r="G18" s="65">
        <f>+'L-COSTOS'!$H$19</f>
        <v>7400000</v>
      </c>
      <c r="H18" s="65">
        <f>+'L-COSTOS'!$H$19</f>
        <v>7400000</v>
      </c>
      <c r="I18" s="65">
        <f>+'L-COSTOS'!$H$19</f>
        <v>7400000</v>
      </c>
      <c r="J18" s="65">
        <f>+'L-COSTOS'!$H$19</f>
        <v>7400000</v>
      </c>
      <c r="K18" s="65"/>
      <c r="L18" s="65"/>
      <c r="M18" s="65"/>
    </row>
    <row r="19" spans="1:13" ht="15" x14ac:dyDescent="0.2">
      <c r="A19" s="64" t="str">
        <f>+'L-COSTOS'!A20</f>
        <v>Analista Programador ARGIS (SIG)</v>
      </c>
      <c r="B19" s="65">
        <f>+'L-COSTOS'!$H$20</f>
        <v>10000000</v>
      </c>
      <c r="C19" s="65">
        <f>+'L-COSTOS'!$E$20</f>
        <v>10000000</v>
      </c>
      <c r="D19" s="65">
        <f>+'L-COSTOS'!$E$20</f>
        <v>10000000</v>
      </c>
      <c r="E19" s="65">
        <f>+'L-COSTOS'!$E$20</f>
        <v>10000000</v>
      </c>
      <c r="F19" s="65">
        <f>+'L-COSTOS'!$E$20</f>
        <v>10000000</v>
      </c>
      <c r="G19" s="65">
        <f>+'L-COSTOS'!$E$20</f>
        <v>10000000</v>
      </c>
      <c r="H19" s="65">
        <f>+'L-COSTOS'!$E$20</f>
        <v>10000000</v>
      </c>
      <c r="I19" s="65">
        <f>+'L-COSTOS'!$E$20</f>
        <v>10000000</v>
      </c>
      <c r="J19" s="65">
        <f>+'L-COSTOS'!$E$20</f>
        <v>10000000</v>
      </c>
      <c r="K19" s="65">
        <f>+'L-COSTOS'!$E$20</f>
        <v>10000000</v>
      </c>
      <c r="L19" s="65">
        <f>+'L-COSTOS'!$E$20</f>
        <v>10000000</v>
      </c>
      <c r="M19" s="65">
        <f>+'L-COSTOS'!$E$20</f>
        <v>10000000</v>
      </c>
    </row>
    <row r="20" spans="1:13" ht="15" x14ac:dyDescent="0.2">
      <c r="A20" s="64" t="str">
        <f>+'L-COSTOS'!A21</f>
        <v>Proyect Manager</v>
      </c>
      <c r="B20" s="65">
        <f>+'L-COSTOS'!H21</f>
        <v>12000000</v>
      </c>
      <c r="C20" s="65">
        <f>+'L-COSTOS'!$E$21</f>
        <v>12000000</v>
      </c>
      <c r="D20" s="65">
        <f>+'L-COSTOS'!$E$21</f>
        <v>12000000</v>
      </c>
      <c r="E20" s="65">
        <f>+'L-COSTOS'!$E$21</f>
        <v>12000000</v>
      </c>
      <c r="F20" s="65">
        <f>+'L-COSTOS'!$E$21</f>
        <v>12000000</v>
      </c>
      <c r="G20" s="65">
        <f>+'L-COSTOS'!$E$21</f>
        <v>12000000</v>
      </c>
      <c r="H20" s="65">
        <f>+'L-COSTOS'!$E$21</f>
        <v>12000000</v>
      </c>
      <c r="I20" s="65">
        <f>+'L-COSTOS'!$E$21</f>
        <v>12000000</v>
      </c>
      <c r="J20" s="65"/>
      <c r="K20" s="65"/>
      <c r="L20" s="65"/>
      <c r="M20" s="65"/>
    </row>
    <row r="21" spans="1:13" ht="15" x14ac:dyDescent="0.2">
      <c r="A21" s="64" t="str">
        <f>+'L-COSTOS'!A22</f>
        <v>Community Manager</v>
      </c>
      <c r="B21" s="65"/>
      <c r="C21" s="65"/>
      <c r="D21" s="65"/>
      <c r="E21" s="65"/>
      <c r="F21" s="65">
        <f>+'L-COSTOS'!$E$22</f>
        <v>3000000</v>
      </c>
      <c r="G21" s="65">
        <f>+'L-COSTOS'!$E$22</f>
        <v>3000000</v>
      </c>
      <c r="H21" s="65">
        <f>+'L-COSTOS'!$E$22</f>
        <v>3000000</v>
      </c>
      <c r="I21" s="65">
        <f>+'L-COSTOS'!$E$22</f>
        <v>3000000</v>
      </c>
      <c r="J21" s="65">
        <f>+'L-COSTOS'!$E$22</f>
        <v>3000000</v>
      </c>
      <c r="K21" s="65">
        <f>+'L-COSTOS'!$E$22</f>
        <v>3000000</v>
      </c>
      <c r="L21" s="65">
        <f>+'L-COSTOS'!$E$22</f>
        <v>3000000</v>
      </c>
      <c r="M21" s="65">
        <f>+'L-COSTOS'!$E$22</f>
        <v>3000000</v>
      </c>
    </row>
    <row r="22" spans="1:13" ht="15" x14ac:dyDescent="0.2">
      <c r="A22" s="64" t="str">
        <f>+'L-COSTOS'!A23</f>
        <v>Contador</v>
      </c>
      <c r="B22" s="65">
        <f>+'L-COSTOS'!H23</f>
        <v>3500000</v>
      </c>
      <c r="C22" s="65">
        <f>+'L-COSTOS'!$E$23</f>
        <v>3500000</v>
      </c>
      <c r="D22" s="65">
        <f>+'L-COSTOS'!$E$23</f>
        <v>3500000</v>
      </c>
      <c r="E22" s="65">
        <f>+'L-COSTOS'!$E$23</f>
        <v>3500000</v>
      </c>
      <c r="F22" s="65">
        <f>+'L-COSTOS'!$E$23</f>
        <v>3500000</v>
      </c>
      <c r="G22" s="65">
        <f>+'L-COSTOS'!$E$23</f>
        <v>3500000</v>
      </c>
      <c r="H22" s="65">
        <f>+'L-COSTOS'!$E$23</f>
        <v>3500000</v>
      </c>
      <c r="I22" s="65">
        <f>+'L-COSTOS'!$E$23</f>
        <v>3500000</v>
      </c>
      <c r="J22" s="65">
        <f>+'L-COSTOS'!$E$23</f>
        <v>3500000</v>
      </c>
      <c r="K22" s="65">
        <f>+'L-COSTOS'!$E$23</f>
        <v>3500000</v>
      </c>
      <c r="L22" s="65">
        <f>+'L-COSTOS'!$E$23</f>
        <v>3500000</v>
      </c>
      <c r="M22" s="65">
        <f>+'L-COSTOS'!$E$23</f>
        <v>3500000</v>
      </c>
    </row>
    <row r="23" spans="1:13" ht="15" x14ac:dyDescent="0.2">
      <c r="A23" s="64" t="str">
        <f>+'L-COSTOS'!A24</f>
        <v>Analista Administrativo</v>
      </c>
      <c r="B23" s="65">
        <f>+'L-COSTOS'!$E$24</f>
        <v>2500000</v>
      </c>
      <c r="C23" s="65">
        <f>+'L-COSTOS'!$E$24</f>
        <v>2500000</v>
      </c>
      <c r="D23" s="65">
        <f>+'L-COSTOS'!$E$24</f>
        <v>2500000</v>
      </c>
      <c r="E23" s="65">
        <f>+'L-COSTOS'!$E$24</f>
        <v>2500000</v>
      </c>
      <c r="F23" s="65">
        <f>+'L-COSTOS'!$E$24</f>
        <v>2500000</v>
      </c>
      <c r="G23" s="65">
        <f>+'L-COSTOS'!$E$24</f>
        <v>2500000</v>
      </c>
      <c r="H23" s="65">
        <f>+'L-COSTOS'!$E$24</f>
        <v>2500000</v>
      </c>
      <c r="I23" s="65">
        <f>+'L-COSTOS'!$E$24</f>
        <v>2500000</v>
      </c>
      <c r="J23" s="65">
        <f>+'L-COSTOS'!$E$24</f>
        <v>2500000</v>
      </c>
      <c r="K23" s="65">
        <f>+'L-COSTOS'!$E$24</f>
        <v>2500000</v>
      </c>
      <c r="L23" s="65">
        <f>+'L-COSTOS'!$E$24</f>
        <v>2500000</v>
      </c>
      <c r="M23" s="65">
        <f>+'L-COSTOS'!$E$24</f>
        <v>2500000</v>
      </c>
    </row>
    <row r="24" spans="1:13" ht="15" x14ac:dyDescent="0.2">
      <c r="A24" s="64" t="str">
        <f>+'L-COSTOS'!A25</f>
        <v>Ingeniero de redes</v>
      </c>
      <c r="B24" s="65">
        <f>+'L-COSTOS'!$E$25</f>
        <v>4800000</v>
      </c>
      <c r="C24" s="65">
        <f>+'L-COSTOS'!$E$25</f>
        <v>4800000</v>
      </c>
      <c r="D24" s="65">
        <f>+'L-COSTOS'!$E$25</f>
        <v>4800000</v>
      </c>
      <c r="E24" s="65">
        <f>+'L-COSTOS'!$E$25</f>
        <v>4800000</v>
      </c>
      <c r="F24" s="65">
        <f>+'L-COSTOS'!$E$25</f>
        <v>4800000</v>
      </c>
      <c r="G24" s="65">
        <f>+'L-COSTOS'!$E$25</f>
        <v>4800000</v>
      </c>
      <c r="H24" s="65">
        <f>+'L-COSTOS'!$E$25</f>
        <v>4800000</v>
      </c>
      <c r="I24" s="65">
        <f>+'L-COSTOS'!$E$25</f>
        <v>4800000</v>
      </c>
      <c r="J24" s="65">
        <f>+'L-COSTOS'!$E$25</f>
        <v>4800000</v>
      </c>
      <c r="K24" s="65">
        <f>+'L-COSTOS'!$E$25</f>
        <v>4800000</v>
      </c>
      <c r="L24" s="65">
        <f>+'L-COSTOS'!$E$25</f>
        <v>4800000</v>
      </c>
      <c r="M24" s="65">
        <f>+'L-COSTOS'!$E$25</f>
        <v>4800000</v>
      </c>
    </row>
    <row r="25" spans="1:13" ht="15" x14ac:dyDescent="0.2">
      <c r="A25" s="64" t="str">
        <f>+'L-COSTOS'!A26</f>
        <v>Luis Alfredo Ramos</v>
      </c>
      <c r="B25" s="65">
        <f>+'L-COSTOS'!$E$26</f>
        <v>8500000</v>
      </c>
      <c r="C25" s="65">
        <f>+'L-COSTOS'!$E$26</f>
        <v>8500000</v>
      </c>
      <c r="D25" s="65">
        <f>+'L-COSTOS'!$E$26</f>
        <v>8500000</v>
      </c>
      <c r="E25" s="65">
        <f>+'L-COSTOS'!$E$26</f>
        <v>8500000</v>
      </c>
      <c r="F25" s="65">
        <f>+'L-COSTOS'!$E$26</f>
        <v>8500000</v>
      </c>
      <c r="G25" s="65">
        <f>+'L-COSTOS'!$E$26</f>
        <v>8500000</v>
      </c>
      <c r="H25" s="65">
        <f>+'L-COSTOS'!$E$26</f>
        <v>8500000</v>
      </c>
      <c r="I25" s="65">
        <f>+'L-COSTOS'!$E$26</f>
        <v>8500000</v>
      </c>
      <c r="J25" s="65">
        <f>+'L-COSTOS'!$E$26</f>
        <v>8500000</v>
      </c>
      <c r="K25" s="65">
        <f>+'L-COSTOS'!$E$26</f>
        <v>8500000</v>
      </c>
      <c r="L25" s="65">
        <f>+'L-COSTOS'!$E$26</f>
        <v>8500000</v>
      </c>
      <c r="M25" s="65">
        <f>+'L-COSTOS'!$E$26</f>
        <v>8500000</v>
      </c>
    </row>
    <row r="26" spans="1:13" ht="15" x14ac:dyDescent="0.2">
      <c r="A26" s="64" t="str">
        <f>+'L-COSTOS'!A27</f>
        <v>Lobsang Flechas</v>
      </c>
      <c r="B26" s="65">
        <f>+'L-COSTOS'!$E$27</f>
        <v>4800000</v>
      </c>
      <c r="C26" s="65">
        <f>+'L-COSTOS'!$E$27</f>
        <v>4800000</v>
      </c>
      <c r="D26" s="65">
        <f>+'L-COSTOS'!$E$27</f>
        <v>4800000</v>
      </c>
      <c r="E26" s="65">
        <f>+'L-COSTOS'!$E$27</f>
        <v>4800000</v>
      </c>
      <c r="F26" s="65">
        <f>+'L-COSTOS'!$E$27</f>
        <v>4800000</v>
      </c>
      <c r="G26" s="65">
        <f>+'L-COSTOS'!$E$27</f>
        <v>4800000</v>
      </c>
      <c r="H26" s="65">
        <f>+'L-COSTOS'!$E$27</f>
        <v>4800000</v>
      </c>
      <c r="I26" s="65">
        <f>+'L-COSTOS'!$E$27</f>
        <v>4800000</v>
      </c>
      <c r="J26" s="65">
        <f>+'L-COSTOS'!$E$27</f>
        <v>4800000</v>
      </c>
      <c r="K26" s="65">
        <f>+'L-COSTOS'!$E$27</f>
        <v>4800000</v>
      </c>
      <c r="L26" s="65">
        <f>+'L-COSTOS'!$E$27</f>
        <v>4800000</v>
      </c>
      <c r="M26" s="65">
        <f>+'L-COSTOS'!$E$27</f>
        <v>4800000</v>
      </c>
    </row>
    <row r="27" spans="1:13" ht="15" x14ac:dyDescent="0.2">
      <c r="A27" s="64" t="str">
        <f>+'L-COSTOS'!A28</f>
        <v>Jordi Vives</v>
      </c>
      <c r="B27" s="65">
        <f>+'L-COSTOS'!$E$28</f>
        <v>9600000</v>
      </c>
      <c r="C27" s="65">
        <f>+'L-COSTOS'!$E$28</f>
        <v>9600000</v>
      </c>
      <c r="D27" s="65">
        <f>+'L-COSTOS'!$E$28</f>
        <v>9600000</v>
      </c>
      <c r="E27" s="65">
        <f>+'L-COSTOS'!$E$28</f>
        <v>9600000</v>
      </c>
      <c r="F27" s="65">
        <f>+'L-COSTOS'!$E$28</f>
        <v>9600000</v>
      </c>
      <c r="G27" s="65">
        <f>+'L-COSTOS'!$E$28</f>
        <v>9600000</v>
      </c>
      <c r="H27" s="65">
        <f>+'L-COSTOS'!$E$28</f>
        <v>9600000</v>
      </c>
      <c r="I27" s="65">
        <f>+'L-COSTOS'!$E$28</f>
        <v>9600000</v>
      </c>
      <c r="J27" s="65">
        <f>+'L-COSTOS'!$E$28</f>
        <v>9600000</v>
      </c>
      <c r="K27" s="65">
        <f>+'L-COSTOS'!$E$28</f>
        <v>9600000</v>
      </c>
      <c r="L27" s="65">
        <f>+'L-COSTOS'!$E$28</f>
        <v>9600000</v>
      </c>
      <c r="M27" s="65">
        <f>+'L-COSTOS'!$E$28</f>
        <v>9600000</v>
      </c>
    </row>
    <row r="28" spans="1:13" ht="15" x14ac:dyDescent="0.2">
      <c r="A28" s="64" t="str">
        <f>+'L-COSTOS'!A29</f>
        <v>Juan Sebastian Panesso</v>
      </c>
      <c r="B28" s="65">
        <f>+'L-COSTOS'!$E$29</f>
        <v>3000000</v>
      </c>
      <c r="C28" s="65">
        <f>+'L-COSTOS'!$E$29</f>
        <v>3000000</v>
      </c>
      <c r="D28" s="65">
        <f>+'L-COSTOS'!$E$29</f>
        <v>3000000</v>
      </c>
      <c r="E28" s="65">
        <f>+'L-COSTOS'!$E$29</f>
        <v>3000000</v>
      </c>
      <c r="F28" s="65">
        <f>+'L-COSTOS'!$E$29</f>
        <v>3000000</v>
      </c>
      <c r="G28" s="65">
        <f>+'L-COSTOS'!$E$29</f>
        <v>3000000</v>
      </c>
      <c r="H28" s="65">
        <f>+'L-COSTOS'!$E$29</f>
        <v>3000000</v>
      </c>
      <c r="I28" s="65">
        <f>+'L-COSTOS'!$E$29</f>
        <v>3000000</v>
      </c>
      <c r="J28" s="65">
        <f>+'L-COSTOS'!$E$29</f>
        <v>3000000</v>
      </c>
      <c r="K28" s="65">
        <f>+'L-COSTOS'!$E$29</f>
        <v>3000000</v>
      </c>
      <c r="L28" s="65">
        <f>+'L-COSTOS'!$E$29</f>
        <v>3000000</v>
      </c>
      <c r="M28" s="65">
        <f>+'L-COSTOS'!$E$29</f>
        <v>3000000</v>
      </c>
    </row>
    <row r="29" spans="1:13" ht="15" x14ac:dyDescent="0.2">
      <c r="A29" s="64" t="str">
        <f>+'L-COSTOS'!A31</f>
        <v>Daniel Casalprim - CONSULTOR LADM-COL</v>
      </c>
      <c r="B29" s="65">
        <f>+'L-COSTOS'!$E$31</f>
        <v>10000000</v>
      </c>
      <c r="C29" s="65">
        <f>+'L-COSTOS'!$E$31</f>
        <v>10000000</v>
      </c>
      <c r="D29" s="65">
        <f>+'L-COSTOS'!$E$31</f>
        <v>10000000</v>
      </c>
      <c r="E29" s="65">
        <f>+'L-COSTOS'!$E$31</f>
        <v>10000000</v>
      </c>
      <c r="F29" s="65">
        <f>+'L-COSTOS'!$E$31</f>
        <v>10000000</v>
      </c>
      <c r="G29" s="65">
        <f>+'L-COSTOS'!$E$31</f>
        <v>10000000</v>
      </c>
      <c r="H29" s="65">
        <f>+'L-COSTOS'!$E$31</f>
        <v>10000000</v>
      </c>
      <c r="I29" s="65">
        <f>+'L-COSTOS'!$E$31</f>
        <v>10000000</v>
      </c>
      <c r="J29" s="65">
        <f>+'L-COSTOS'!$E$31</f>
        <v>10000000</v>
      </c>
      <c r="K29" s="65">
        <f>+'L-COSTOS'!$E$31</f>
        <v>10000000</v>
      </c>
      <c r="L29" s="65">
        <f>+'L-COSTOS'!$E$31</f>
        <v>10000000</v>
      </c>
      <c r="M29" s="65">
        <f>+'L-COSTOS'!$E$31</f>
        <v>10000000</v>
      </c>
    </row>
    <row r="30" spans="1:13" ht="15" x14ac:dyDescent="0.2">
      <c r="A30" s="64" t="str">
        <f>+'L-COSTOS'!A32</f>
        <v>Programador SENIOR (Gohan)</v>
      </c>
      <c r="B30" s="65">
        <f>+'L-COSTOS'!$E$32</f>
        <v>4185000</v>
      </c>
      <c r="C30" s="65">
        <f>+'L-COSTOS'!$E$32</f>
        <v>4185000</v>
      </c>
      <c r="D30" s="65">
        <f>+'L-COSTOS'!$E$32</f>
        <v>4185000</v>
      </c>
      <c r="E30" s="65">
        <f>+'L-COSTOS'!$E$32</f>
        <v>4185000</v>
      </c>
      <c r="F30" s="65">
        <f>+'L-COSTOS'!$E$32</f>
        <v>4185000</v>
      </c>
      <c r="G30" s="65">
        <f>+'L-COSTOS'!$E$32</f>
        <v>4185000</v>
      </c>
      <c r="H30" s="65">
        <f>+'L-COSTOS'!$E$32</f>
        <v>4185000</v>
      </c>
      <c r="I30" s="65">
        <f>+'L-COSTOS'!$E$32</f>
        <v>4185000</v>
      </c>
      <c r="J30" s="65">
        <f>+'L-COSTOS'!$E$32</f>
        <v>4185000</v>
      </c>
      <c r="K30" s="65">
        <f>+'L-COSTOS'!$E$32</f>
        <v>4185000</v>
      </c>
      <c r="L30" s="65">
        <f>+'L-COSTOS'!$E$32</f>
        <v>4185000</v>
      </c>
      <c r="M30" s="65">
        <f>+'L-COSTOS'!$E$32</f>
        <v>4185000</v>
      </c>
    </row>
    <row r="31" spans="1:13" ht="15" x14ac:dyDescent="0.2">
      <c r="A31" s="64" t="str">
        <f>+'L-COSTOS'!A33</f>
        <v xml:space="preserve">Progamador JUNIOR (Ronny) </v>
      </c>
      <c r="B31" s="65">
        <f>+'L-COSTOS'!$E$33</f>
        <v>3000000</v>
      </c>
      <c r="C31" s="65">
        <f>+'L-COSTOS'!$E$33</f>
        <v>3000000</v>
      </c>
      <c r="D31" s="65">
        <f>+'L-COSTOS'!$E$33</f>
        <v>3000000</v>
      </c>
      <c r="E31" s="65">
        <f>+'L-COSTOS'!$E$33</f>
        <v>3000000</v>
      </c>
      <c r="F31" s="65">
        <f>+'L-COSTOS'!$E$33</f>
        <v>3000000</v>
      </c>
      <c r="G31" s="65">
        <f>+'L-COSTOS'!$E$33</f>
        <v>3000000</v>
      </c>
      <c r="H31" s="65">
        <f>+'L-COSTOS'!$E$33</f>
        <v>3000000</v>
      </c>
      <c r="I31" s="65">
        <f>+'L-COSTOS'!$E$33</f>
        <v>3000000</v>
      </c>
      <c r="J31" s="65">
        <f>+'L-COSTOS'!$E$33</f>
        <v>3000000</v>
      </c>
      <c r="K31" s="65">
        <f>+'L-COSTOS'!$E$33</f>
        <v>3000000</v>
      </c>
      <c r="L31" s="65">
        <f>+'L-COSTOS'!$E$33</f>
        <v>3000000</v>
      </c>
      <c r="M31" s="65">
        <f>+'L-COSTOS'!$E$33</f>
        <v>3000000</v>
      </c>
    </row>
    <row r="32" spans="1:13" ht="15" x14ac:dyDescent="0.2">
      <c r="A32" s="64" t="str">
        <f>+'L-COSTOS'!A34</f>
        <v>Elkin (Iliana)</v>
      </c>
      <c r="B32" s="65">
        <f>+'L-COSTOS'!$E$34</f>
        <v>4000000</v>
      </c>
      <c r="C32" s="65">
        <f>+'L-COSTOS'!$E$34</f>
        <v>4000000</v>
      </c>
      <c r="D32" s="65">
        <f>+'L-COSTOS'!$E$34</f>
        <v>4000000</v>
      </c>
      <c r="E32" s="65">
        <f>+'L-COSTOS'!$E$34</f>
        <v>4000000</v>
      </c>
      <c r="F32" s="65">
        <f>+'L-COSTOS'!$E$34</f>
        <v>4000000</v>
      </c>
      <c r="G32" s="65">
        <f>+'L-COSTOS'!$E$34</f>
        <v>4000000</v>
      </c>
      <c r="H32" s="65"/>
      <c r="I32" s="65"/>
      <c r="J32" s="65"/>
      <c r="K32" s="65"/>
      <c r="L32" s="65"/>
      <c r="M32" s="65"/>
    </row>
    <row r="33" spans="1:13" ht="15" x14ac:dyDescent="0.2">
      <c r="A33" s="64" t="str">
        <f>+'L-COSTOS'!A35</f>
        <v>Sofía (Iliana)</v>
      </c>
      <c r="B33" s="65">
        <f>+'L-COSTOS'!$E$35</f>
        <v>4000000</v>
      </c>
      <c r="C33" s="65">
        <f>+'L-COSTOS'!$E$35</f>
        <v>4000000</v>
      </c>
      <c r="D33" s="65">
        <f>+'L-COSTOS'!$E$35</f>
        <v>4000000</v>
      </c>
      <c r="E33" s="65">
        <f>+'L-COSTOS'!$E$35</f>
        <v>4000000</v>
      </c>
      <c r="F33" s="65">
        <f>+'L-COSTOS'!$E$35</f>
        <v>4000000</v>
      </c>
      <c r="G33" s="65">
        <f>+'L-COSTOS'!$E$35</f>
        <v>4000000</v>
      </c>
      <c r="H33" s="65"/>
      <c r="I33" s="65"/>
      <c r="J33" s="65"/>
      <c r="K33" s="65"/>
      <c r="L33" s="65"/>
      <c r="M33" s="65"/>
    </row>
    <row r="34" spans="1:13" ht="15" x14ac:dyDescent="0.2">
      <c r="A34" s="64" t="str">
        <f>+'L-COSTOS'!A36</f>
        <v>PM - OMI &amp; PMP (Iliana)</v>
      </c>
      <c r="B34" s="65">
        <f>+'L-COSTOS'!$E$36</f>
        <v>4000000</v>
      </c>
      <c r="C34" s="65">
        <f>+'L-COSTOS'!$E$36</f>
        <v>4000000</v>
      </c>
      <c r="D34" s="65">
        <f>+'L-COSTOS'!$E$36</f>
        <v>4000000</v>
      </c>
      <c r="E34" s="65">
        <f>+'L-COSTOS'!$E$36</f>
        <v>4000000</v>
      </c>
      <c r="F34" s="65">
        <f>+'L-COSTOS'!$E$36</f>
        <v>4000000</v>
      </c>
      <c r="G34" s="65">
        <f>+'L-COSTOS'!$E$36</f>
        <v>4000000</v>
      </c>
      <c r="H34" s="65"/>
      <c r="I34" s="65"/>
      <c r="J34" s="65"/>
      <c r="K34" s="65"/>
      <c r="L34" s="65"/>
      <c r="M34" s="65"/>
    </row>
    <row r="35" spans="1:13" ht="15" x14ac:dyDescent="0.2">
      <c r="A35" s="64" t="str">
        <f>+'L-COSTOS'!A37</f>
        <v>Consultores SAP (Hernando) 1</v>
      </c>
      <c r="B35" s="65">
        <f>+'L-COSTOS'!$E$37</f>
        <v>5555555.555555555</v>
      </c>
      <c r="C35" s="65">
        <f>+'L-COSTOS'!$E$37</f>
        <v>5555555.555555555</v>
      </c>
      <c r="D35" s="65">
        <f>+'L-COSTOS'!$E$37</f>
        <v>5555555.555555555</v>
      </c>
      <c r="E35" s="65">
        <f>+'L-COSTOS'!$E$37</f>
        <v>5555555.555555555</v>
      </c>
      <c r="F35" s="65">
        <f>+'L-COSTOS'!$E$37</f>
        <v>5555555.555555555</v>
      </c>
      <c r="G35" s="65">
        <f>+'L-COSTOS'!$E$37</f>
        <v>5555555.555555555</v>
      </c>
      <c r="H35" s="65"/>
      <c r="I35" s="65"/>
      <c r="J35" s="65"/>
      <c r="K35" s="65"/>
      <c r="L35" s="65"/>
      <c r="M35" s="65"/>
    </row>
    <row r="36" spans="1:13" ht="15" x14ac:dyDescent="0.2">
      <c r="A36" s="64" t="str">
        <f>+'L-COSTOS'!A38</f>
        <v>Consultores SAP (Hernando) 2</v>
      </c>
      <c r="B36" s="65">
        <f>+'L-COSTOS'!$E$38</f>
        <v>5555555.555555555</v>
      </c>
      <c r="C36" s="65">
        <f>+'L-COSTOS'!$E$38</f>
        <v>5555555.555555555</v>
      </c>
      <c r="D36" s="65">
        <f>+'L-COSTOS'!$E$38</f>
        <v>5555555.555555555</v>
      </c>
      <c r="E36" s="65">
        <f>+'L-COSTOS'!$E$38</f>
        <v>5555555.555555555</v>
      </c>
      <c r="F36" s="65">
        <f>+'L-COSTOS'!$E$38</f>
        <v>5555555.555555555</v>
      </c>
      <c r="G36" s="65">
        <f>+'L-COSTOS'!$E$38</f>
        <v>5555555.555555555</v>
      </c>
      <c r="H36" s="65"/>
      <c r="I36" s="65"/>
      <c r="J36" s="65"/>
      <c r="K36" s="65"/>
      <c r="L36" s="65"/>
      <c r="M36" s="65"/>
    </row>
    <row r="37" spans="1:13" ht="15" x14ac:dyDescent="0.2">
      <c r="A37" s="64" t="str">
        <f>+'L-COSTOS'!A39</f>
        <v>Consultores SAP (Hernando) 3</v>
      </c>
      <c r="B37" s="65">
        <f>+'L-COSTOS'!$E$39</f>
        <v>5555555.555555555</v>
      </c>
      <c r="C37" s="65">
        <f>+'L-COSTOS'!$E$39</f>
        <v>5555555.555555555</v>
      </c>
      <c r="D37" s="65">
        <f>+'L-COSTOS'!$E$39</f>
        <v>5555555.555555555</v>
      </c>
      <c r="E37" s="65">
        <f>+'L-COSTOS'!$E$39</f>
        <v>5555555.555555555</v>
      </c>
      <c r="F37" s="65">
        <f>+'L-COSTOS'!$E$39</f>
        <v>5555555.555555555</v>
      </c>
      <c r="G37" s="65">
        <f>+'L-COSTOS'!$E$39</f>
        <v>5555555.555555555</v>
      </c>
      <c r="H37" s="65"/>
      <c r="I37" s="65"/>
      <c r="J37" s="65"/>
      <c r="K37" s="65"/>
      <c r="L37" s="65"/>
      <c r="M37" s="65"/>
    </row>
    <row r="38" spans="1:13" ht="18" x14ac:dyDescent="0.2">
      <c r="A38" s="66" t="s">
        <v>150</v>
      </c>
      <c r="B38" s="67">
        <f t="shared" ref="B38:L38" si="0">SUM(B2:B37)</f>
        <v>142351666.66666666</v>
      </c>
      <c r="C38" s="67">
        <f t="shared" si="0"/>
        <v>219851666.66666666</v>
      </c>
      <c r="D38" s="67">
        <f t="shared" si="0"/>
        <v>219851666.66666666</v>
      </c>
      <c r="E38" s="67">
        <f t="shared" si="0"/>
        <v>219851666.66666666</v>
      </c>
      <c r="F38" s="67">
        <f t="shared" si="0"/>
        <v>222851666.66666666</v>
      </c>
      <c r="G38" s="67">
        <f t="shared" si="0"/>
        <v>222851666.66666666</v>
      </c>
      <c r="H38" s="67">
        <f t="shared" si="0"/>
        <v>194185000</v>
      </c>
      <c r="I38" s="67">
        <f t="shared" si="0"/>
        <v>190685000</v>
      </c>
      <c r="J38" s="67">
        <f t="shared" si="0"/>
        <v>178685000</v>
      </c>
      <c r="K38" s="67">
        <f t="shared" si="0"/>
        <v>104685000</v>
      </c>
      <c r="L38" s="67">
        <f t="shared" si="0"/>
        <v>104685000</v>
      </c>
      <c r="M38" s="67">
        <f>SUM(M2:M37)</f>
        <v>104685000</v>
      </c>
    </row>
    <row r="39" spans="1:13" ht="18" x14ac:dyDescent="0.2">
      <c r="A39" s="68" t="s">
        <v>145</v>
      </c>
      <c r="B39" s="68" t="str">
        <f>+B1</f>
        <v>AGOSTO</v>
      </c>
      <c r="C39" s="68" t="str">
        <f t="shared" ref="C39:M39" si="1">+C1</f>
        <v>SEPTIEMBRE</v>
      </c>
      <c r="D39" s="68" t="str">
        <f t="shared" si="1"/>
        <v>OCTUBRE</v>
      </c>
      <c r="E39" s="68" t="str">
        <f t="shared" si="1"/>
        <v>NOVIEMBRE</v>
      </c>
      <c r="F39" s="68" t="str">
        <f t="shared" si="1"/>
        <v>DICIEMBRE</v>
      </c>
      <c r="G39" s="68" t="str">
        <f t="shared" si="1"/>
        <v>ENERO</v>
      </c>
      <c r="H39" s="68" t="str">
        <f t="shared" si="1"/>
        <v>FEBRERO</v>
      </c>
      <c r="I39" s="68" t="str">
        <f t="shared" si="1"/>
        <v>MARZO</v>
      </c>
      <c r="J39" s="68" t="str">
        <f t="shared" si="1"/>
        <v>ABRIL</v>
      </c>
      <c r="K39" s="68" t="str">
        <f t="shared" si="1"/>
        <v>MAYO</v>
      </c>
      <c r="L39" s="68" t="str">
        <f t="shared" si="1"/>
        <v>JUNIO</v>
      </c>
      <c r="M39" s="68" t="str">
        <f t="shared" si="1"/>
        <v>JULIO</v>
      </c>
    </row>
    <row r="40" spans="1:13" ht="15" x14ac:dyDescent="0.2">
      <c r="A40" s="64" t="str">
        <f>+'L-COSTOS'!A45</f>
        <v>Ingeniero Catastral</v>
      </c>
      <c r="B40" s="65">
        <f>+'L-COSTOS'!$H$45</f>
        <v>236810</v>
      </c>
      <c r="C40" s="65">
        <f>+'L-COSTOS'!$H$45</f>
        <v>236810</v>
      </c>
      <c r="D40" s="65">
        <f>+'L-COSTOS'!$H$45</f>
        <v>236810</v>
      </c>
      <c r="E40" s="65">
        <f>+'L-COSTOS'!$H$45</f>
        <v>236810</v>
      </c>
      <c r="F40" s="65">
        <f>+'L-COSTOS'!$H$45</f>
        <v>236810</v>
      </c>
      <c r="G40" s="65">
        <f>+'L-COSTOS'!$H$45</f>
        <v>236810</v>
      </c>
      <c r="H40" s="65">
        <f>+'L-COSTOS'!$H$45</f>
        <v>236810</v>
      </c>
      <c r="I40" s="65">
        <f>+'L-COSTOS'!$H$45</f>
        <v>236810</v>
      </c>
      <c r="J40" s="65">
        <f>+'L-COSTOS'!$H$45</f>
        <v>236810</v>
      </c>
      <c r="K40" s="65">
        <f>+'L-COSTOS'!$H$45</f>
        <v>236810</v>
      </c>
      <c r="L40" s="65">
        <f>+'L-COSTOS'!$H$45</f>
        <v>236810</v>
      </c>
      <c r="M40" s="65">
        <f>+'L-COSTOS'!$H$45</f>
        <v>236810</v>
      </c>
    </row>
    <row r="41" spans="1:13" ht="15" x14ac:dyDescent="0.2">
      <c r="A41" s="64" t="str">
        <f>+'L-COSTOS'!A46</f>
        <v>Diseñador Gráfico Junior</v>
      </c>
      <c r="B41" s="65"/>
      <c r="C41" s="65">
        <f>+'L-COSTOS'!$H$46</f>
        <v>236810</v>
      </c>
      <c r="D41" s="65">
        <f>+'L-COSTOS'!$H$46</f>
        <v>236810</v>
      </c>
      <c r="E41" s="65">
        <f>+'L-COSTOS'!$H$46</f>
        <v>236810</v>
      </c>
      <c r="F41" s="65">
        <f>+'L-COSTOS'!$H$46</f>
        <v>236810</v>
      </c>
      <c r="G41" s="65">
        <f>+'L-COSTOS'!$H$46</f>
        <v>236810</v>
      </c>
      <c r="H41" s="65">
        <f>+'L-COSTOS'!$H$46</f>
        <v>236810</v>
      </c>
      <c r="I41" s="65"/>
      <c r="J41" s="65"/>
      <c r="K41" s="65"/>
      <c r="L41" s="65"/>
      <c r="M41" s="65"/>
    </row>
    <row r="42" spans="1:13" ht="15" x14ac:dyDescent="0.2">
      <c r="A42" s="64" t="str">
        <f>+'L-COSTOS'!A47</f>
        <v>Documentador 1</v>
      </c>
      <c r="B42" s="65">
        <f>+'L-COSTOS'!$H$47*3</f>
        <v>374850</v>
      </c>
      <c r="C42" s="65">
        <f>+'L-COSTOS'!$H$47*3</f>
        <v>374850</v>
      </c>
      <c r="D42" s="65">
        <f>+'L-COSTOS'!$H$47*3</f>
        <v>374850</v>
      </c>
      <c r="E42" s="65">
        <f>+'L-COSTOS'!$H$47*3</f>
        <v>374850</v>
      </c>
      <c r="F42" s="65">
        <f>+'L-COSTOS'!$H$47*3</f>
        <v>374850</v>
      </c>
      <c r="G42" s="65">
        <f>+'L-COSTOS'!$H$47*3</f>
        <v>374850</v>
      </c>
      <c r="H42" s="65">
        <f>+'L-COSTOS'!$H$47*3</f>
        <v>374850</v>
      </c>
      <c r="I42" s="65">
        <f>+'L-COSTOS'!$H$47*3</f>
        <v>374850</v>
      </c>
      <c r="J42" s="65">
        <f>+'L-COSTOS'!$H$47*3</f>
        <v>374850</v>
      </c>
      <c r="K42" s="65">
        <f>+'L-COSTOS'!$H$47*3</f>
        <v>374850</v>
      </c>
      <c r="L42" s="65">
        <f>+'L-COSTOS'!$H$47*3</f>
        <v>374850</v>
      </c>
      <c r="M42" s="65">
        <f>+'L-COSTOS'!$H$47*3</f>
        <v>374850</v>
      </c>
    </row>
    <row r="43" spans="1:13" ht="15" x14ac:dyDescent="0.2">
      <c r="A43" s="64" t="str">
        <f>+'L-COSTOS'!A48</f>
        <v>Analista Programador ARGIS (SIG)</v>
      </c>
      <c r="B43" s="65">
        <f>+'L-COSTOS'!$H$48</f>
        <v>236810</v>
      </c>
      <c r="C43" s="65">
        <f>+'L-COSTOS'!$H$48</f>
        <v>236810</v>
      </c>
      <c r="D43" s="65">
        <f>+'L-COSTOS'!$H$48</f>
        <v>236810</v>
      </c>
      <c r="E43" s="65">
        <f>+'L-COSTOS'!$H$48</f>
        <v>236810</v>
      </c>
      <c r="F43" s="65">
        <f>+'L-COSTOS'!$H$48</f>
        <v>236810</v>
      </c>
      <c r="G43" s="65">
        <f>+'L-COSTOS'!$H$48</f>
        <v>236810</v>
      </c>
      <c r="H43" s="65">
        <f>+'L-COSTOS'!$H$48</f>
        <v>236810</v>
      </c>
      <c r="I43" s="65">
        <f>+'L-COSTOS'!$H$48</f>
        <v>236810</v>
      </c>
      <c r="J43" s="65">
        <f>+'L-COSTOS'!$H$48</f>
        <v>236810</v>
      </c>
      <c r="K43" s="65">
        <f>+'L-COSTOS'!$H$48</f>
        <v>236810</v>
      </c>
      <c r="L43" s="65">
        <f>+'L-COSTOS'!$H$48</f>
        <v>236810</v>
      </c>
      <c r="M43" s="65">
        <f>+'L-COSTOS'!$H$48</f>
        <v>236810</v>
      </c>
    </row>
    <row r="44" spans="1:13" ht="15" x14ac:dyDescent="0.2">
      <c r="A44" s="64" t="str">
        <f>+'L-COSTOS'!A49</f>
        <v>Proyect Manager</v>
      </c>
      <c r="B44" s="65">
        <f>+'L-COSTOS'!$H$49</f>
        <v>236810</v>
      </c>
      <c r="C44" s="65">
        <f>+'L-COSTOS'!$H$49</f>
        <v>236810</v>
      </c>
      <c r="D44" s="65">
        <f>+'L-COSTOS'!$H$49</f>
        <v>236810</v>
      </c>
      <c r="E44" s="65">
        <f>+'L-COSTOS'!$H$49</f>
        <v>236810</v>
      </c>
      <c r="F44" s="65">
        <f>+'L-COSTOS'!$H$49</f>
        <v>236810</v>
      </c>
      <c r="G44" s="65">
        <f>+'L-COSTOS'!$H$49</f>
        <v>236810</v>
      </c>
      <c r="H44" s="65">
        <f>+'L-COSTOS'!$H$49</f>
        <v>236810</v>
      </c>
      <c r="I44" s="65">
        <f>+'L-COSTOS'!$H$49</f>
        <v>236810</v>
      </c>
      <c r="J44" s="65"/>
      <c r="K44" s="65"/>
      <c r="L44" s="65"/>
      <c r="M44" s="65"/>
    </row>
    <row r="45" spans="1:13" ht="15" x14ac:dyDescent="0.2">
      <c r="A45" s="64" t="str">
        <f>+'L-COSTOS'!A50</f>
        <v>Contador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 ht="15" x14ac:dyDescent="0.2">
      <c r="A46" s="64" t="str">
        <f>+'L-COSTOS'!A51</f>
        <v>Analista Administrativo</v>
      </c>
      <c r="B46" s="65">
        <f>+'L-COSTOS'!$H$51</f>
        <v>124950</v>
      </c>
      <c r="C46" s="65">
        <f>+'L-COSTOS'!$H$51</f>
        <v>124950</v>
      </c>
      <c r="D46" s="65">
        <f>+'L-COSTOS'!$H$51</f>
        <v>124950</v>
      </c>
      <c r="E46" s="65">
        <f>+'L-COSTOS'!$H$51</f>
        <v>124950</v>
      </c>
      <c r="F46" s="65">
        <f>+'L-COSTOS'!$H$51</f>
        <v>124950</v>
      </c>
      <c r="G46" s="65">
        <f>+'L-COSTOS'!$H$51</f>
        <v>124950</v>
      </c>
      <c r="H46" s="65">
        <f>+'L-COSTOS'!$H$51</f>
        <v>124950</v>
      </c>
      <c r="I46" s="65">
        <f>+'L-COSTOS'!$H$51</f>
        <v>124950</v>
      </c>
      <c r="J46" s="65">
        <f>+'L-COSTOS'!$H$51</f>
        <v>124950</v>
      </c>
      <c r="K46" s="65">
        <f>+'L-COSTOS'!$H$51</f>
        <v>124950</v>
      </c>
      <c r="L46" s="65">
        <f>+'L-COSTOS'!$H$51</f>
        <v>124950</v>
      </c>
      <c r="M46" s="65">
        <f>+'L-COSTOS'!$H$51</f>
        <v>124950</v>
      </c>
    </row>
    <row r="47" spans="1:13" ht="15" x14ac:dyDescent="0.2">
      <c r="A47" s="64" t="str">
        <f>+'L-COSTOS'!A52</f>
        <v>Ingeniero de redes</v>
      </c>
      <c r="B47" s="65">
        <f>+'L-COSTOS'!$H$52</f>
        <v>124950</v>
      </c>
      <c r="C47" s="65">
        <f>+'L-COSTOS'!$H$52</f>
        <v>124950</v>
      </c>
      <c r="D47" s="65">
        <f>+'L-COSTOS'!$H$52</f>
        <v>124950</v>
      </c>
      <c r="E47" s="65">
        <f>+'L-COSTOS'!$H$52</f>
        <v>124950</v>
      </c>
      <c r="F47" s="65">
        <f>+'L-COSTOS'!$H$52</f>
        <v>124950</v>
      </c>
      <c r="G47" s="65">
        <f>+'L-COSTOS'!$H$52</f>
        <v>124950</v>
      </c>
      <c r="H47" s="65">
        <f>+'L-COSTOS'!$H$52</f>
        <v>124950</v>
      </c>
      <c r="I47" s="65">
        <f>+'L-COSTOS'!$H$52</f>
        <v>124950</v>
      </c>
      <c r="J47" s="65">
        <f>+'L-COSTOS'!$H$52</f>
        <v>124950</v>
      </c>
      <c r="K47" s="65">
        <f>+'L-COSTOS'!$H$52</f>
        <v>124950</v>
      </c>
      <c r="L47" s="65">
        <f>+'L-COSTOS'!$H$52</f>
        <v>124950</v>
      </c>
      <c r="M47" s="65">
        <f>+'L-COSTOS'!$H$52</f>
        <v>124950</v>
      </c>
    </row>
    <row r="48" spans="1:13" ht="15" x14ac:dyDescent="0.2">
      <c r="A48" s="64" t="str">
        <f>+'L-COSTOS'!A53</f>
        <v>Luis Alfredo Ramos</v>
      </c>
      <c r="B48" s="65">
        <f>+'L-COSTOS'!$H$53</f>
        <v>236810</v>
      </c>
      <c r="C48" s="65">
        <f>+'L-COSTOS'!$H$53</f>
        <v>236810</v>
      </c>
      <c r="D48" s="65">
        <f>+'L-COSTOS'!$H$53</f>
        <v>236810</v>
      </c>
      <c r="E48" s="65">
        <f>+'L-COSTOS'!$H$53</f>
        <v>236810</v>
      </c>
      <c r="F48" s="65">
        <f>+'L-COSTOS'!$H$53</f>
        <v>236810</v>
      </c>
      <c r="G48" s="65">
        <f>+'L-COSTOS'!$H$53</f>
        <v>236810</v>
      </c>
      <c r="H48" s="65">
        <f>+'L-COSTOS'!$H$53</f>
        <v>236810</v>
      </c>
      <c r="I48" s="65">
        <f>+'L-COSTOS'!$H$53</f>
        <v>236810</v>
      </c>
      <c r="J48" s="65">
        <f>+'L-COSTOS'!$H$53</f>
        <v>236810</v>
      </c>
      <c r="K48" s="65">
        <f>+'L-COSTOS'!$H$53</f>
        <v>236810</v>
      </c>
      <c r="L48" s="65">
        <f>+'L-COSTOS'!$H$53</f>
        <v>236810</v>
      </c>
      <c r="M48" s="65">
        <f>+'L-COSTOS'!$H$53</f>
        <v>236810</v>
      </c>
    </row>
    <row r="49" spans="1:14" ht="15" x14ac:dyDescent="0.2">
      <c r="A49" s="64" t="str">
        <f>+'L-COSTOS'!A54</f>
        <v>Lobsang Flechas</v>
      </c>
      <c r="B49" s="65">
        <f>+'L-COSTOS'!$H$54</f>
        <v>0</v>
      </c>
      <c r="C49" s="65">
        <f>+'L-COSTOS'!$H$54</f>
        <v>0</v>
      </c>
      <c r="D49" s="65">
        <f>+'L-COSTOS'!$H$54</f>
        <v>0</v>
      </c>
      <c r="E49" s="65">
        <f>+'L-COSTOS'!$H$54</f>
        <v>0</v>
      </c>
      <c r="F49" s="65">
        <f>+'L-COSTOS'!$H$54</f>
        <v>0</v>
      </c>
      <c r="G49" s="65">
        <f>+'L-COSTOS'!$H$54</f>
        <v>0</v>
      </c>
      <c r="H49" s="65">
        <f>+'L-COSTOS'!$H$54</f>
        <v>0</v>
      </c>
      <c r="I49" s="65">
        <f>+'L-COSTOS'!$H$54</f>
        <v>0</v>
      </c>
      <c r="J49" s="65">
        <f>+'L-COSTOS'!$H$54</f>
        <v>0</v>
      </c>
      <c r="K49" s="65">
        <f>+'L-COSTOS'!$H$54</f>
        <v>0</v>
      </c>
      <c r="L49" s="65">
        <f>+'L-COSTOS'!$H$54</f>
        <v>0</v>
      </c>
      <c r="M49" s="65">
        <f>+'L-COSTOS'!$H$54</f>
        <v>0</v>
      </c>
    </row>
    <row r="50" spans="1:14" ht="15" x14ac:dyDescent="0.2">
      <c r="A50" s="64" t="str">
        <f>+'L-COSTOS'!A55</f>
        <v>Programador SENIOR (Gohan)</v>
      </c>
      <c r="B50" s="65">
        <f>+'L-COSTOS'!$H$55</f>
        <v>153510</v>
      </c>
      <c r="C50" s="65">
        <f>+'L-COSTOS'!$H$55</f>
        <v>153510</v>
      </c>
      <c r="D50" s="65">
        <f>+'L-COSTOS'!$H$55</f>
        <v>153510</v>
      </c>
      <c r="E50" s="65">
        <f>+'L-COSTOS'!$H$55</f>
        <v>153510</v>
      </c>
      <c r="F50" s="65">
        <f>+'L-COSTOS'!$H$55</f>
        <v>153510</v>
      </c>
      <c r="G50" s="65">
        <f>+'L-COSTOS'!$H$55</f>
        <v>153510</v>
      </c>
      <c r="H50" s="65">
        <f>+'L-COSTOS'!$H$55</f>
        <v>153510</v>
      </c>
      <c r="I50" s="65">
        <f>+'L-COSTOS'!$H$55</f>
        <v>153510</v>
      </c>
      <c r="J50" s="65">
        <f>+'L-COSTOS'!$H$55</f>
        <v>153510</v>
      </c>
      <c r="K50" s="65">
        <f>+'L-COSTOS'!$H$55</f>
        <v>153510</v>
      </c>
      <c r="L50" s="65">
        <f>+'L-COSTOS'!$H$55</f>
        <v>153510</v>
      </c>
      <c r="M50" s="65">
        <f>+'L-COSTOS'!$H$55</f>
        <v>153510</v>
      </c>
    </row>
    <row r="51" spans="1:14" ht="15" x14ac:dyDescent="0.2">
      <c r="A51" s="64" t="str">
        <f>+'L-COSTOS'!A56</f>
        <v xml:space="preserve">Progamador JUNIOR (Ronny) </v>
      </c>
      <c r="B51" s="65">
        <f>+'L-COSTOS'!$H$56</f>
        <v>153510</v>
      </c>
      <c r="C51" s="65">
        <f>+'L-COSTOS'!$H$56</f>
        <v>153510</v>
      </c>
      <c r="D51" s="65">
        <f>+'L-COSTOS'!$H$56</f>
        <v>153510</v>
      </c>
      <c r="E51" s="65">
        <f>+'L-COSTOS'!$H$56</f>
        <v>153510</v>
      </c>
      <c r="F51" s="65">
        <f>+'L-COSTOS'!$H$56</f>
        <v>153510</v>
      </c>
      <c r="G51" s="65">
        <f>+'L-COSTOS'!$H$56</f>
        <v>153510</v>
      </c>
      <c r="H51" s="65">
        <f>+'L-COSTOS'!$H$56</f>
        <v>153510</v>
      </c>
      <c r="I51" s="65">
        <f>+'L-COSTOS'!$H$56</f>
        <v>153510</v>
      </c>
      <c r="J51" s="65">
        <f>+'L-COSTOS'!$H$56</f>
        <v>153510</v>
      </c>
      <c r="K51" s="65">
        <f>+'L-COSTOS'!$H$56</f>
        <v>153510</v>
      </c>
      <c r="L51" s="65">
        <f>+'L-COSTOS'!$H$56</f>
        <v>153510</v>
      </c>
      <c r="M51" s="65">
        <f>+'L-COSTOS'!$H$56</f>
        <v>153510</v>
      </c>
    </row>
    <row r="52" spans="1:14" ht="15" x14ac:dyDescent="0.2">
      <c r="A52" s="64" t="str">
        <f>+'L-COSTOS'!A57</f>
        <v xml:space="preserve">Servidores </v>
      </c>
      <c r="B52" s="65">
        <f>+'L-COSTOS'!$H$57</f>
        <v>16660000</v>
      </c>
      <c r="C52" s="65">
        <f>+'L-COSTOS'!$H$57</f>
        <v>16660000</v>
      </c>
      <c r="D52" s="65">
        <f>+'L-COSTOS'!$H$57</f>
        <v>16660000</v>
      </c>
      <c r="E52" s="65">
        <f>+'L-COSTOS'!$H$57</f>
        <v>16660000</v>
      </c>
      <c r="F52" s="65">
        <f>+'L-COSTOS'!$H$57</f>
        <v>16660000</v>
      </c>
      <c r="G52" s="65">
        <f>+'L-COSTOS'!$H$57</f>
        <v>16660000</v>
      </c>
      <c r="H52" s="65">
        <f>+'L-COSTOS'!$H$57</f>
        <v>16660000</v>
      </c>
      <c r="I52" s="65">
        <f>+'L-COSTOS'!$H$57</f>
        <v>16660000</v>
      </c>
      <c r="J52" s="65">
        <f>+'L-COSTOS'!$H$57</f>
        <v>16660000</v>
      </c>
      <c r="K52" s="65">
        <f>+'L-COSTOS'!$H$57</f>
        <v>16660000</v>
      </c>
      <c r="L52" s="65">
        <f>+'L-COSTOS'!$H$57</f>
        <v>16660000</v>
      </c>
      <c r="M52" s="65">
        <f>+'L-COSTOS'!$H$57</f>
        <v>16660000</v>
      </c>
    </row>
    <row r="53" spans="1:14" ht="15" x14ac:dyDescent="0.2">
      <c r="A53" s="64" t="str">
        <f>+'L-COSTOS'!A58</f>
        <v>Adecuación de Redes</v>
      </c>
      <c r="B53" s="65">
        <f>+'L-COSTOS'!$H$58</f>
        <v>5950000</v>
      </c>
      <c r="C53" s="65">
        <f>+'L-COSTOS'!$H$58</f>
        <v>5950000</v>
      </c>
      <c r="D53" s="65">
        <f>+'L-COSTOS'!$H$58</f>
        <v>5950000</v>
      </c>
      <c r="E53" s="65">
        <f>+'L-COSTOS'!$H$58</f>
        <v>5950000</v>
      </c>
      <c r="F53" s="65">
        <f>+'L-COSTOS'!$H$58</f>
        <v>5950000</v>
      </c>
      <c r="G53" s="65">
        <f>+'L-COSTOS'!$H$58</f>
        <v>5950000</v>
      </c>
      <c r="H53" s="65">
        <f>+'L-COSTOS'!$H$58</f>
        <v>5950000</v>
      </c>
      <c r="I53" s="65">
        <f>+'L-COSTOS'!$H$58</f>
        <v>5950000</v>
      </c>
      <c r="J53" s="65">
        <f>+'L-COSTOS'!$H$58</f>
        <v>5950000</v>
      </c>
      <c r="K53" s="65">
        <f>+'L-COSTOS'!$H$58</f>
        <v>5950000</v>
      </c>
      <c r="L53" s="65">
        <f>+'L-COSTOS'!$H$58</f>
        <v>5950000</v>
      </c>
      <c r="M53" s="65">
        <f>+'L-COSTOS'!$H$58</f>
        <v>5950000</v>
      </c>
    </row>
    <row r="54" spans="1:14" ht="18" x14ac:dyDescent="0.2">
      <c r="A54" s="66" t="s">
        <v>149</v>
      </c>
      <c r="B54" s="67">
        <f t="shared" ref="B54:M54" si="2">SUM(B40:B53)</f>
        <v>24489010</v>
      </c>
      <c r="C54" s="67">
        <f t="shared" si="2"/>
        <v>24725820</v>
      </c>
      <c r="D54" s="67">
        <f t="shared" si="2"/>
        <v>24725820</v>
      </c>
      <c r="E54" s="67">
        <f t="shared" si="2"/>
        <v>24725820</v>
      </c>
      <c r="F54" s="67">
        <f t="shared" si="2"/>
        <v>24725820</v>
      </c>
      <c r="G54" s="67">
        <f t="shared" si="2"/>
        <v>24725820</v>
      </c>
      <c r="H54" s="67">
        <f t="shared" si="2"/>
        <v>24725820</v>
      </c>
      <c r="I54" s="67">
        <f t="shared" si="2"/>
        <v>24489010</v>
      </c>
      <c r="J54" s="67">
        <f t="shared" si="2"/>
        <v>24252200</v>
      </c>
      <c r="K54" s="67">
        <f t="shared" si="2"/>
        <v>24252200</v>
      </c>
      <c r="L54" s="67">
        <f t="shared" si="2"/>
        <v>24252200</v>
      </c>
      <c r="M54" s="67">
        <f t="shared" si="2"/>
        <v>24252200</v>
      </c>
    </row>
    <row r="55" spans="1:14" ht="18" x14ac:dyDescent="0.2">
      <c r="A55" s="66" t="s">
        <v>146</v>
      </c>
      <c r="B55" s="69">
        <f>+'L-COSTOS'!$F$89/12</f>
        <v>13848408.198211111</v>
      </c>
      <c r="C55" s="69">
        <f>+'L-COSTOS'!$F$89/12</f>
        <v>13848408.198211111</v>
      </c>
      <c r="D55" s="69">
        <f>+'L-COSTOS'!$F$89/12</f>
        <v>13848408.198211111</v>
      </c>
      <c r="E55" s="69">
        <f>+'L-COSTOS'!$F$89/12</f>
        <v>13848408.198211111</v>
      </c>
      <c r="F55" s="69">
        <f>+'L-COSTOS'!$F$89/12</f>
        <v>13848408.198211111</v>
      </c>
      <c r="G55" s="69">
        <f>+'L-COSTOS'!$F$89/12</f>
        <v>13848408.198211111</v>
      </c>
      <c r="H55" s="69">
        <f>+'L-COSTOS'!$F$89/12</f>
        <v>13848408.198211111</v>
      </c>
      <c r="I55" s="69">
        <f>+'L-COSTOS'!$F$89/12</f>
        <v>13848408.198211111</v>
      </c>
      <c r="J55" s="69">
        <f>+'L-COSTOS'!$F$89/12</f>
        <v>13848408.198211111</v>
      </c>
      <c r="K55" s="69">
        <f>+'L-COSTOS'!$F$89/12</f>
        <v>13848408.198211111</v>
      </c>
      <c r="L55" s="69">
        <f>+'L-COSTOS'!$F$89/12</f>
        <v>13848408.198211111</v>
      </c>
      <c r="M55" s="69">
        <f>+'L-COSTOS'!$F$89/12</f>
        <v>13848408.198211111</v>
      </c>
    </row>
    <row r="56" spans="1:14" ht="19" thickBot="1" x14ac:dyDescent="0.25">
      <c r="A56" s="66" t="s">
        <v>147</v>
      </c>
      <c r="B56" s="69">
        <f>+'L-COSTOS'!$F$69/12</f>
        <v>790537.72884686897</v>
      </c>
      <c r="C56" s="69">
        <f>+'L-COSTOS'!$F$69/12</f>
        <v>790537.72884686897</v>
      </c>
      <c r="D56" s="69">
        <f>+'L-COSTOS'!$F$69/12</f>
        <v>790537.72884686897</v>
      </c>
      <c r="E56" s="69">
        <f>+'L-COSTOS'!$F$69/12</f>
        <v>790537.72884686897</v>
      </c>
      <c r="F56" s="69">
        <f>+'L-COSTOS'!$F$69/12</f>
        <v>790537.72884686897</v>
      </c>
      <c r="G56" s="69">
        <f>+'L-COSTOS'!$F$69/12</f>
        <v>790537.72884686897</v>
      </c>
      <c r="H56" s="69">
        <f>+'L-COSTOS'!$F$69/12</f>
        <v>790537.72884686897</v>
      </c>
      <c r="I56" s="69">
        <f>+'L-COSTOS'!$F$69/12</f>
        <v>790537.72884686897</v>
      </c>
      <c r="J56" s="69">
        <f>+'L-COSTOS'!$F$69/12</f>
        <v>790537.72884686897</v>
      </c>
      <c r="K56" s="69">
        <f>+'L-COSTOS'!$F$69/12</f>
        <v>790537.72884686897</v>
      </c>
      <c r="L56" s="69">
        <f>+'L-COSTOS'!$F$69/12</f>
        <v>790537.72884686897</v>
      </c>
      <c r="M56" s="69">
        <f>+'L-COSTOS'!$F$69/12</f>
        <v>790537.72884686897</v>
      </c>
    </row>
    <row r="57" spans="1:14" s="79" customFormat="1" ht="20" thickBot="1" x14ac:dyDescent="0.25">
      <c r="A57" s="81" t="s">
        <v>148</v>
      </c>
      <c r="B57" s="82">
        <f t="shared" ref="B57:M57" si="3">+B38+B54+B55+B56</f>
        <v>181479622.59372464</v>
      </c>
      <c r="C57" s="82">
        <f t="shared" si="3"/>
        <v>259216432.59372464</v>
      </c>
      <c r="D57" s="82">
        <f t="shared" si="3"/>
        <v>259216432.59372464</v>
      </c>
      <c r="E57" s="82">
        <f t="shared" si="3"/>
        <v>259216432.59372464</v>
      </c>
      <c r="F57" s="82">
        <f t="shared" si="3"/>
        <v>262216432.59372464</v>
      </c>
      <c r="G57" s="82">
        <f t="shared" si="3"/>
        <v>262216432.59372464</v>
      </c>
      <c r="H57" s="82">
        <f t="shared" si="3"/>
        <v>233549765.92705798</v>
      </c>
      <c r="I57" s="82">
        <f t="shared" si="3"/>
        <v>229812955.92705798</v>
      </c>
      <c r="J57" s="82">
        <f t="shared" si="3"/>
        <v>217576145.92705798</v>
      </c>
      <c r="K57" s="82">
        <f t="shared" si="3"/>
        <v>143576145.92705798</v>
      </c>
      <c r="L57" s="82">
        <f t="shared" si="3"/>
        <v>143576145.92705798</v>
      </c>
      <c r="M57" s="138">
        <f t="shared" si="3"/>
        <v>143576145.92705798</v>
      </c>
      <c r="N57" s="139">
        <f>SUM(B57:M57)</f>
        <v>2595229091.1246967</v>
      </c>
    </row>
    <row r="58" spans="1:14" s="79" customFormat="1" ht="18" x14ac:dyDescent="0.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1:14" ht="18" x14ac:dyDescent="0.2">
      <c r="A59" s="68" t="s">
        <v>184</v>
      </c>
      <c r="B59" s="68" t="str">
        <f>+B39</f>
        <v>AGOSTO</v>
      </c>
      <c r="C59" s="68" t="str">
        <f t="shared" ref="C59:M59" si="4">+C39</f>
        <v>SEPTIEMBRE</v>
      </c>
      <c r="D59" s="68" t="str">
        <f t="shared" si="4"/>
        <v>OCTUBRE</v>
      </c>
      <c r="E59" s="68" t="str">
        <f t="shared" si="4"/>
        <v>NOVIEMBRE</v>
      </c>
      <c r="F59" s="68" t="str">
        <f t="shared" si="4"/>
        <v>DICIEMBRE</v>
      </c>
      <c r="G59" s="68" t="str">
        <f t="shared" si="4"/>
        <v>ENERO</v>
      </c>
      <c r="H59" s="68" t="str">
        <f t="shared" si="4"/>
        <v>FEBRERO</v>
      </c>
      <c r="I59" s="68" t="str">
        <f t="shared" si="4"/>
        <v>MARZO</v>
      </c>
      <c r="J59" s="68" t="str">
        <f t="shared" si="4"/>
        <v>ABRIL</v>
      </c>
      <c r="K59" s="68" t="str">
        <f t="shared" si="4"/>
        <v>MAYO</v>
      </c>
      <c r="L59" s="68" t="str">
        <f t="shared" si="4"/>
        <v>JUNIO</v>
      </c>
      <c r="M59" s="68" t="str">
        <f t="shared" si="4"/>
        <v>JULIO</v>
      </c>
      <c r="N59" s="77"/>
    </row>
    <row r="60" spans="1:14" ht="18" x14ac:dyDescent="0.2">
      <c r="A60" s="68" t="s">
        <v>29</v>
      </c>
      <c r="B60" s="65">
        <f>820000000-250000000</f>
        <v>570000000</v>
      </c>
      <c r="C60" s="65">
        <f>B60</f>
        <v>570000000</v>
      </c>
      <c r="D60" s="65">
        <f>720000000-200000000</f>
        <v>520000000</v>
      </c>
      <c r="E60" s="65">
        <v>520000000</v>
      </c>
      <c r="F60" s="65">
        <v>520000000</v>
      </c>
      <c r="G60" s="65">
        <v>520000000</v>
      </c>
      <c r="H60" s="65"/>
      <c r="I60" s="65">
        <v>580000000</v>
      </c>
      <c r="J60" s="68"/>
      <c r="K60" s="68"/>
      <c r="L60" s="68"/>
      <c r="M60" s="140"/>
      <c r="N60" s="142">
        <f>SUM(B60:M60)</f>
        <v>3800000000</v>
      </c>
    </row>
    <row r="61" spans="1:14" ht="18" x14ac:dyDescent="0.2">
      <c r="A61" s="68" t="s">
        <v>39</v>
      </c>
      <c r="B61" s="65"/>
      <c r="C61" s="65"/>
      <c r="D61" s="65"/>
      <c r="E61" s="65"/>
      <c r="F61" s="65"/>
      <c r="G61" s="65">
        <f>40000000-(40000000*30%)</f>
        <v>28000000</v>
      </c>
      <c r="H61" s="65">
        <f t="shared" ref="H61:L61" si="5">40000000-(40000000*30%)</f>
        <v>28000000</v>
      </c>
      <c r="I61" s="65">
        <f t="shared" si="5"/>
        <v>28000000</v>
      </c>
      <c r="J61" s="65">
        <f>40000000-(40000000*30%)</f>
        <v>28000000</v>
      </c>
      <c r="K61" s="65">
        <f t="shared" si="5"/>
        <v>28000000</v>
      </c>
      <c r="L61" s="65">
        <f t="shared" si="5"/>
        <v>28000000</v>
      </c>
      <c r="M61" s="141">
        <f>40000000-(40000000*30%)</f>
        <v>28000000</v>
      </c>
      <c r="N61" s="142">
        <f t="shared" ref="N61:N75" si="6">SUM(B61:M61)</f>
        <v>196000000</v>
      </c>
    </row>
    <row r="62" spans="1:14" ht="18" x14ac:dyDescent="0.2">
      <c r="A62" s="68" t="s">
        <v>223</v>
      </c>
      <c r="C62" s="65"/>
      <c r="D62" s="65"/>
      <c r="E62" s="65">
        <f>31113200-(31113200*20%)</f>
        <v>24890560</v>
      </c>
      <c r="F62" s="65">
        <f t="shared" ref="F62:L62" si="7">31113200-(31113200*20%)</f>
        <v>24890560</v>
      </c>
      <c r="G62" s="65">
        <f t="shared" si="7"/>
        <v>24890560</v>
      </c>
      <c r="H62" s="65">
        <f t="shared" si="7"/>
        <v>24890560</v>
      </c>
      <c r="I62" s="65">
        <f>31113200-(31113200*20%)</f>
        <v>24890560</v>
      </c>
      <c r="J62" s="65">
        <f t="shared" si="7"/>
        <v>24890560</v>
      </c>
      <c r="K62" s="65">
        <f t="shared" si="7"/>
        <v>24890560</v>
      </c>
      <c r="L62" s="65">
        <f t="shared" si="7"/>
        <v>24890560</v>
      </c>
      <c r="M62" s="141">
        <f>31113200-(31113200*20%)</f>
        <v>24890560</v>
      </c>
      <c r="N62" s="142">
        <f t="shared" si="6"/>
        <v>224015040</v>
      </c>
    </row>
    <row r="63" spans="1:14" ht="18" x14ac:dyDescent="0.2">
      <c r="A63" s="149" t="s">
        <v>31</v>
      </c>
      <c r="B63" s="150"/>
      <c r="C63" s="150"/>
      <c r="D63" s="150">
        <f>4136000-(4136000*30%)+7000000</f>
        <v>9895200</v>
      </c>
      <c r="E63" s="150">
        <f>4136000-(4136000*30%)+7000000</f>
        <v>9895200</v>
      </c>
      <c r="F63" s="150">
        <f>4136000-(4136000*30%)+6000000</f>
        <v>8895200</v>
      </c>
      <c r="G63" s="150">
        <f>4136000-(4136000*30%)</f>
        <v>2895200</v>
      </c>
      <c r="H63" s="150">
        <f t="shared" ref="H63:I63" si="8">4136000-(4136000*30%)</f>
        <v>2895200</v>
      </c>
      <c r="I63" s="150">
        <f t="shared" si="8"/>
        <v>2895200</v>
      </c>
      <c r="J63" s="150">
        <f t="shared" ref="J63:L63" si="9">4136000-(4136000*30%)</f>
        <v>2895200</v>
      </c>
      <c r="K63" s="150">
        <f t="shared" si="9"/>
        <v>2895200</v>
      </c>
      <c r="L63" s="150">
        <f t="shared" si="9"/>
        <v>2895200</v>
      </c>
      <c r="M63" s="151">
        <f>4136000-(4136000*30%)</f>
        <v>2895200</v>
      </c>
      <c r="N63" s="151">
        <f>4136000-(4136000*30%)</f>
        <v>2895200</v>
      </c>
    </row>
    <row r="64" spans="1:14" ht="18" x14ac:dyDescent="0.2">
      <c r="A64" s="149" t="s">
        <v>224</v>
      </c>
      <c r="B64" s="152"/>
      <c r="C64" s="150"/>
      <c r="D64" s="150"/>
      <c r="E64" s="150"/>
      <c r="F64" s="150"/>
      <c r="G64" s="150">
        <f>47590080-(47590080*10%)</f>
        <v>42831072</v>
      </c>
      <c r="H64" s="150">
        <f t="shared" ref="H64:K64" si="10">47590080-(47590080*10%)</f>
        <v>42831072</v>
      </c>
      <c r="I64" s="150">
        <f t="shared" si="10"/>
        <v>42831072</v>
      </c>
      <c r="J64" s="150">
        <f t="shared" si="10"/>
        <v>42831072</v>
      </c>
      <c r="K64" s="150">
        <f t="shared" si="10"/>
        <v>42831072</v>
      </c>
      <c r="L64" s="150">
        <f>47590080-(47590080*10%)</f>
        <v>42831072</v>
      </c>
      <c r="M64" s="151">
        <f>47590080-(47590080*10%)</f>
        <v>42831072</v>
      </c>
      <c r="N64" s="151">
        <f>47590080-(47590080*10%)</f>
        <v>42831072</v>
      </c>
    </row>
    <row r="65" spans="1:14" ht="18" x14ac:dyDescent="0.2">
      <c r="A65" s="149" t="s">
        <v>225</v>
      </c>
      <c r="B65" s="150"/>
      <c r="C65" s="150"/>
      <c r="D65" s="150"/>
      <c r="E65" s="150"/>
      <c r="F65" s="150"/>
      <c r="G65" s="150">
        <f t="shared" ref="C65:L65" si="11">179000*400</f>
        <v>71600000</v>
      </c>
      <c r="H65" s="150">
        <f t="shared" si="11"/>
        <v>71600000</v>
      </c>
      <c r="I65" s="150">
        <f>179000*400</f>
        <v>71600000</v>
      </c>
      <c r="J65" s="150">
        <f t="shared" si="11"/>
        <v>71600000</v>
      </c>
      <c r="K65" s="150">
        <f t="shared" si="11"/>
        <v>71600000</v>
      </c>
      <c r="L65" s="150">
        <f t="shared" si="11"/>
        <v>71600000</v>
      </c>
      <c r="M65" s="150">
        <f>179000*400</f>
        <v>71600000</v>
      </c>
      <c r="N65" s="150">
        <f>179000*400</f>
        <v>71600000</v>
      </c>
    </row>
    <row r="66" spans="1:14" ht="18" x14ac:dyDescent="0.2">
      <c r="A66" s="68" t="s">
        <v>226</v>
      </c>
      <c r="B66" s="143">
        <f>SUM(B60:B65)</f>
        <v>570000000</v>
      </c>
      <c r="C66" s="143">
        <f t="shared" ref="C66:J66" si="12">SUM(C60:C65)</f>
        <v>570000000</v>
      </c>
      <c r="D66" s="143">
        <f t="shared" si="12"/>
        <v>529895200</v>
      </c>
      <c r="E66" s="143">
        <f t="shared" si="12"/>
        <v>554785760</v>
      </c>
      <c r="F66" s="143">
        <f t="shared" si="12"/>
        <v>553785760</v>
      </c>
      <c r="G66" s="143">
        <f t="shared" si="12"/>
        <v>690216832</v>
      </c>
      <c r="H66" s="143">
        <f t="shared" si="12"/>
        <v>170216832</v>
      </c>
      <c r="I66" s="143">
        <f t="shared" si="12"/>
        <v>750216832</v>
      </c>
      <c r="J66" s="143">
        <f t="shared" si="12"/>
        <v>170216832</v>
      </c>
      <c r="K66" s="143">
        <f>SUM(K60:K65)</f>
        <v>170216832</v>
      </c>
      <c r="L66" s="143">
        <f t="shared" ref="L66" si="13">SUM(L60:L65)</f>
        <v>170216832</v>
      </c>
      <c r="M66" s="143">
        <f t="shared" ref="M66" si="14">SUM(M60:M65)</f>
        <v>170216832</v>
      </c>
      <c r="N66" s="143">
        <f>SUM(N60:N65)</f>
        <v>4337341312</v>
      </c>
    </row>
    <row r="67" spans="1:14" s="146" customFormat="1" ht="18" x14ac:dyDescent="0.2">
      <c r="A67" s="144" t="s">
        <v>221</v>
      </c>
      <c r="B67" s="145">
        <f>B66-B57</f>
        <v>388520377.40627539</v>
      </c>
      <c r="C67" s="145">
        <f t="shared" ref="C67:H67" si="15">C66-C57</f>
        <v>310783567.40627539</v>
      </c>
      <c r="D67" s="145">
        <f t="shared" si="15"/>
        <v>270678767.40627539</v>
      </c>
      <c r="E67" s="145">
        <f t="shared" si="15"/>
        <v>295569327.40627539</v>
      </c>
      <c r="F67" s="145">
        <f t="shared" si="15"/>
        <v>291569327.40627539</v>
      </c>
      <c r="G67" s="145">
        <f t="shared" si="15"/>
        <v>428000399.40627539</v>
      </c>
      <c r="H67" s="145">
        <f t="shared" si="15"/>
        <v>-63332933.927057981</v>
      </c>
      <c r="I67" s="145">
        <f>I66-I57</f>
        <v>520403876.07294202</v>
      </c>
      <c r="J67" s="145">
        <f t="shared" ref="J67" si="16">J66-J57</f>
        <v>-47359313.927057981</v>
      </c>
      <c r="K67" s="145">
        <f t="shared" ref="K67" si="17">K66-K57</f>
        <v>26640686.072942019</v>
      </c>
      <c r="L67" s="145">
        <f t="shared" ref="L67" si="18">L66-L57</f>
        <v>26640686.072942019</v>
      </c>
      <c r="M67" s="145">
        <f t="shared" ref="M67" si="19">M66-M57</f>
        <v>26640686.072942019</v>
      </c>
      <c r="N67" s="145">
        <f t="shared" ref="N67" si="20">N66-N57</f>
        <v>1742112220.8753033</v>
      </c>
    </row>
    <row r="68" spans="1:14" s="146" customFormat="1" ht="19" customHeight="1" x14ac:dyDescent="0.2">
      <c r="A68" s="144" t="s">
        <v>222</v>
      </c>
      <c r="B68" s="145">
        <f>B67</f>
        <v>388520377.40627539</v>
      </c>
      <c r="C68" s="145">
        <f>B68+C67</f>
        <v>699303944.81255078</v>
      </c>
      <c r="D68" s="145">
        <f>C68+D67</f>
        <v>969982712.21882617</v>
      </c>
      <c r="E68" s="145">
        <f>D68+E67</f>
        <v>1265552039.6251016</v>
      </c>
      <c r="F68" s="145">
        <f>E68+F67</f>
        <v>1557121367.0313768</v>
      </c>
      <c r="G68" s="145">
        <f>F68+G67</f>
        <v>1985121766.4376521</v>
      </c>
      <c r="H68" s="145">
        <f>G68+H67</f>
        <v>1921788832.5105941</v>
      </c>
      <c r="I68" s="145">
        <f>H68+I67</f>
        <v>2442192708.5835361</v>
      </c>
      <c r="J68" s="145">
        <f>I68+J67</f>
        <v>2394833394.6564779</v>
      </c>
      <c r="K68" s="145">
        <f>J68+K67</f>
        <v>2421474080.7294197</v>
      </c>
      <c r="L68" s="145">
        <f>K68+L67</f>
        <v>2448114766.8023615</v>
      </c>
      <c r="M68" s="147">
        <f>L68+M67</f>
        <v>2474755452.8753033</v>
      </c>
      <c r="N68" s="148"/>
    </row>
    <row r="69" spans="1:14" s="77" customFormat="1" ht="18" x14ac:dyDescent="0.2">
      <c r="A69" s="78" t="s">
        <v>185</v>
      </c>
      <c r="B69" s="83">
        <f>B68*20%</f>
        <v>77704075.481255084</v>
      </c>
      <c r="C69" s="83">
        <f>C66*20%</f>
        <v>114000000</v>
      </c>
      <c r="D69" s="83">
        <f>D66*20%</f>
        <v>105979040</v>
      </c>
      <c r="E69" s="83">
        <f>E66*20%</f>
        <v>110957152</v>
      </c>
      <c r="F69" s="83">
        <f>F66*20%</f>
        <v>110757152</v>
      </c>
      <c r="G69" s="83">
        <f>G66*20%</f>
        <v>138043366.40000001</v>
      </c>
      <c r="H69" s="83">
        <f>H66*20%</f>
        <v>34043366.399999999</v>
      </c>
      <c r="I69" s="83">
        <f>I66*20%</f>
        <v>150043366.40000001</v>
      </c>
      <c r="J69" s="83">
        <f>J66*20%</f>
        <v>34043366.399999999</v>
      </c>
      <c r="K69" s="83">
        <f>K66*20%</f>
        <v>34043366.399999999</v>
      </c>
      <c r="L69" s="83">
        <f>L66*20%</f>
        <v>34043366.399999999</v>
      </c>
      <c r="M69" s="83">
        <f>M66*20%</f>
        <v>34043366.399999999</v>
      </c>
      <c r="N69" s="142">
        <f t="shared" si="6"/>
        <v>977700984.28125489</v>
      </c>
    </row>
    <row r="70" spans="1:14" s="146" customFormat="1" ht="18" x14ac:dyDescent="0.2">
      <c r="A70" s="144" t="s">
        <v>227</v>
      </c>
      <c r="B70" s="145">
        <f>B69*10%</f>
        <v>7770407.5481255092</v>
      </c>
      <c r="C70" s="145">
        <f t="shared" ref="C70:G70" si="21">C69*10%</f>
        <v>11400000</v>
      </c>
      <c r="D70" s="145">
        <f t="shared" si="21"/>
        <v>10597904</v>
      </c>
      <c r="E70" s="145">
        <f t="shared" si="21"/>
        <v>11095715.200000001</v>
      </c>
      <c r="F70" s="145">
        <f t="shared" si="21"/>
        <v>11075715.200000001</v>
      </c>
      <c r="G70" s="145">
        <f t="shared" si="21"/>
        <v>13804336.640000001</v>
      </c>
      <c r="H70" s="145">
        <f>H69*10%</f>
        <v>3404336.64</v>
      </c>
      <c r="I70" s="145">
        <f t="shared" ref="I70" si="22">I69*10%</f>
        <v>15004336.640000001</v>
      </c>
      <c r="J70" s="145">
        <f t="shared" ref="J70" si="23">J69*10%</f>
        <v>3404336.64</v>
      </c>
      <c r="K70" s="145">
        <f t="shared" ref="K70" si="24">K69*10%</f>
        <v>3404336.64</v>
      </c>
      <c r="L70" s="145">
        <f t="shared" ref="L70" si="25">L69*10%</f>
        <v>3404336.64</v>
      </c>
      <c r="M70" s="145">
        <f>M69*10%</f>
        <v>3404336.64</v>
      </c>
      <c r="N70" s="148"/>
    </row>
    <row r="71" spans="1:14" s="146" customFormat="1" ht="18" x14ac:dyDescent="0.2">
      <c r="A71" s="144" t="s">
        <v>228</v>
      </c>
      <c r="B71" s="145">
        <f>B69-B70</f>
        <v>69933667.933129579</v>
      </c>
      <c r="C71" s="145">
        <f t="shared" ref="C71:G71" si="26">C69-C70</f>
        <v>102600000</v>
      </c>
      <c r="D71" s="145">
        <f t="shared" si="26"/>
        <v>95381136</v>
      </c>
      <c r="E71" s="145">
        <f t="shared" si="26"/>
        <v>99861436.799999997</v>
      </c>
      <c r="F71" s="145">
        <f t="shared" si="26"/>
        <v>99681436.799999997</v>
      </c>
      <c r="G71" s="145">
        <f t="shared" si="26"/>
        <v>124239029.76000001</v>
      </c>
      <c r="H71" s="145">
        <f>H69-H70</f>
        <v>30639029.759999998</v>
      </c>
      <c r="I71" s="145">
        <f t="shared" ref="I71" si="27">I69-I70</f>
        <v>135039029.75999999</v>
      </c>
      <c r="J71" s="145">
        <f t="shared" ref="J71" si="28">J69-J70</f>
        <v>30639029.759999998</v>
      </c>
      <c r="K71" s="145">
        <f t="shared" ref="K71" si="29">K69-K70</f>
        <v>30639029.759999998</v>
      </c>
      <c r="L71" s="145">
        <f t="shared" ref="L71" si="30">L69-L70</f>
        <v>30639029.759999998</v>
      </c>
      <c r="M71" s="145">
        <f>M69-M70</f>
        <v>30639029.759999998</v>
      </c>
      <c r="N71" s="148">
        <f>SUM(B71:M71)</f>
        <v>879930885.85312951</v>
      </c>
    </row>
    <row r="72" spans="1:14" s="77" customFormat="1" ht="18" x14ac:dyDescent="0.2">
      <c r="A72" s="78" t="s">
        <v>187</v>
      </c>
      <c r="B72" s="83">
        <f>B71*10%</f>
        <v>6993366.7933129584</v>
      </c>
      <c r="C72" s="83">
        <f t="shared" ref="C72:G72" si="31">C71*10%</f>
        <v>10260000</v>
      </c>
      <c r="D72" s="83">
        <f t="shared" si="31"/>
        <v>9538113.5999999996</v>
      </c>
      <c r="E72" s="83">
        <f t="shared" si="31"/>
        <v>9986143.6799999997</v>
      </c>
      <c r="F72" s="83">
        <f t="shared" si="31"/>
        <v>9968143.6799999997</v>
      </c>
      <c r="G72" s="83">
        <f t="shared" si="31"/>
        <v>12423902.976000002</v>
      </c>
      <c r="H72" s="83">
        <f>H71*10%</f>
        <v>3063902.9759999998</v>
      </c>
      <c r="I72" s="83">
        <f t="shared" ref="I72" si="32">I71*10%</f>
        <v>13503902.976</v>
      </c>
      <c r="J72" s="83">
        <f t="shared" ref="J72" si="33">J71*10%</f>
        <v>3063902.9759999998</v>
      </c>
      <c r="K72" s="83">
        <f t="shared" ref="K72" si="34">K71*10%</f>
        <v>3063902.9759999998</v>
      </c>
      <c r="L72" s="83">
        <f t="shared" ref="L72" si="35">L71*10%</f>
        <v>3063902.9759999998</v>
      </c>
      <c r="M72" s="83">
        <f>M71*10%</f>
        <v>3063902.9759999998</v>
      </c>
      <c r="N72" s="142">
        <f t="shared" si="6"/>
        <v>87993088.585312948</v>
      </c>
    </row>
    <row r="73" spans="1:14" s="77" customFormat="1" ht="18" x14ac:dyDescent="0.2">
      <c r="A73" s="78" t="s">
        <v>188</v>
      </c>
      <c r="B73" s="83">
        <f>B71*60%</f>
        <v>41960200.759877749</v>
      </c>
      <c r="C73" s="83">
        <f t="shared" ref="C73:G73" si="36">C71*60%</f>
        <v>61560000</v>
      </c>
      <c r="D73" s="83">
        <f t="shared" si="36"/>
        <v>57228681.600000001</v>
      </c>
      <c r="E73" s="83">
        <f t="shared" si="36"/>
        <v>59916862.079999998</v>
      </c>
      <c r="F73" s="83">
        <f t="shared" si="36"/>
        <v>59808862.079999998</v>
      </c>
      <c r="G73" s="83">
        <f t="shared" si="36"/>
        <v>74543417.856000006</v>
      </c>
      <c r="H73" s="83">
        <f>H71*60%</f>
        <v>18383417.855999999</v>
      </c>
      <c r="I73" s="83">
        <f t="shared" ref="I73:L73" si="37">I71*60%</f>
        <v>81023417.855999991</v>
      </c>
      <c r="J73" s="83">
        <f t="shared" si="37"/>
        <v>18383417.855999999</v>
      </c>
      <c r="K73" s="83">
        <f t="shared" si="37"/>
        <v>18383417.855999999</v>
      </c>
      <c r="L73" s="83">
        <f t="shared" si="37"/>
        <v>18383417.855999999</v>
      </c>
      <c r="M73" s="83">
        <f>M71*60%</f>
        <v>18383417.855999999</v>
      </c>
      <c r="N73" s="142">
        <f t="shared" si="6"/>
        <v>527958531.51187778</v>
      </c>
    </row>
    <row r="74" spans="1:14" s="77" customFormat="1" ht="18" x14ac:dyDescent="0.2">
      <c r="A74" s="78" t="s">
        <v>189</v>
      </c>
      <c r="B74" s="83">
        <f>B71*10%</f>
        <v>6993366.7933129584</v>
      </c>
      <c r="C74" s="83">
        <f t="shared" ref="C74:G74" si="38">C71*10%</f>
        <v>10260000</v>
      </c>
      <c r="D74" s="83">
        <f t="shared" si="38"/>
        <v>9538113.5999999996</v>
      </c>
      <c r="E74" s="83">
        <f t="shared" si="38"/>
        <v>9986143.6799999997</v>
      </c>
      <c r="F74" s="83">
        <f t="shared" si="38"/>
        <v>9968143.6799999997</v>
      </c>
      <c r="G74" s="83">
        <f t="shared" si="38"/>
        <v>12423902.976000002</v>
      </c>
      <c r="H74" s="83">
        <f>H71*10%</f>
        <v>3063902.9759999998</v>
      </c>
      <c r="I74" s="83">
        <f t="shared" ref="I74:L74" si="39">I71*10%</f>
        <v>13503902.976</v>
      </c>
      <c r="J74" s="83">
        <f t="shared" si="39"/>
        <v>3063902.9759999998</v>
      </c>
      <c r="K74" s="83">
        <f t="shared" si="39"/>
        <v>3063902.9759999998</v>
      </c>
      <c r="L74" s="83">
        <f t="shared" si="39"/>
        <v>3063902.9759999998</v>
      </c>
      <c r="M74" s="83">
        <f>M71*10%</f>
        <v>3063902.9759999998</v>
      </c>
      <c r="N74" s="142">
        <f t="shared" si="6"/>
        <v>87993088.585312948</v>
      </c>
    </row>
    <row r="75" spans="1:14" s="77" customFormat="1" ht="18" x14ac:dyDescent="0.2">
      <c r="A75" s="78" t="s">
        <v>190</v>
      </c>
      <c r="B75" s="83">
        <f>B71*10%</f>
        <v>6993366.7933129584</v>
      </c>
      <c r="C75" s="83">
        <f t="shared" ref="C75:G75" si="40">C71*10%</f>
        <v>10260000</v>
      </c>
      <c r="D75" s="83">
        <f t="shared" si="40"/>
        <v>9538113.5999999996</v>
      </c>
      <c r="E75" s="83">
        <f t="shared" si="40"/>
        <v>9986143.6799999997</v>
      </c>
      <c r="F75" s="83">
        <f t="shared" si="40"/>
        <v>9968143.6799999997</v>
      </c>
      <c r="G75" s="83">
        <f t="shared" si="40"/>
        <v>12423902.976000002</v>
      </c>
      <c r="H75" s="83">
        <f>H71*10%</f>
        <v>3063902.9759999998</v>
      </c>
      <c r="I75" s="83">
        <f t="shared" ref="I75:L75" si="41">I71*10%</f>
        <v>13503902.976</v>
      </c>
      <c r="J75" s="83">
        <f t="shared" si="41"/>
        <v>3063902.9759999998</v>
      </c>
      <c r="K75" s="83">
        <f t="shared" si="41"/>
        <v>3063902.9759999998</v>
      </c>
      <c r="L75" s="83">
        <f t="shared" si="41"/>
        <v>3063902.9759999998</v>
      </c>
      <c r="M75" s="83">
        <f>M71*10%</f>
        <v>3063902.9759999998</v>
      </c>
      <c r="N75" s="142">
        <f t="shared" si="6"/>
        <v>87993088.585312948</v>
      </c>
    </row>
    <row r="76" spans="1:14" s="77" customFormat="1" ht="18" x14ac:dyDescent="0.2">
      <c r="A76" s="78" t="s">
        <v>191</v>
      </c>
      <c r="B76" s="83">
        <f>B71*10%</f>
        <v>6993366.7933129584</v>
      </c>
      <c r="C76" s="83">
        <f t="shared" ref="C76:G76" si="42">C71*10%</f>
        <v>10260000</v>
      </c>
      <c r="D76" s="83">
        <f t="shared" si="42"/>
        <v>9538113.5999999996</v>
      </c>
      <c r="E76" s="83">
        <f t="shared" si="42"/>
        <v>9986143.6799999997</v>
      </c>
      <c r="F76" s="83">
        <f t="shared" si="42"/>
        <v>9968143.6799999997</v>
      </c>
      <c r="G76" s="83">
        <f t="shared" si="42"/>
        <v>12423902.976000002</v>
      </c>
      <c r="H76" s="83">
        <f>H71*10%</f>
        <v>3063902.9759999998</v>
      </c>
      <c r="I76" s="83">
        <f t="shared" ref="I76:L76" si="43">I71*10%</f>
        <v>13503902.976</v>
      </c>
      <c r="J76" s="83">
        <f t="shared" si="43"/>
        <v>3063902.9759999998</v>
      </c>
      <c r="K76" s="83">
        <f t="shared" si="43"/>
        <v>3063902.9759999998</v>
      </c>
      <c r="L76" s="83">
        <f t="shared" si="43"/>
        <v>3063902.9759999998</v>
      </c>
      <c r="M76" s="83">
        <f>M71*10%</f>
        <v>3063902.9759999998</v>
      </c>
      <c r="N76" s="142">
        <f>SUM(B76:M76)</f>
        <v>87993088.585312948</v>
      </c>
    </row>
    <row r="77" spans="1:14" x14ac:dyDescent="0.2">
      <c r="N77" s="77"/>
    </row>
    <row r="78" spans="1:14" x14ac:dyDescent="0.2">
      <c r="N78" s="77"/>
    </row>
    <row r="79" spans="1:14" x14ac:dyDescent="0.2">
      <c r="N79" s="77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C9FF-BCB0-4D51-96C2-80EB3493262D}">
  <dimension ref="A1:N28"/>
  <sheetViews>
    <sheetView workbookViewId="0">
      <selection activeCell="A2" sqref="A2:XFD5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4" width="13" style="70" bestFit="1" customWidth="1"/>
    <col min="15" max="16384" width="11.5" style="70"/>
  </cols>
  <sheetData>
    <row r="1" spans="1:14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4" ht="16" customHeight="1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  <c r="N2" s="84">
        <f>SUM(B2:M2)</f>
        <v>96000000</v>
      </c>
    </row>
    <row r="3" spans="1:14" ht="15" x14ac:dyDescent="0.2">
      <c r="A3" s="64" t="str">
        <f>+'L-COSTOS'!A4</f>
        <v>Diseñador Gráfico Junior</v>
      </c>
      <c r="B3" s="65">
        <f>+'L-COSTOS'!$E$4</f>
        <v>3500000</v>
      </c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  <c r="N3" s="84">
        <f t="shared" ref="N3:N27" si="0">SUM(B3:M3)</f>
        <v>24500000</v>
      </c>
    </row>
    <row r="4" spans="1:14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  <c r="N4" s="84">
        <f t="shared" si="0"/>
        <v>60000000</v>
      </c>
    </row>
    <row r="5" spans="1:14" ht="15" x14ac:dyDescent="0.2">
      <c r="A5" s="64" t="str">
        <f>+'L-COSTOS'!A8</f>
        <v>Analista Programador Senior - Fijos 1</v>
      </c>
      <c r="B5" s="65">
        <f>+'L-COSTOS'!$H$8</f>
        <v>7400000</v>
      </c>
      <c r="C5" s="65">
        <f>+'L-COSTOS'!$H$8</f>
        <v>7400000</v>
      </c>
      <c r="D5" s="65">
        <f>+'L-COSTOS'!$H$8</f>
        <v>7400000</v>
      </c>
      <c r="E5" s="65">
        <f>+'L-COSTOS'!$H$8</f>
        <v>7400000</v>
      </c>
      <c r="F5" s="65">
        <f>+'L-COSTOS'!$H$8</f>
        <v>7400000</v>
      </c>
      <c r="G5" s="65">
        <f>+'L-COSTOS'!$H$8</f>
        <v>7400000</v>
      </c>
      <c r="H5" s="65">
        <f>+'L-COSTOS'!$H$8</f>
        <v>7400000</v>
      </c>
      <c r="I5" s="65">
        <f>+'L-COSTOS'!$H$8</f>
        <v>7400000</v>
      </c>
      <c r="J5" s="65">
        <f>+'L-COSTOS'!$H$8</f>
        <v>7400000</v>
      </c>
      <c r="K5" s="65">
        <f>+'L-COSTOS'!$H$8</f>
        <v>7400000</v>
      </c>
      <c r="L5" s="65">
        <f>+'L-COSTOS'!$H$8</f>
        <v>7400000</v>
      </c>
      <c r="M5" s="65">
        <f>+'L-COSTOS'!$H$8</f>
        <v>7400000</v>
      </c>
      <c r="N5" s="84">
        <f t="shared" si="0"/>
        <v>88800000</v>
      </c>
    </row>
    <row r="6" spans="1:14" ht="15" x14ac:dyDescent="0.2">
      <c r="A6" s="64" t="str">
        <f>+'L-COSTOS'!A9</f>
        <v>Analista Programador Senior - Fijos 2</v>
      </c>
      <c r="B6" s="65">
        <f>+'L-COSTOS'!$H$9</f>
        <v>7400000</v>
      </c>
      <c r="C6" s="65">
        <f>+'L-COSTOS'!$H$9</f>
        <v>7400000</v>
      </c>
      <c r="D6" s="65">
        <f>+'L-COSTOS'!$H$9</f>
        <v>7400000</v>
      </c>
      <c r="E6" s="65">
        <f>+'L-COSTOS'!$H$9</f>
        <v>7400000</v>
      </c>
      <c r="F6" s="65">
        <f>+'L-COSTOS'!$H$9</f>
        <v>7400000</v>
      </c>
      <c r="G6" s="65">
        <f>+'L-COSTOS'!$H$9</f>
        <v>7400000</v>
      </c>
      <c r="H6" s="65">
        <f>+'L-COSTOS'!$H$9</f>
        <v>7400000</v>
      </c>
      <c r="I6" s="65">
        <f>+'L-COSTOS'!$H$9</f>
        <v>7400000</v>
      </c>
      <c r="J6" s="65">
        <f>+'L-COSTOS'!$H$9</f>
        <v>7400000</v>
      </c>
      <c r="K6" s="65">
        <f>+'L-COSTOS'!$H$9</f>
        <v>7400000</v>
      </c>
      <c r="L6" s="65">
        <f>+'L-COSTOS'!$H$9</f>
        <v>7400000</v>
      </c>
      <c r="M6" s="65">
        <f>+'L-COSTOS'!$H$9</f>
        <v>7400000</v>
      </c>
      <c r="N6" s="84">
        <f t="shared" si="0"/>
        <v>88800000</v>
      </c>
    </row>
    <row r="7" spans="1:14" ht="15" x14ac:dyDescent="0.2">
      <c r="A7" s="64" t="str">
        <f>+'L-COSTOS'!A10</f>
        <v>Analista Programador Senior - Fijos 3</v>
      </c>
      <c r="B7" s="65">
        <f>+'L-COSTOS'!$H$9</f>
        <v>7400000</v>
      </c>
      <c r="C7" s="65">
        <f>+'L-COSTOS'!$H$10</f>
        <v>7400000</v>
      </c>
      <c r="D7" s="65">
        <f>+'L-COSTOS'!$H$10</f>
        <v>7400000</v>
      </c>
      <c r="E7" s="65">
        <f>+'L-COSTOS'!$H$10</f>
        <v>7400000</v>
      </c>
      <c r="F7" s="65">
        <f>+'L-COSTOS'!$H$10</f>
        <v>7400000</v>
      </c>
      <c r="G7" s="65">
        <f>+'L-COSTOS'!$H$10</f>
        <v>7400000</v>
      </c>
      <c r="H7" s="65">
        <f>+'L-COSTOS'!$H$10</f>
        <v>7400000</v>
      </c>
      <c r="I7" s="65">
        <f>+'L-COSTOS'!$H$10</f>
        <v>7400000</v>
      </c>
      <c r="J7" s="65">
        <f>+'L-COSTOS'!$H$10</f>
        <v>7400000</v>
      </c>
      <c r="K7" s="65"/>
      <c r="L7" s="65"/>
      <c r="M7" s="65"/>
      <c r="N7" s="84">
        <f t="shared" si="0"/>
        <v>66600000</v>
      </c>
    </row>
    <row r="8" spans="1:14" ht="15" x14ac:dyDescent="0.2">
      <c r="A8" s="64" t="str">
        <f>+'L-COSTOS'!A11</f>
        <v>Analista Programador Senior - Fijos 4</v>
      </c>
      <c r="B8" s="65">
        <f>+'L-COSTOS'!$H$9</f>
        <v>7400000</v>
      </c>
      <c r="C8" s="65">
        <f>+'L-COSTOS'!$H$11</f>
        <v>7400000</v>
      </c>
      <c r="D8" s="65">
        <f>+'L-COSTOS'!$H$11</f>
        <v>7400000</v>
      </c>
      <c r="E8" s="65">
        <f>+'L-COSTOS'!$H$11</f>
        <v>7400000</v>
      </c>
      <c r="F8" s="65">
        <f>+'L-COSTOS'!$H$11</f>
        <v>7400000</v>
      </c>
      <c r="G8" s="65">
        <f>+'L-COSTOS'!$H$11</f>
        <v>7400000</v>
      </c>
      <c r="H8" s="65">
        <f>+'L-COSTOS'!$H$11</f>
        <v>7400000</v>
      </c>
      <c r="I8" s="65">
        <f>+'L-COSTOS'!$H$11</f>
        <v>7400000</v>
      </c>
      <c r="J8" s="65">
        <f>+'L-COSTOS'!$H$11</f>
        <v>7400000</v>
      </c>
      <c r="K8" s="65"/>
      <c r="L8" s="65"/>
      <c r="M8" s="65"/>
      <c r="N8" s="84">
        <f t="shared" si="0"/>
        <v>66600000</v>
      </c>
    </row>
    <row r="9" spans="1:14" ht="15" x14ac:dyDescent="0.2">
      <c r="A9" s="64" t="str">
        <f>+'L-COSTOS'!A20</f>
        <v>Analista Programador ARGIS (SIG)</v>
      </c>
      <c r="B9" s="65">
        <f>+'L-COSTOS'!$H$20</f>
        <v>10000000</v>
      </c>
      <c r="C9" s="65">
        <f>+'L-COSTOS'!$E$20</f>
        <v>10000000</v>
      </c>
      <c r="D9" s="65">
        <f>+'L-COSTOS'!$E$20</f>
        <v>10000000</v>
      </c>
      <c r="E9" s="65">
        <f>+'L-COSTOS'!$E$20</f>
        <v>10000000</v>
      </c>
      <c r="F9" s="65">
        <f>+'L-COSTOS'!$E$20</f>
        <v>10000000</v>
      </c>
      <c r="G9" s="65">
        <f>+'L-COSTOS'!$E$20</f>
        <v>10000000</v>
      </c>
      <c r="H9" s="65">
        <f>+'L-COSTOS'!$E$20</f>
        <v>10000000</v>
      </c>
      <c r="I9" s="65">
        <f>+'L-COSTOS'!$E$20</f>
        <v>10000000</v>
      </c>
      <c r="J9" s="65">
        <f>+'L-COSTOS'!$E$20</f>
        <v>10000000</v>
      </c>
      <c r="K9" s="65">
        <f>+'L-COSTOS'!$E$20</f>
        <v>10000000</v>
      </c>
      <c r="L9" s="65">
        <f>+'L-COSTOS'!$E$20</f>
        <v>10000000</v>
      </c>
      <c r="M9" s="65">
        <f>+'L-COSTOS'!$E$20</f>
        <v>10000000</v>
      </c>
      <c r="N9" s="84">
        <f t="shared" si="0"/>
        <v>120000000</v>
      </c>
    </row>
    <row r="10" spans="1:14" ht="15" x14ac:dyDescent="0.2">
      <c r="A10" s="64" t="str">
        <f>+'L-COSTOS'!A21</f>
        <v>Proyect Manager</v>
      </c>
      <c r="B10" s="65">
        <f>+'L-COSTOS'!H21</f>
        <v>12000000</v>
      </c>
      <c r="C10" s="65">
        <f>+'L-COSTOS'!$E$21</f>
        <v>12000000</v>
      </c>
      <c r="D10" s="65">
        <f>+'L-COSTOS'!$E$21</f>
        <v>12000000</v>
      </c>
      <c r="E10" s="65">
        <f>+'L-COSTOS'!$E$21</f>
        <v>12000000</v>
      </c>
      <c r="F10" s="65">
        <f>+'L-COSTOS'!$E$21</f>
        <v>12000000</v>
      </c>
      <c r="G10" s="65">
        <f>+'L-COSTOS'!$E$21</f>
        <v>12000000</v>
      </c>
      <c r="H10" s="65">
        <f>+'L-COSTOS'!$E$21</f>
        <v>12000000</v>
      </c>
      <c r="I10" s="65">
        <f>+'L-COSTOS'!$E$21</f>
        <v>12000000</v>
      </c>
      <c r="J10" s="65"/>
      <c r="K10" s="65"/>
      <c r="L10" s="65"/>
      <c r="M10" s="65"/>
      <c r="N10" s="84">
        <f t="shared" si="0"/>
        <v>96000000</v>
      </c>
    </row>
    <row r="11" spans="1:14" ht="15" x14ac:dyDescent="0.2">
      <c r="A11" s="64" t="str">
        <f>+'L-COSTOS'!A23</f>
        <v>Contador</v>
      </c>
      <c r="B11" s="65">
        <f>+'L-COSTOS'!H23</f>
        <v>3500000</v>
      </c>
      <c r="C11" s="65">
        <f>+'L-COSTOS'!$E$23</f>
        <v>3500000</v>
      </c>
      <c r="D11" s="65">
        <f>+'L-COSTOS'!$E$23</f>
        <v>3500000</v>
      </c>
      <c r="E11" s="65">
        <f>+'L-COSTOS'!$E$23</f>
        <v>3500000</v>
      </c>
      <c r="F11" s="65">
        <f>+'L-COSTOS'!$E$23</f>
        <v>3500000</v>
      </c>
      <c r="G11" s="65">
        <f>+'L-COSTOS'!$E$23</f>
        <v>3500000</v>
      </c>
      <c r="H11" s="65">
        <f>+'L-COSTOS'!$E$23</f>
        <v>3500000</v>
      </c>
      <c r="I11" s="65">
        <f>+'L-COSTOS'!$E$23</f>
        <v>3500000</v>
      </c>
      <c r="J11" s="65">
        <f>+'L-COSTOS'!$E$23</f>
        <v>3500000</v>
      </c>
      <c r="K11" s="65">
        <f>+'L-COSTOS'!$E$23</f>
        <v>3500000</v>
      </c>
      <c r="L11" s="65">
        <f>+'L-COSTOS'!$E$23</f>
        <v>3500000</v>
      </c>
      <c r="M11" s="65">
        <f>+'L-COSTOS'!$E$23</f>
        <v>3500000</v>
      </c>
      <c r="N11" s="84">
        <f t="shared" si="0"/>
        <v>42000000</v>
      </c>
    </row>
    <row r="12" spans="1:14" ht="15" x14ac:dyDescent="0.2">
      <c r="A12" s="64" t="str">
        <f>+'L-COSTOS'!A24</f>
        <v>Analista Administrativo</v>
      </c>
      <c r="B12" s="65">
        <f>+'L-COSTOS'!$E$24</f>
        <v>2500000</v>
      </c>
      <c r="C12" s="65">
        <f>+'L-COSTOS'!$E$24</f>
        <v>2500000</v>
      </c>
      <c r="D12" s="65">
        <f>+'L-COSTOS'!$E$24</f>
        <v>2500000</v>
      </c>
      <c r="E12" s="65">
        <f>+'L-COSTOS'!$E$24</f>
        <v>2500000</v>
      </c>
      <c r="F12" s="65">
        <f>+'L-COSTOS'!$E$24</f>
        <v>2500000</v>
      </c>
      <c r="G12" s="65">
        <f>+'L-COSTOS'!$E$24</f>
        <v>2500000</v>
      </c>
      <c r="H12" s="65">
        <f>+'L-COSTOS'!$E$24</f>
        <v>2500000</v>
      </c>
      <c r="I12" s="65">
        <f>+'L-COSTOS'!$E$24</f>
        <v>2500000</v>
      </c>
      <c r="J12" s="65">
        <f>+'L-COSTOS'!$E$24</f>
        <v>2500000</v>
      </c>
      <c r="K12" s="65">
        <f>+'L-COSTOS'!$E$24</f>
        <v>2500000</v>
      </c>
      <c r="L12" s="65">
        <f>+'L-COSTOS'!$E$24</f>
        <v>2500000</v>
      </c>
      <c r="M12" s="65">
        <f>+'L-COSTOS'!$E$24</f>
        <v>2500000</v>
      </c>
      <c r="N12" s="84">
        <f t="shared" si="0"/>
        <v>30000000</v>
      </c>
    </row>
    <row r="13" spans="1:14" ht="15" x14ac:dyDescent="0.2">
      <c r="A13" s="64" t="str">
        <f>+'L-COSTOS'!A25</f>
        <v>Ingeniero de redes</v>
      </c>
      <c r="B13" s="65">
        <f>+'L-COSTOS'!$E$25</f>
        <v>4800000</v>
      </c>
      <c r="C13" s="65">
        <f>+'L-COSTOS'!$E$25</f>
        <v>4800000</v>
      </c>
      <c r="D13" s="65">
        <f>+'L-COSTOS'!$E$25</f>
        <v>4800000</v>
      </c>
      <c r="E13" s="65">
        <f>+'L-COSTOS'!$E$25</f>
        <v>4800000</v>
      </c>
      <c r="F13" s="65">
        <f>+'L-COSTOS'!$E$25</f>
        <v>4800000</v>
      </c>
      <c r="G13" s="65">
        <f>+'L-COSTOS'!$E$25</f>
        <v>4800000</v>
      </c>
      <c r="H13" s="65">
        <f>+'L-COSTOS'!$E$25</f>
        <v>4800000</v>
      </c>
      <c r="I13" s="65">
        <f>+'L-COSTOS'!$E$25</f>
        <v>4800000</v>
      </c>
      <c r="J13" s="65">
        <f>+'L-COSTOS'!$E$25</f>
        <v>4800000</v>
      </c>
      <c r="K13" s="65">
        <f>+'L-COSTOS'!$E$25</f>
        <v>4800000</v>
      </c>
      <c r="L13" s="65">
        <f>+'L-COSTOS'!$E$25</f>
        <v>4800000</v>
      </c>
      <c r="M13" s="65">
        <f>+'L-COSTOS'!$E$25</f>
        <v>4800000</v>
      </c>
      <c r="N13" s="84">
        <f t="shared" si="0"/>
        <v>57600000</v>
      </c>
    </row>
    <row r="14" spans="1:14" ht="18" x14ac:dyDescent="0.2">
      <c r="A14" s="66" t="s">
        <v>150</v>
      </c>
      <c r="B14" s="67">
        <f t="shared" ref="B14:M14" si="1">SUM(B2:B13)</f>
        <v>78900000</v>
      </c>
      <c r="C14" s="67">
        <f t="shared" si="1"/>
        <v>78900000</v>
      </c>
      <c r="D14" s="67">
        <f t="shared" si="1"/>
        <v>78900000</v>
      </c>
      <c r="E14" s="67">
        <f t="shared" si="1"/>
        <v>78900000</v>
      </c>
      <c r="F14" s="67">
        <f t="shared" si="1"/>
        <v>78900000</v>
      </c>
      <c r="G14" s="67">
        <f t="shared" si="1"/>
        <v>78900000</v>
      </c>
      <c r="H14" s="67">
        <f t="shared" si="1"/>
        <v>78900000</v>
      </c>
      <c r="I14" s="67">
        <f t="shared" si="1"/>
        <v>75400000</v>
      </c>
      <c r="J14" s="67">
        <f t="shared" si="1"/>
        <v>63400000</v>
      </c>
      <c r="K14" s="67">
        <f t="shared" si="1"/>
        <v>48600000</v>
      </c>
      <c r="L14" s="67">
        <f t="shared" si="1"/>
        <v>48600000</v>
      </c>
      <c r="M14" s="67">
        <f t="shared" si="1"/>
        <v>48600000</v>
      </c>
      <c r="N14" s="84">
        <f t="shared" si="0"/>
        <v>836900000</v>
      </c>
    </row>
    <row r="15" spans="1:14" ht="18" x14ac:dyDescent="0.2">
      <c r="A15" s="68" t="s">
        <v>145</v>
      </c>
      <c r="B15" s="68" t="str">
        <f t="shared" ref="B15:M15" si="2">+B1</f>
        <v>AGOSTO</v>
      </c>
      <c r="C15" s="68" t="str">
        <f t="shared" si="2"/>
        <v>SEPTIEMBRE</v>
      </c>
      <c r="D15" s="68" t="str">
        <f t="shared" si="2"/>
        <v>OCTUBRE</v>
      </c>
      <c r="E15" s="68" t="str">
        <f t="shared" si="2"/>
        <v>NOVIEMBRE</v>
      </c>
      <c r="F15" s="68" t="str">
        <f t="shared" si="2"/>
        <v>DICIEMBRE</v>
      </c>
      <c r="G15" s="68" t="str">
        <f t="shared" si="2"/>
        <v>ENERO</v>
      </c>
      <c r="H15" s="68" t="str">
        <f t="shared" si="2"/>
        <v>FEBRERO</v>
      </c>
      <c r="I15" s="68" t="str">
        <f t="shared" si="2"/>
        <v>MARZO</v>
      </c>
      <c r="J15" s="68" t="str">
        <f t="shared" si="2"/>
        <v>ABRIL</v>
      </c>
      <c r="K15" s="68" t="str">
        <f t="shared" si="2"/>
        <v>MAYO</v>
      </c>
      <c r="L15" s="68" t="str">
        <f t="shared" si="2"/>
        <v>JUNIO</v>
      </c>
      <c r="M15" s="68" t="str">
        <f t="shared" si="2"/>
        <v>JULIO</v>
      </c>
      <c r="N15" s="84"/>
    </row>
    <row r="16" spans="1:14" ht="15" x14ac:dyDescent="0.2">
      <c r="A16" s="64" t="str">
        <f>+'L-COSTOS'!A45</f>
        <v>Ingeniero Catastral</v>
      </c>
      <c r="B16" s="65">
        <f>+'L-COSTOS'!$H$45</f>
        <v>236810</v>
      </c>
      <c r="C16" s="65">
        <f>+'L-COSTOS'!$H$45</f>
        <v>236810</v>
      </c>
      <c r="D16" s="65">
        <f>+'L-COSTOS'!$H$45</f>
        <v>236810</v>
      </c>
      <c r="E16" s="65">
        <f>+'L-COSTOS'!$H$45</f>
        <v>236810</v>
      </c>
      <c r="F16" s="65">
        <f>+'L-COSTOS'!$H$45</f>
        <v>236810</v>
      </c>
      <c r="G16" s="65">
        <f>+'L-COSTOS'!$H$45</f>
        <v>236810</v>
      </c>
      <c r="H16" s="65">
        <f>+'L-COSTOS'!$H$45</f>
        <v>236810</v>
      </c>
      <c r="I16" s="65">
        <f>+'L-COSTOS'!$H$45</f>
        <v>236810</v>
      </c>
      <c r="J16" s="65">
        <f>+'L-COSTOS'!$H$45</f>
        <v>236810</v>
      </c>
      <c r="K16" s="65">
        <f>+'L-COSTOS'!$H$45</f>
        <v>236810</v>
      </c>
      <c r="L16" s="65">
        <f>+'L-COSTOS'!$H$45</f>
        <v>236810</v>
      </c>
      <c r="M16" s="65">
        <f>+'L-COSTOS'!$H$45</f>
        <v>236810</v>
      </c>
      <c r="N16" s="84">
        <f t="shared" si="0"/>
        <v>2841720</v>
      </c>
    </row>
    <row r="17" spans="1:14" ht="15" x14ac:dyDescent="0.2">
      <c r="A17" s="64" t="str">
        <f>+'L-COSTOS'!A46</f>
        <v>Diseñador Gráfico Junior</v>
      </c>
      <c r="B17" s="65">
        <f>+'L-COSTOS'!$H$46</f>
        <v>236810</v>
      </c>
      <c r="C17" s="65">
        <f>+'L-COSTOS'!$H$46</f>
        <v>236810</v>
      </c>
      <c r="D17" s="65">
        <f>+'L-COSTOS'!$H$46</f>
        <v>236810</v>
      </c>
      <c r="E17" s="65">
        <f>+'L-COSTOS'!$H$46</f>
        <v>236810</v>
      </c>
      <c r="F17" s="65">
        <f>+'L-COSTOS'!$H$46</f>
        <v>236810</v>
      </c>
      <c r="G17" s="65">
        <f>+'L-COSTOS'!$H$46</f>
        <v>236810</v>
      </c>
      <c r="H17" s="65">
        <f>+'L-COSTOS'!$H$46</f>
        <v>236810</v>
      </c>
      <c r="I17" s="65"/>
      <c r="J17" s="65"/>
      <c r="K17" s="65"/>
      <c r="L17" s="65"/>
      <c r="M17" s="65"/>
      <c r="N17" s="84">
        <f t="shared" si="0"/>
        <v>1657670</v>
      </c>
    </row>
    <row r="18" spans="1:14" ht="15" x14ac:dyDescent="0.2">
      <c r="A18" s="64" t="str">
        <f>+'L-COSTOS'!A47</f>
        <v>Documentador 1</v>
      </c>
      <c r="B18" s="65">
        <f>+'L-COSTOS'!$H$47*3</f>
        <v>374850</v>
      </c>
      <c r="C18" s="65">
        <f>+'L-COSTOS'!$H$47*3</f>
        <v>374850</v>
      </c>
      <c r="D18" s="65">
        <f>+'L-COSTOS'!$H$47*3</f>
        <v>374850</v>
      </c>
      <c r="E18" s="65">
        <f>+'L-COSTOS'!$H$47*3</f>
        <v>374850</v>
      </c>
      <c r="F18" s="65">
        <f>+'L-COSTOS'!$H$47*3</f>
        <v>374850</v>
      </c>
      <c r="G18" s="65">
        <f>+'L-COSTOS'!$H$47*3</f>
        <v>374850</v>
      </c>
      <c r="H18" s="65">
        <f>+'L-COSTOS'!$H$47*3</f>
        <v>374850</v>
      </c>
      <c r="I18" s="65">
        <f>+'L-COSTOS'!$H$47*3</f>
        <v>374850</v>
      </c>
      <c r="J18" s="65">
        <f>+'L-COSTOS'!$H$47*3</f>
        <v>374850</v>
      </c>
      <c r="K18" s="65">
        <f>+'L-COSTOS'!$H$47*3</f>
        <v>374850</v>
      </c>
      <c r="L18" s="65">
        <f>+'L-COSTOS'!$H$47*3</f>
        <v>374850</v>
      </c>
      <c r="M18" s="65">
        <f>+'L-COSTOS'!$H$47*3</f>
        <v>374850</v>
      </c>
      <c r="N18" s="84">
        <f t="shared" si="0"/>
        <v>4498200</v>
      </c>
    </row>
    <row r="19" spans="1:14" ht="15" x14ac:dyDescent="0.2">
      <c r="A19" s="64" t="str">
        <f>+'L-COSTOS'!A48</f>
        <v>Analista Programador ARGIS (SIG)</v>
      </c>
      <c r="B19" s="65">
        <f>+'L-COSTOS'!$H$48</f>
        <v>236810</v>
      </c>
      <c r="C19" s="65">
        <f>+'L-COSTOS'!$H$48</f>
        <v>236810</v>
      </c>
      <c r="D19" s="65">
        <f>+'L-COSTOS'!$H$48</f>
        <v>236810</v>
      </c>
      <c r="E19" s="65">
        <f>+'L-COSTOS'!$H$48</f>
        <v>236810</v>
      </c>
      <c r="F19" s="65">
        <f>+'L-COSTOS'!$H$48</f>
        <v>236810</v>
      </c>
      <c r="G19" s="65">
        <f>+'L-COSTOS'!$H$48</f>
        <v>236810</v>
      </c>
      <c r="H19" s="65">
        <f>+'L-COSTOS'!$H$48</f>
        <v>236810</v>
      </c>
      <c r="I19" s="65">
        <f>+'L-COSTOS'!$H$48</f>
        <v>236810</v>
      </c>
      <c r="J19" s="65">
        <f>+'L-COSTOS'!$H$48</f>
        <v>236810</v>
      </c>
      <c r="K19" s="65">
        <f>+'L-COSTOS'!$H$48</f>
        <v>236810</v>
      </c>
      <c r="L19" s="65">
        <f>+'L-COSTOS'!$H$48</f>
        <v>236810</v>
      </c>
      <c r="M19" s="65">
        <f>+'L-COSTOS'!$H$48</f>
        <v>236810</v>
      </c>
      <c r="N19" s="84">
        <f t="shared" si="0"/>
        <v>2841720</v>
      </c>
    </row>
    <row r="20" spans="1:14" ht="15" x14ac:dyDescent="0.2">
      <c r="A20" s="64" t="str">
        <f>+'L-COSTOS'!A49</f>
        <v>Proyect Manager</v>
      </c>
      <c r="B20" s="65">
        <f>+'L-COSTOS'!$H$49</f>
        <v>236810</v>
      </c>
      <c r="C20" s="65">
        <f>+'L-COSTOS'!$H$49</f>
        <v>236810</v>
      </c>
      <c r="D20" s="65">
        <f>+'L-COSTOS'!$H$49</f>
        <v>236810</v>
      </c>
      <c r="E20" s="65">
        <f>+'L-COSTOS'!$H$49</f>
        <v>236810</v>
      </c>
      <c r="F20" s="65">
        <f>+'L-COSTOS'!$H$49</f>
        <v>236810</v>
      </c>
      <c r="G20" s="65">
        <f>+'L-COSTOS'!$H$49</f>
        <v>236810</v>
      </c>
      <c r="H20" s="65">
        <f>+'L-COSTOS'!$H$49</f>
        <v>236810</v>
      </c>
      <c r="I20" s="65">
        <f>+'L-COSTOS'!$H$49</f>
        <v>236810</v>
      </c>
      <c r="J20" s="65"/>
      <c r="K20" s="65"/>
      <c r="L20" s="65"/>
      <c r="M20" s="65"/>
      <c r="N20" s="84">
        <f t="shared" si="0"/>
        <v>1894480</v>
      </c>
    </row>
    <row r="21" spans="1:14" ht="15" x14ac:dyDescent="0.2">
      <c r="A21" s="64" t="str">
        <f>+'L-COSTOS'!A51</f>
        <v>Analista Administrativo</v>
      </c>
      <c r="B21" s="65">
        <f>+'L-COSTOS'!$H$51</f>
        <v>124950</v>
      </c>
      <c r="C21" s="65">
        <f>+'L-COSTOS'!$H$51</f>
        <v>124950</v>
      </c>
      <c r="D21" s="65">
        <f>+'L-COSTOS'!$H$51</f>
        <v>124950</v>
      </c>
      <c r="E21" s="65">
        <f>+'L-COSTOS'!$H$51</f>
        <v>124950</v>
      </c>
      <c r="F21" s="65">
        <f>+'L-COSTOS'!$H$51</f>
        <v>124950</v>
      </c>
      <c r="G21" s="65">
        <f>+'L-COSTOS'!$H$51</f>
        <v>124950</v>
      </c>
      <c r="H21" s="65">
        <f>+'L-COSTOS'!$H$51</f>
        <v>124950</v>
      </c>
      <c r="I21" s="65">
        <f>+'L-COSTOS'!$H$51</f>
        <v>124950</v>
      </c>
      <c r="J21" s="65">
        <f>+'L-COSTOS'!$H$51</f>
        <v>124950</v>
      </c>
      <c r="K21" s="65">
        <f>+'L-COSTOS'!$H$51</f>
        <v>124950</v>
      </c>
      <c r="L21" s="65">
        <f>+'L-COSTOS'!$H$51</f>
        <v>124950</v>
      </c>
      <c r="M21" s="65">
        <f>+'L-COSTOS'!$H$51</f>
        <v>124950</v>
      </c>
      <c r="N21" s="84">
        <f t="shared" si="0"/>
        <v>1499400</v>
      </c>
    </row>
    <row r="22" spans="1:14" ht="15" x14ac:dyDescent="0.2">
      <c r="A22" s="64" t="str">
        <f>+'L-COSTOS'!A57</f>
        <v xml:space="preserve">Servidores </v>
      </c>
      <c r="B22" s="65">
        <f>+'L-COSTOS'!$H$57</f>
        <v>16660000</v>
      </c>
      <c r="C22" s="65">
        <f>+'L-COSTOS'!$H$57</f>
        <v>16660000</v>
      </c>
      <c r="D22" s="65">
        <f>+'L-COSTOS'!$H$57</f>
        <v>16660000</v>
      </c>
      <c r="E22" s="65">
        <f>+'L-COSTOS'!$H$57</f>
        <v>16660000</v>
      </c>
      <c r="F22" s="65">
        <f>+'L-COSTOS'!$H$57</f>
        <v>16660000</v>
      </c>
      <c r="G22" s="65">
        <f>+'L-COSTOS'!$H$57</f>
        <v>16660000</v>
      </c>
      <c r="H22" s="65">
        <f>+'L-COSTOS'!$H$57</f>
        <v>16660000</v>
      </c>
      <c r="I22" s="65">
        <f>+'L-COSTOS'!$H$57</f>
        <v>16660000</v>
      </c>
      <c r="J22" s="65">
        <f>+'L-COSTOS'!$H$57</f>
        <v>16660000</v>
      </c>
      <c r="K22" s="65">
        <f>+'L-COSTOS'!$H$57</f>
        <v>16660000</v>
      </c>
      <c r="L22" s="65">
        <f>+'L-COSTOS'!$H$57</f>
        <v>16660000</v>
      </c>
      <c r="M22" s="65">
        <f>+'L-COSTOS'!$H$57</f>
        <v>16660000</v>
      </c>
      <c r="N22" s="84">
        <f t="shared" si="0"/>
        <v>199920000</v>
      </c>
    </row>
    <row r="23" spans="1:14" ht="15" x14ac:dyDescent="0.2">
      <c r="A23" s="64" t="str">
        <f>+'L-COSTOS'!A58</f>
        <v>Adecuación de Redes</v>
      </c>
      <c r="B23" s="65">
        <f>+'L-COSTOS'!$H$58</f>
        <v>5950000</v>
      </c>
      <c r="C23" s="65">
        <f>+'L-COSTOS'!$H$58</f>
        <v>5950000</v>
      </c>
      <c r="D23" s="65">
        <f>+'L-COSTOS'!$H$58</f>
        <v>5950000</v>
      </c>
      <c r="E23" s="65">
        <f>+'L-COSTOS'!$H$58</f>
        <v>5950000</v>
      </c>
      <c r="F23" s="65">
        <f>+'L-COSTOS'!$H$58</f>
        <v>5950000</v>
      </c>
      <c r="G23" s="65">
        <f>+'L-COSTOS'!$H$58</f>
        <v>5950000</v>
      </c>
      <c r="H23" s="65">
        <f>+'L-COSTOS'!$H$58</f>
        <v>5950000</v>
      </c>
      <c r="I23" s="65">
        <f>+'L-COSTOS'!$H$58</f>
        <v>5950000</v>
      </c>
      <c r="J23" s="65">
        <f>+'L-COSTOS'!$H$58</f>
        <v>5950000</v>
      </c>
      <c r="K23" s="65">
        <f>+'L-COSTOS'!$H$58</f>
        <v>5950000</v>
      </c>
      <c r="L23" s="65">
        <f>+'L-COSTOS'!$H$58</f>
        <v>5950000</v>
      </c>
      <c r="M23" s="65">
        <f>+'L-COSTOS'!$H$58</f>
        <v>5950000</v>
      </c>
      <c r="N23" s="84">
        <f t="shared" si="0"/>
        <v>71400000</v>
      </c>
    </row>
    <row r="24" spans="1:14" ht="18" x14ac:dyDescent="0.2">
      <c r="A24" s="66" t="s">
        <v>149</v>
      </c>
      <c r="B24" s="67">
        <f t="shared" ref="B24:M24" si="3">SUM(B16:B23)</f>
        <v>24057040</v>
      </c>
      <c r="C24" s="67">
        <f t="shared" si="3"/>
        <v>24057040</v>
      </c>
      <c r="D24" s="67">
        <f t="shared" si="3"/>
        <v>24057040</v>
      </c>
      <c r="E24" s="67">
        <f t="shared" si="3"/>
        <v>24057040</v>
      </c>
      <c r="F24" s="67">
        <f t="shared" si="3"/>
        <v>24057040</v>
      </c>
      <c r="G24" s="67">
        <f t="shared" si="3"/>
        <v>24057040</v>
      </c>
      <c r="H24" s="67">
        <f t="shared" si="3"/>
        <v>24057040</v>
      </c>
      <c r="I24" s="67">
        <f t="shared" si="3"/>
        <v>23820230</v>
      </c>
      <c r="J24" s="67">
        <f t="shared" si="3"/>
        <v>23583420</v>
      </c>
      <c r="K24" s="67">
        <f t="shared" si="3"/>
        <v>23583420</v>
      </c>
      <c r="L24" s="67">
        <f t="shared" si="3"/>
        <v>23583420</v>
      </c>
      <c r="M24" s="67">
        <f t="shared" si="3"/>
        <v>23583420</v>
      </c>
      <c r="N24" s="84">
        <f t="shared" si="0"/>
        <v>286553190</v>
      </c>
    </row>
    <row r="25" spans="1:14" ht="18" x14ac:dyDescent="0.2">
      <c r="A25" s="66" t="s">
        <v>146</v>
      </c>
      <c r="B25" s="69">
        <f>+'L-COSTOS'!$F$89/12</f>
        <v>13848408.198211111</v>
      </c>
      <c r="C25" s="69">
        <f>+'L-COSTOS'!$F$89/12</f>
        <v>13848408.198211111</v>
      </c>
      <c r="D25" s="69">
        <f>+'L-COSTOS'!$F$89/12</f>
        <v>13848408.198211111</v>
      </c>
      <c r="E25" s="69">
        <f>+'L-COSTOS'!$F$89/12</f>
        <v>13848408.198211111</v>
      </c>
      <c r="F25" s="69">
        <f>+'L-COSTOS'!$F$89/12</f>
        <v>13848408.198211111</v>
      </c>
      <c r="G25" s="69">
        <f>+'L-COSTOS'!$F$89/12</f>
        <v>13848408.198211111</v>
      </c>
      <c r="H25" s="69">
        <f>+'L-COSTOS'!$F$89/12</f>
        <v>13848408.198211111</v>
      </c>
      <c r="I25" s="69">
        <f>+'L-COSTOS'!$F$89/12</f>
        <v>13848408.198211111</v>
      </c>
      <c r="J25" s="69">
        <f>+'L-COSTOS'!$F$89/12</f>
        <v>13848408.198211111</v>
      </c>
      <c r="K25" s="69">
        <f>+'L-COSTOS'!$F$89/12</f>
        <v>13848408.198211111</v>
      </c>
      <c r="L25" s="69">
        <f>+'L-COSTOS'!$F$89/12</f>
        <v>13848408.198211111</v>
      </c>
      <c r="M25" s="69">
        <f>+'L-COSTOS'!$F$89/12</f>
        <v>13848408.198211111</v>
      </c>
      <c r="N25" s="84">
        <f t="shared" si="0"/>
        <v>166180898.37853327</v>
      </c>
    </row>
    <row r="26" spans="1:14" ht="18" x14ac:dyDescent="0.2">
      <c r="A26" s="66" t="s">
        <v>147</v>
      </c>
      <c r="B26" s="69">
        <f>+'L-COSTOS'!$F$69/12</f>
        <v>790537.72884686897</v>
      </c>
      <c r="C26" s="69">
        <f>+'L-COSTOS'!$F$69/12</f>
        <v>790537.72884686897</v>
      </c>
      <c r="D26" s="69">
        <f>+'L-COSTOS'!$F$69/12</f>
        <v>790537.72884686897</v>
      </c>
      <c r="E26" s="69">
        <f>+'L-COSTOS'!$F$69/12</f>
        <v>790537.72884686897</v>
      </c>
      <c r="F26" s="69">
        <f>+'L-COSTOS'!$F$69/12</f>
        <v>790537.72884686897</v>
      </c>
      <c r="G26" s="69">
        <f>+'L-COSTOS'!$F$69/12</f>
        <v>790537.72884686897</v>
      </c>
      <c r="H26" s="69">
        <f>+'L-COSTOS'!$F$69/12</f>
        <v>790537.72884686897</v>
      </c>
      <c r="I26" s="69">
        <f>+'L-COSTOS'!$F$69/12</f>
        <v>790537.72884686897</v>
      </c>
      <c r="J26" s="69">
        <f>+'L-COSTOS'!$F$69/12</f>
        <v>790537.72884686897</v>
      </c>
      <c r="K26" s="69">
        <f>+'L-COSTOS'!$F$69/12</f>
        <v>790537.72884686897</v>
      </c>
      <c r="L26" s="69">
        <f>+'L-COSTOS'!$F$69/12</f>
        <v>790537.72884686897</v>
      </c>
      <c r="M26" s="69">
        <f>+'L-COSTOS'!$F$69/12</f>
        <v>790537.72884686897</v>
      </c>
      <c r="N26" s="84">
        <f t="shared" si="0"/>
        <v>9486452.7461624257</v>
      </c>
    </row>
    <row r="27" spans="1:14" s="79" customFormat="1" ht="19" x14ac:dyDescent="0.2">
      <c r="A27" s="81" t="s">
        <v>148</v>
      </c>
      <c r="B27" s="82">
        <f t="shared" ref="B27:M27" si="4">+B14+B24+B25+B26</f>
        <v>117595985.92705797</v>
      </c>
      <c r="C27" s="82">
        <f t="shared" si="4"/>
        <v>117595985.92705797</v>
      </c>
      <c r="D27" s="82">
        <f t="shared" si="4"/>
        <v>117595985.92705797</v>
      </c>
      <c r="E27" s="82">
        <f t="shared" si="4"/>
        <v>117595985.92705797</v>
      </c>
      <c r="F27" s="82">
        <f t="shared" si="4"/>
        <v>117595985.92705797</v>
      </c>
      <c r="G27" s="82">
        <f t="shared" si="4"/>
        <v>117595985.92705797</v>
      </c>
      <c r="H27" s="82">
        <f t="shared" si="4"/>
        <v>117595985.92705797</v>
      </c>
      <c r="I27" s="82">
        <f t="shared" si="4"/>
        <v>113859175.92705797</v>
      </c>
      <c r="J27" s="82">
        <f t="shared" si="4"/>
        <v>101622365.92705797</v>
      </c>
      <c r="K27" s="82">
        <f t="shared" si="4"/>
        <v>86822365.927057967</v>
      </c>
      <c r="L27" s="82">
        <f t="shared" si="4"/>
        <v>86822365.927057967</v>
      </c>
      <c r="M27" s="82">
        <f t="shared" si="4"/>
        <v>86822365.927057967</v>
      </c>
      <c r="N27" s="85">
        <f t="shared" si="0"/>
        <v>1299120541.1246955</v>
      </c>
    </row>
    <row r="28" spans="1:14" s="79" customFormat="1" ht="18" x14ac:dyDescent="0.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L-SEGREGACIÓN_POR_MES (2)</vt:lpstr>
      <vt:lpstr>L-VENTAS</vt:lpstr>
      <vt:lpstr>L-EQUIPOS</vt:lpstr>
      <vt:lpstr>L-COSTOS</vt:lpstr>
      <vt:lpstr>L-SEGREGACIÓN_POR_MES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CINTELI COLOMBIA</dc:creator>
  <cp:lastModifiedBy>Microsoft Office User</cp:lastModifiedBy>
  <dcterms:created xsi:type="dcterms:W3CDTF">2022-05-07T14:55:55Z</dcterms:created>
  <dcterms:modified xsi:type="dcterms:W3CDTF">2022-08-22T16:17:18Z</dcterms:modified>
</cp:coreProperties>
</file>