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javerianacaliedu-my.sharepoint.com/personal/jesusddiaz_javerianacali_edu_co/Documents/7. SEPTIMO SEMESTRE/INGENIERIA FINANCIERA/"/>
    </mc:Choice>
  </mc:AlternateContent>
  <xr:revisionPtr revIDLastSave="353" documentId="8_{2D483064-4D6D-45FA-B6AA-AA627D443AF9}" xr6:coauthVersionLast="47" xr6:coauthVersionMax="47" xr10:uidLastSave="{B2233DE8-F05A-48F8-B5EF-C50A515AC54E}"/>
  <bookViews>
    <workbookView xWindow="-120" yWindow="-120" windowWidth="20730" windowHeight="11760" activeTab="8" xr2:uid="{61D44C62-0572-40C6-BD93-EB8E4D6201AD}"/>
  </bookViews>
  <sheets>
    <sheet name="Bonos" sheetId="2" r:id="rId1"/>
    <sheet name="1" sheetId="1" r:id="rId2"/>
    <sheet name="2" sheetId="4" r:id="rId3"/>
    <sheet name="3" sheetId="5" r:id="rId4"/>
    <sheet name="4" sheetId="6" r:id="rId5"/>
    <sheet name="5" sheetId="7" r:id="rId6"/>
    <sheet name="6" sheetId="8" r:id="rId7"/>
    <sheet name="7" sheetId="9" r:id="rId8"/>
    <sheet name="8" sheetId="10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\">'[2]CUADRO No 4'!#REF!</definedName>
    <definedName name="\a">'[2]CUADRO No 4'!#REF!</definedName>
    <definedName name="\c">#REF!</definedName>
    <definedName name="\i">#REF!</definedName>
    <definedName name="\r">#REF!</definedName>
    <definedName name="__123Graph_A" hidden="1">'[3]COSTOFINANC.'!#REF!</definedName>
    <definedName name="__123Graph_B" hidden="1">'[3]COSTOFINANC.'!#REF!</definedName>
    <definedName name="__123Graph_C" hidden="1">'[3]COSTOFINANC.'!#REF!</definedName>
    <definedName name="__123Graph_D" hidden="1">'[3]COSTOFINANC.'!#REF!</definedName>
    <definedName name="__123Graph_F" hidden="1">'[3]COSTOFINANC.'!#REF!</definedName>
    <definedName name="__123Graph_X" hidden="1">'[3]COSTOFINANC.'!#REF!</definedName>
    <definedName name="__ANT10">#REF!</definedName>
    <definedName name="__ANT9">#REF!</definedName>
    <definedName name="__CPL101">#REF!</definedName>
    <definedName name="__CPL102">#REF!</definedName>
    <definedName name="__CPL11">#REF!</definedName>
    <definedName name="__CPL12">#REF!</definedName>
    <definedName name="__CPL21">#REF!</definedName>
    <definedName name="__CPL22">#REF!</definedName>
    <definedName name="__CPL31">#REF!</definedName>
    <definedName name="__CPL32">#REF!</definedName>
    <definedName name="__CPL41">#REF!</definedName>
    <definedName name="__CPL42">#REF!</definedName>
    <definedName name="__CPL51">#REF!</definedName>
    <definedName name="__CPL52">#REF!</definedName>
    <definedName name="__CPL61">#REF!</definedName>
    <definedName name="__CPL62">#REF!</definedName>
    <definedName name="__CPL71">#REF!</definedName>
    <definedName name="__CPL72">#REF!</definedName>
    <definedName name="__CPL81">#REF!</definedName>
    <definedName name="__CPL82">#REF!</definedName>
    <definedName name="__CPL91">#REF!</definedName>
    <definedName name="__CPL92">#REF!</definedName>
    <definedName name="__SA10">#REF!</definedName>
    <definedName name="__SA9">#REF!</definedName>
    <definedName name="_5205_GASTOS_DE_PERSONAL">#REF!</definedName>
    <definedName name="_ANT10">#REF!</definedName>
    <definedName name="_ANT9">#REF!</definedName>
    <definedName name="_CPL101">#REF!</definedName>
    <definedName name="_CPL102">#REF!</definedName>
    <definedName name="_CPL11">#REF!</definedName>
    <definedName name="_CPL12">#REF!</definedName>
    <definedName name="_CPL21">#REF!</definedName>
    <definedName name="_CPL22">#REF!</definedName>
    <definedName name="_CPL31">#REF!</definedName>
    <definedName name="_CPL32">#REF!</definedName>
    <definedName name="_CPL41">#REF!</definedName>
    <definedName name="_CPL42">#REF!</definedName>
    <definedName name="_CPL51">#REF!</definedName>
    <definedName name="_CPL52">#REF!</definedName>
    <definedName name="_CPL61">#REF!</definedName>
    <definedName name="_CPL62">#REF!</definedName>
    <definedName name="_CPL71">#REF!</definedName>
    <definedName name="_CPL72">#REF!</definedName>
    <definedName name="_CPL81">#REF!</definedName>
    <definedName name="_CPL82">#REF!</definedName>
    <definedName name="_CPL91">#REF!</definedName>
    <definedName name="_CPL92">#REF!</definedName>
    <definedName name="_DTF2004">[4]Parametros!$F$9</definedName>
    <definedName name="_Key1" hidden="1">#REF!</definedName>
    <definedName name="_kEY2" hidden="1">#REF!</definedName>
    <definedName name="_no1" hidden="1">#REF!</definedName>
    <definedName name="_Order1" hidden="1">255</definedName>
    <definedName name="_Order2" hidden="1">255</definedName>
    <definedName name="_SA10">#REF!</definedName>
    <definedName name="_SA9">#REF!</definedName>
    <definedName name="_Sort" hidden="1">#REF!</definedName>
    <definedName name="A">#REF!</definedName>
    <definedName name="A_impresión_IM">#REF!</definedName>
    <definedName name="aa">#REF!</definedName>
    <definedName name="AAAA">#REF!</definedName>
    <definedName name="ABRIL">#REF!</definedName>
    <definedName name="ACUEDUCTOS__PLANTAS_Y_REDES">[5]NOTAS!#REF!</definedName>
    <definedName name="AGOSTO">#REF!</definedName>
    <definedName name="ALEX" hidden="1">'[3]COSTOFINANC.'!#REF!</definedName>
    <definedName name="AÑOANT">#REF!</definedName>
    <definedName name="APIA">[6]Hoja1!$A$8:$B$8</definedName>
    <definedName name="at">#REF!</definedName>
    <definedName name="BELEN_DE_UMBRIA">[6]Hoja1!$A$12:$B$12</definedName>
    <definedName name="BENEFICIO_MAQUINA1">#REF!</definedName>
    <definedName name="BENEFICIO_MAQUINA2">#REF!</definedName>
    <definedName name="BENEFICIO_MAQUINA3">#REF!</definedName>
    <definedName name="BLAZ10.5">#REF!</definedName>
    <definedName name="BLAZER">#REF!</definedName>
    <definedName name="BLAZER10.5">#REF!</definedName>
    <definedName name="BUCARAMANGA">[6]Hoja1!$A$22:$B$22</definedName>
    <definedName name="C_2.16a">#REF!</definedName>
    <definedName name="C_2.9">'[7]Cuad 2.9 '!#REF!</definedName>
    <definedName name="CARGOSDIFERIDOS">#REF!</definedName>
    <definedName name="CARMEN_DE_APICALA">[6]Hoja1!$A$3:$B$3</definedName>
    <definedName name="CBWorkbookPriority" hidden="1">-473676720</definedName>
    <definedName name="CDIFERIDOS">[5]NOTAS!#REF!</definedName>
    <definedName name="CENSO1964">#REF!</definedName>
    <definedName name="CENSO1973">#REF!</definedName>
    <definedName name="CENSO1985">#REF!</definedName>
    <definedName name="CODIGO_DIVIPOLA">#REF!</definedName>
    <definedName name="COSTODEVENTA">#REF!</definedName>
    <definedName name="CRECIMIENTO">#REF!</definedName>
    <definedName name="cuadro">'[7]Cuad 2.9 '!#REF!</definedName>
    <definedName name="Cuadro_5.5a">#REF!</definedName>
    <definedName name="cuadro2.2.9">'[7]Cuad 2.9 '!#REF!</definedName>
    <definedName name="Cuadro2.9">'[7]Cuad 2.9 '!#REF!</definedName>
    <definedName name="CUMPL">#REF!</definedName>
    <definedName name="CUNDAY">[6]Hoja1!$A$4:$B$4</definedName>
    <definedName name="D">#REF!</definedName>
    <definedName name="dbabril">[8]abril!$A$3:$AU$33</definedName>
    <definedName name="dbagost">[8]agost!$A$3:$AU$34</definedName>
    <definedName name="dbdic">[8]dic!$A$3:$AU$34</definedName>
    <definedName name="dbenero11">[8]enero!$A$3:$AU$35</definedName>
    <definedName name="dbfeb">[8]feb!$A$3:$AU$31</definedName>
    <definedName name="dbjulio">[8]julio!$A$3:$AU$34</definedName>
    <definedName name="dbjunio">[8]junio!$A$3:$AU$33</definedName>
    <definedName name="dbmarzo">[8]marzo!$A$3:$AU$34</definedName>
    <definedName name="dbmayo">[8]mayo!$A$3:$AU$34</definedName>
    <definedName name="dboct">[8]oct!$A$3:$AU$34</definedName>
    <definedName name="DboREGISTRO_LEY_617">#REF!</definedName>
    <definedName name="dbsept">[8]sept!$A$3:$AU$33</definedName>
    <definedName name="Debt_type">'[9]S Operativos'!#REF!</definedName>
    <definedName name="departamento">[10]SB!$K$125:$K$128</definedName>
    <definedName name="DEPRECIACION_ACUMULADA">[5]NOTAS!#REF!</definedName>
    <definedName name="dialisis">#REF!</definedName>
    <definedName name="DIAS_POR_AÑO">[4]Parametros!$B$41</definedName>
    <definedName name="DIAS_RECAUDO">#REF!</definedName>
    <definedName name="DICIEMBRE">#REF!</definedName>
    <definedName name="discount">[11]TABLAS!$B$3</definedName>
    <definedName name="DOSQUEBRADAS">[6]Hoja1!$A$18:$B$18</definedName>
    <definedName name="DTF_ADI_5">[4]Parametros!$B$25</definedName>
    <definedName name="dwd">[12]Acum!$B$3</definedName>
    <definedName name="ENERO">#REF!</definedName>
    <definedName name="EQUIPO_DE_COMPUTACION_Y_COMUNI">[5]NOTAS!#REF!</definedName>
    <definedName name="EQUIPO_DE_OFICINA">[5]NOTAS!#REF!</definedName>
    <definedName name="EQUIPOCOMPUTO">#REF!</definedName>
    <definedName name="EQUIPODEOFICINA">#REF!</definedName>
    <definedName name="ERADECUACION">#REF!</definedName>
    <definedName name="ERAMORTIZACION">#REF!</definedName>
    <definedName name="ERARRENDAMIENTOS">#REF!</definedName>
    <definedName name="ERCONTRIBUCIONES">#REF!</definedName>
    <definedName name="ERCOSTOS">#REF!</definedName>
    <definedName name="ERDEPRECIACION">#REF!</definedName>
    <definedName name="ERDIVERSOS">#REF!</definedName>
    <definedName name="ERHONORARIOS">#REF!</definedName>
    <definedName name="ERIMPUESTOS">#REF!</definedName>
    <definedName name="ERLEGALES">#REF!</definedName>
    <definedName name="ERMANTENIMIENTO">#REF!</definedName>
    <definedName name="EROTROSEGRES">#REF!</definedName>
    <definedName name="EROTROSINGR">#REF!</definedName>
    <definedName name="ERPERSONAL">#REF!</definedName>
    <definedName name="ERPROVISION">#REF!</definedName>
    <definedName name="ERSEGUROS">#REF!</definedName>
    <definedName name="ERSERVICIOS">#REF!</definedName>
    <definedName name="ERVADECUACION">#REF!</definedName>
    <definedName name="ERVAMORTIZACION">#REF!</definedName>
    <definedName name="ERVARRENDAMIENTO">#REF!</definedName>
    <definedName name="ERVCONTRIB">#REF!</definedName>
    <definedName name="ERVDEPRECIACION">#REF!</definedName>
    <definedName name="ERVDIVERSOS">#REF!</definedName>
    <definedName name="ERVGASTOPERSONAL">#REF!</definedName>
    <definedName name="ERVGASTOSLEGALES">#REF!</definedName>
    <definedName name="ERVGASVIAJE">#REF!</definedName>
    <definedName name="ERVHONORARIOS">#REF!</definedName>
    <definedName name="ERVIAJES">#REF!</definedName>
    <definedName name="ERVIMPUESTOS">#REF!</definedName>
    <definedName name="ERVMANTENIMIENTO">#REF!</definedName>
    <definedName name="ERVPROVISION">#REF!</definedName>
    <definedName name="ERVSEGUROS">#REF!</definedName>
    <definedName name="ERVSERVICIOS">#REF!</definedName>
    <definedName name="ESTADOCOSTO">#REF!</definedName>
    <definedName name="ESTADORESULTADOS">#REF!</definedName>
    <definedName name="factor">[13]recaudo!$K$94</definedName>
    <definedName name="fase">[14]Inputs!#REF!</definedName>
    <definedName name="FCST07">'[15]SERV. PUBLICOS'!$D$9</definedName>
    <definedName name="fe">[14]Supuestos!$C$132</definedName>
    <definedName name="FEBRERO">#REF!</definedName>
    <definedName name="fecha">[16]Acum!$B$3</definedName>
    <definedName name="Fecha1">[17]Acum!$B$3</definedName>
    <definedName name="Fin_opt">'[9]S Operativos'!#REF!</definedName>
    <definedName name="FLORIDABLANCA_HOSP">[6]Hoja1!$A$19:$B$19</definedName>
    <definedName name="FLOTA_Y_EQUIPO_DE_TRANSPORTE">[5]NOTAS!#REF!</definedName>
    <definedName name="FLOTAYEQUIPOTRANS">#REF!</definedName>
    <definedName name="G">'[2]CUADRO No 4'!#REF!</definedName>
    <definedName name="GASTOSDIFERIDOS">#REF!</definedName>
    <definedName name="GDEPRECIACIONES">[5]NOTAS!#REF!</definedName>
    <definedName name="GI">#REF!</definedName>
    <definedName name="GIRON">[6]Hoja1!$A$15:$B$15</definedName>
    <definedName name="Grace_period">'[9]S Operativos'!#REF!</definedName>
    <definedName name="grer">#REF!</definedName>
    <definedName name="growth">[11]TABLAS!$B$2</definedName>
    <definedName name="GUAMO">[6]Hoja1!$A$13:$B$13</definedName>
    <definedName name="GUATICA">[6]Hoja1!$A$9:$B$9</definedName>
    <definedName name="HHH" hidden="1">#REF!</definedName>
    <definedName name="ICONONZO">[6]Hoja1!$A$6:$B$6</definedName>
    <definedName name="inflacion">#REF!</definedName>
    <definedName name="INFORMEDEL">#REF!</definedName>
    <definedName name="INGRESOSNETOS">#REF!</definedName>
    <definedName name="Int_paym">'[9]S Operativos'!#REF!</definedName>
    <definedName name="Intangibles" hidden="1">{#N/A,#N/A,FALSE,"Valuation";#N/A,#N/A,FALSE,"Valuation (5)";#N/A,#N/A,FALSE,"Valuation (2)";#N/A,#N/A,FALSE,"Valuation (3)"}</definedName>
    <definedName name="ISS_PLANTA">[18]Hoja1!$C$12</definedName>
    <definedName name="iva">[14]Supuestos!#REF!</definedName>
    <definedName name="JULIO">#REF!</definedName>
    <definedName name="JUNIO">#REF!</definedName>
    <definedName name="kkkk">'[19]CUADRO No 4'!#REF!</definedName>
    <definedName name="LA_CELIA">[6]Hoja1!$A$5:$B$5</definedName>
    <definedName name="LA_VIRGINIA">[6]Hoja1!$A$17:$B$17</definedName>
    <definedName name="LIQUIDACION">#REF!</definedName>
    <definedName name="LIQUIDACION_ECOSALUD_MES_DE">#REF!</definedName>
    <definedName name="LIQUIDPRESTA">#REF!</definedName>
    <definedName name="LISTA">#REF!</definedName>
    <definedName name="LISTA1">[20]RUTAS!$C$1:$C$6001</definedName>
    <definedName name="LOLO">#REF!</definedName>
    <definedName name="LUCHIN">'[21]SERV. PUBLICOS'!$D$9</definedName>
    <definedName name="LUCHO">#REF!</definedName>
    <definedName name="m">'[2]CUADRO No 4'!#REF!</definedName>
    <definedName name="MACRO">#REF!</definedName>
    <definedName name="MARSELLA">[6]Hoja1!$A$11:$B$11</definedName>
    <definedName name="MARZO">#REF!</definedName>
    <definedName name="MATANZA">[6]Hoja1!$A$2:$B$2</definedName>
    <definedName name="MAYO">#REF!</definedName>
    <definedName name="meridamonth">#REF!</definedName>
    <definedName name="meridaytd">#REF!</definedName>
    <definedName name="mil">[22]INPUTS!$Q$2</definedName>
    <definedName name="millon">[23]INPUTS!$Q$2</definedName>
    <definedName name="millones">[24]INPUTS!$Q$2</definedName>
    <definedName name="MISTRATO">[6]Hoja1!$A$10:$B$10</definedName>
    <definedName name="mtymonth">#REF!</definedName>
    <definedName name="mtyytd">#REF!</definedName>
    <definedName name="NO">#REF!</definedName>
    <definedName name="NoHas2010">[25]Supuestos!#REF!</definedName>
    <definedName name="NOVIEMBRE">#REF!</definedName>
    <definedName name="NUEVAS">'[7]Cuad 2.9 '!#REF!</definedName>
    <definedName name="nuevo">[25]Supuestos!#REF!</definedName>
    <definedName name="OCTUBRE">#REF!</definedName>
    <definedName name="OMNI10.5">#REF!</definedName>
    <definedName name="OMNI11">#REF!</definedName>
    <definedName name="OMNI11.5">#REF!</definedName>
    <definedName name="OMNI12">#REF!</definedName>
    <definedName name="OMNI15">#REF!</definedName>
    <definedName name="Opciones">[26]Obligaciones!$E$364:$E$366</definedName>
    <definedName name="OPTICO_RESUMEN">#REF!</definedName>
    <definedName name="Optimizacion">#REF!</definedName>
    <definedName name="PARAF">[18]Hoja1!$C$5</definedName>
    <definedName name="PART_SG_fr">#REF!</definedName>
    <definedName name="PART_SG_fr1">#REF!</definedName>
    <definedName name="PART_SG_SSM">#REF!</definedName>
    <definedName name="PART_SG_TIENDAS">#REF!</definedName>
    <definedName name="PART_SOCIO_GESTOR">#REF!</definedName>
    <definedName name="PEREIRA">[6]Hoja1!$A$21:$B$21</definedName>
    <definedName name="PI">#REF!</definedName>
    <definedName name="PLANTAS">#REF!</definedName>
    <definedName name="PPTO">#REF!</definedName>
    <definedName name="Prin_amor">'[9]S Operativos'!#REF!</definedName>
    <definedName name="pueblamonth">#REF!</definedName>
    <definedName name="pueblaytd">#REF!</definedName>
    <definedName name="pyg">[27]Acum!$B$3</definedName>
    <definedName name="QUINCHIA">[6]Hoja1!$A$14:$B$14</definedName>
    <definedName name="RDPTO">#REF!</definedName>
    <definedName name="REAL">#REF!</definedName>
    <definedName name="REMOLQUE">'[20]VALOR ACTIVO'!$B$8:$F$8</definedName>
    <definedName name="resumen">#REF!</definedName>
    <definedName name="S" hidden="1">'[3]COSTOFINANC.'!#REF!</definedName>
    <definedName name="SA7.9">#REF!</definedName>
    <definedName name="SA8.1">#REF!</definedName>
    <definedName name="SA8.4">#REF!</definedName>
    <definedName name="SA8.6">#REF!</definedName>
    <definedName name="SA8.7">#REF!</definedName>
    <definedName name="SA8.8">#REF!</definedName>
    <definedName name="SA8.9">#REF!</definedName>
    <definedName name="SA9.6">#REF!</definedName>
    <definedName name="SA9.7">#REF!</definedName>
    <definedName name="SA9.8">#REF!</definedName>
    <definedName name="SA9.9">#REF!</definedName>
    <definedName name="SalarioMinimo">#REF!</definedName>
    <definedName name="SALDAÑA">[6]Hoja1!$A$7:$B$7</definedName>
    <definedName name="SANTA_MARTA">[6]Hoja1!$A$20:$B$20</definedName>
    <definedName name="SANTA_ROSA_DE_CABAL">[6]Hoja1!$A$16:$B$16</definedName>
    <definedName name="sdom">[8]Hoja1!$G$1:$G$2</definedName>
    <definedName name="Sector">[28]Hoja1!$K$2:$K$63</definedName>
    <definedName name="SEPTIEMBRE">#REF!</definedName>
    <definedName name="SHARED_FORMULA_0">#N/A</definedName>
    <definedName name="SHARED_FORMULA_1">#N/A</definedName>
    <definedName name="SHARED_FORMULA_2">#N/A</definedName>
    <definedName name="SHARED_FORMULA_3">#N/A</definedName>
    <definedName name="SHARED_FORMULA_4">#N/A</definedName>
    <definedName name="SHARED_FORMULA_5">#N/A</definedName>
    <definedName name="sino">'[9]S Operativos'!#REF!</definedName>
    <definedName name="sjue">[8]Hoja1!$D$1:$D$2</definedName>
    <definedName name="slun">[8]Hoja1!$A$1:$A$2</definedName>
    <definedName name="smar">[8]Hoja1!$B$1:$B$2</definedName>
    <definedName name="smier">[8]Hoja1!$C$1:$C$2</definedName>
    <definedName name="solver_adj" localSheetId="0" hidden="1">Bonos!$C$36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Bonos!$C$52</definedName>
    <definedName name="solver_pre" localSheetId="0" hidden="1">0.000001</definedName>
    <definedName name="solver_rbv" localSheetId="0" hidden="1">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3</definedName>
    <definedName name="solver_val" localSheetId="0" hidden="1">0.0335</definedName>
    <definedName name="solver_ver" localSheetId="0" hidden="1">3</definedName>
    <definedName name="ssab">[8]Hoja1!$F$1:$F$2</definedName>
    <definedName name="SUAREZ">[6]Hoja1!$A$1:$B$1</definedName>
    <definedName name="svie">[8]Hoja1!$E$1:$E$2</definedName>
    <definedName name="TASAINTERES">'[25]Oblig Financ'!#REF!</definedName>
    <definedName name="Term_debt">'[9]S Operativos'!#REF!</definedName>
    <definedName name="Term_val">'[9]S Operativos'!#REF!</definedName>
    <definedName name="TERRENOYEDIFICIO">#REF!</definedName>
    <definedName name="Titulo">#REF!</definedName>
    <definedName name="Títulos_a_imprimir_IM">#REF!</definedName>
    <definedName name="TOTAL">#REF!</definedName>
    <definedName name="totalesmonth">#REF!</definedName>
    <definedName name="totalesytd">#REF!</definedName>
    <definedName name="Transporte">[29]Datos!$B$2</definedName>
    <definedName name="TRM">[30]Acum!$N$137</definedName>
    <definedName name="veracruzmonth">#REF!</definedName>
    <definedName name="veracruzytd">#REF!</definedName>
    <definedName name="wrn.All." hidden="1">{#N/A,#N/A,TRUE,"Main";#N/A,#N/A,TRUE,"Valuation";#N/A,#N/A,TRUE,"Valuation (2)"}</definedName>
    <definedName name="wrn.CRT." hidden="1">{#N/A,#N/A,TRUE,"Title Sheet";#N/A,#N/A,TRUE,"Contents";#N/A,#N/A,TRUE,"Scenarios";#N/A,#N/A,TRUE,"WACC";#N/A,#N/A,TRUE,"Valuation-PERPETUITY";#N/A,#N/A,TRUE,"IS - Conso";#N/A,#N/A,TRUE,"IS - Conso (US$ '95)";#N/A,#N/A,TRUE,"Cash Flow - Conso";#N/A,#N/A,TRUE,"Cash Flow - Conso (US$'95)";#N/A,#N/A,TRUE,"BS - Conso";#N/A,#N/A,TRUE,"BS - Conso (US$'95)";#N/A,#N/A,TRUE,"Macro Assumptions";#N/A,#N/A,TRUE,"Supply assumptions";#N/A,#N/A,TRUE,"Tariffs-Elasticities (FIXED)";#N/A,#N/A,TRUE,"Fixed - Revenues";#N/A,#N/A,TRUE,"Cellular - Revenues";#N/A,#N/A,TRUE,"Fixed - OPEX";#N/A,#N/A,TRUE,"Cellular - OPEX";#N/A,#N/A,TRUE,"Fixed - CAPEX";#N/A,#N/A,TRUE," mobile - CAPEX ";#N/A,#N/A,TRUE,"Debt ";#N/A,#N/A,TRUE,"Taxes";#N/A,#N/A,TRUE,"Dividends";#N/A,#N/A,TRUE,"Net WC";#N/A,#N/A,TRUE,"Ratios";#N/A,#N/A,TRUE,"Ratios IS-Conso";#N/A,#N/A,TRUE,"Ratios BS - Conso";#N/A,#N/A,TRUE,"Proforma - Fixed";#N/A,#N/A,TRUE,"Proforma- Cellular"}</definedName>
    <definedName name="wrn.print._.all." hidden="1">{#N/A,#N/A,TRUE,"Introduction";#N/A,#N/A,TRUE,"DCR - TV";#N/A,#N/A,TRUE,"Summary";#N/A,#N/A,TRUE,"Valuation (5)";#N/A,#N/A,TRUE,"Valuation (2)";#N/A,#N/A,TRUE,"Valuation (3)";#N/A,#N/A,TRUE,"Valuation";#N/A,#N/A,TRUE,"Sensitivity Summary";#N/A,#N/A,TRUE,"Proforma Accounts";#N/A,#N/A,TRUE,"Traffic";#N/A,#N/A,TRUE,"Tariffs";#N/A,#N/A,TRUE,"Revenue";#N/A,#N/A,TRUE,"Costs";#N/A,#N/A,TRUE,"Financing Assumptions"}</definedName>
    <definedName name="wrn.valuation." hidden="1">{#N/A,#N/A,FALSE,"Valuation";#N/A,#N/A,FALSE,"Valuation (5)";#N/A,#N/A,FALSE,"Valuation (2)";#N/A,#N/A,FALSE,"Valuation (3)"}</definedName>
    <definedName name="XXXXXX" hidden="1">'[3]COSTOFINANC.'!#REF!</definedName>
    <definedName name="Z">'[2]CUADRO No 4'!#REF!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7" i="10" l="1"/>
  <c r="C43" i="10"/>
  <c r="C44" i="10"/>
  <c r="C45" i="10"/>
  <c r="C46" i="10"/>
  <c r="C50" i="10" s="1"/>
  <c r="D47" i="10"/>
  <c r="E47" i="10" s="1"/>
  <c r="F47" i="10" s="1"/>
  <c r="F48" i="10" s="1"/>
  <c r="D44" i="10"/>
  <c r="E44" i="10" s="1"/>
  <c r="F44" i="10" s="1"/>
  <c r="D45" i="10"/>
  <c r="E45" i="10" s="1"/>
  <c r="F45" i="10" s="1"/>
  <c r="D46" i="10"/>
  <c r="E46" i="10" s="1"/>
  <c r="F46" i="10" s="1"/>
  <c r="C24" i="10"/>
  <c r="D29" i="10"/>
  <c r="D30" i="10"/>
  <c r="D31" i="10"/>
  <c r="E31" i="10" s="1"/>
  <c r="F31" i="10" s="1"/>
  <c r="D32" i="10"/>
  <c r="E32" i="10" s="1"/>
  <c r="F32" i="10" s="1"/>
  <c r="D33" i="10"/>
  <c r="D34" i="10"/>
  <c r="D35" i="10"/>
  <c r="E35" i="10" s="1"/>
  <c r="F35" i="10" s="1"/>
  <c r="D36" i="10"/>
  <c r="E36" i="10" s="1"/>
  <c r="F36" i="10" s="1"/>
  <c r="D37" i="10"/>
  <c r="D38" i="10"/>
  <c r="D39" i="10"/>
  <c r="D40" i="10"/>
  <c r="E40" i="10" s="1"/>
  <c r="F40" i="10" s="1"/>
  <c r="D41" i="10"/>
  <c r="D42" i="10"/>
  <c r="D43" i="10"/>
  <c r="D28" i="10"/>
  <c r="E28" i="10"/>
  <c r="D28" i="4"/>
  <c r="B27" i="4"/>
  <c r="E30" i="10"/>
  <c r="F30" i="10" s="1"/>
  <c r="E34" i="10"/>
  <c r="F34" i="10" s="1"/>
  <c r="E38" i="10"/>
  <c r="F38" i="10" s="1"/>
  <c r="E42" i="10"/>
  <c r="F42" i="10" s="1"/>
  <c r="E23" i="10"/>
  <c r="E29" i="10"/>
  <c r="F29" i="10" s="1"/>
  <c r="E33" i="10"/>
  <c r="F33" i="10" s="1"/>
  <c r="E37" i="10"/>
  <c r="F37" i="10" s="1"/>
  <c r="E39" i="10"/>
  <c r="F39" i="10" s="1"/>
  <c r="E41" i="10"/>
  <c r="F41" i="10" s="1"/>
  <c r="E43" i="10"/>
  <c r="F43" i="10" s="1"/>
  <c r="C28" i="10"/>
  <c r="C27" i="10"/>
  <c r="C41" i="10"/>
  <c r="F33" i="9"/>
  <c r="D27" i="9"/>
  <c r="E27" i="9" s="1"/>
  <c r="F27" i="9" s="1"/>
  <c r="D28" i="9"/>
  <c r="D26" i="9"/>
  <c r="E26" i="9" s="1"/>
  <c r="C33" i="9"/>
  <c r="C28" i="9"/>
  <c r="E28" i="9"/>
  <c r="F28" i="9" s="1"/>
  <c r="C27" i="9"/>
  <c r="C26" i="9"/>
  <c r="C23" i="9"/>
  <c r="E21" i="9"/>
  <c r="C22" i="8"/>
  <c r="B22" i="8"/>
  <c r="F35" i="8" s="1"/>
  <c r="B47" i="8"/>
  <c r="B22" i="7"/>
  <c r="F21" i="7"/>
  <c r="B42" i="7"/>
  <c r="B40" i="7"/>
  <c r="B38" i="7"/>
  <c r="B36" i="7"/>
  <c r="B34" i="7"/>
  <c r="B32" i="7"/>
  <c r="B30" i="7"/>
  <c r="B28" i="7"/>
  <c r="B24" i="7"/>
  <c r="B41" i="7" s="1"/>
  <c r="C42" i="6"/>
  <c r="C41" i="6"/>
  <c r="F41" i="6"/>
  <c r="F39" i="6"/>
  <c r="E28" i="6"/>
  <c r="D39" i="6"/>
  <c r="E34" i="6"/>
  <c r="F34" i="6" s="1"/>
  <c r="E35" i="6"/>
  <c r="F35" i="6" s="1"/>
  <c r="E38" i="6"/>
  <c r="F38" i="6" s="1"/>
  <c r="E39" i="6"/>
  <c r="D34" i="6"/>
  <c r="D35" i="6"/>
  <c r="D36" i="6"/>
  <c r="E36" i="6" s="1"/>
  <c r="F36" i="6" s="1"/>
  <c r="D37" i="6"/>
  <c r="E37" i="6" s="1"/>
  <c r="F37" i="6" s="1"/>
  <c r="D38" i="6"/>
  <c r="C39" i="6"/>
  <c r="C33" i="6"/>
  <c r="C34" i="6"/>
  <c r="C35" i="6"/>
  <c r="C36" i="6"/>
  <c r="C37" i="6"/>
  <c r="C38" i="6"/>
  <c r="D28" i="6"/>
  <c r="F28" i="6"/>
  <c r="F29" i="6"/>
  <c r="C25" i="6"/>
  <c r="C28" i="6"/>
  <c r="D29" i="6"/>
  <c r="D30" i="6"/>
  <c r="D31" i="6"/>
  <c r="D32" i="6"/>
  <c r="D33" i="6"/>
  <c r="E23" i="6"/>
  <c r="C29" i="6"/>
  <c r="C30" i="6"/>
  <c r="C31" i="6"/>
  <c r="C32" i="6"/>
  <c r="E30" i="6"/>
  <c r="F30" i="6" s="1"/>
  <c r="B34" i="5"/>
  <c r="F35" i="5"/>
  <c r="B32" i="5"/>
  <c r="B27" i="5"/>
  <c r="B24" i="4"/>
  <c r="B28" i="4" s="1"/>
  <c r="D71" i="2" a="1"/>
  <c r="D71" i="2" s="1"/>
  <c r="C52" i="2"/>
  <c r="C41" i="2"/>
  <c r="G22" i="4"/>
  <c r="B29" i="4"/>
  <c r="B31" i="4"/>
  <c r="B33" i="4"/>
  <c r="B35" i="4"/>
  <c r="B37" i="4"/>
  <c r="B39" i="4"/>
  <c r="B41" i="4"/>
  <c r="B43" i="4"/>
  <c r="B45" i="4"/>
  <c r="B47" i="4"/>
  <c r="B49" i="4"/>
  <c r="B50" i="4"/>
  <c r="B51" i="4"/>
  <c r="B53" i="4"/>
  <c r="B54" i="4"/>
  <c r="B55" i="4"/>
  <c r="B57" i="4"/>
  <c r="B58" i="4"/>
  <c r="I24" i="4"/>
  <c r="C49" i="10" l="1"/>
  <c r="C40" i="10"/>
  <c r="C32" i="10"/>
  <c r="F28" i="10"/>
  <c r="F49" i="10" s="1"/>
  <c r="C36" i="10"/>
  <c r="C30" i="10"/>
  <c r="C34" i="10"/>
  <c r="C38" i="10"/>
  <c r="C42" i="10"/>
  <c r="C31" i="10"/>
  <c r="C35" i="10"/>
  <c r="C39" i="10"/>
  <c r="C29" i="10"/>
  <c r="C33" i="10"/>
  <c r="C37" i="10"/>
  <c r="C32" i="9"/>
  <c r="F26" i="9"/>
  <c r="F32" i="9" s="1"/>
  <c r="B31" i="7"/>
  <c r="B35" i="7"/>
  <c r="B39" i="7"/>
  <c r="B43" i="7"/>
  <c r="B29" i="7"/>
  <c r="B33" i="7"/>
  <c r="B37" i="7"/>
  <c r="E29" i="6"/>
  <c r="E33" i="6"/>
  <c r="F33" i="6" s="1"/>
  <c r="E32" i="6"/>
  <c r="F32" i="6" s="1"/>
  <c r="E31" i="6"/>
  <c r="F31" i="6" s="1"/>
  <c r="B22" i="4"/>
  <c r="B56" i="4"/>
  <c r="B52" i="4"/>
  <c r="B48" i="4"/>
  <c r="B44" i="4"/>
  <c r="B40" i="4"/>
  <c r="B36" i="4"/>
  <c r="B32" i="4"/>
  <c r="B59" i="4"/>
  <c r="B46" i="4"/>
  <c r="B42" i="4"/>
  <c r="B38" i="4"/>
  <c r="B34" i="4"/>
  <c r="B30" i="4"/>
  <c r="B45" i="1"/>
  <c r="E27" i="1"/>
  <c r="B43" i="1"/>
  <c r="B42" i="1"/>
  <c r="B40" i="1"/>
  <c r="B41" i="1"/>
  <c r="B37" i="1"/>
  <c r="B38" i="1"/>
  <c r="B39" i="1"/>
  <c r="B29" i="1"/>
  <c r="B30" i="1"/>
  <c r="B31" i="1"/>
  <c r="B32" i="1"/>
  <c r="B33" i="1"/>
  <c r="B34" i="1"/>
  <c r="B35" i="1"/>
  <c r="B36" i="1"/>
  <c r="B28" i="1"/>
  <c r="B24" i="1"/>
  <c r="B27" i="1"/>
  <c r="D199" i="2"/>
  <c r="E199" i="2" s="1"/>
  <c r="F199" i="2" s="1"/>
  <c r="C199" i="2"/>
  <c r="D198" i="2"/>
  <c r="E198" i="2" s="1"/>
  <c r="F198" i="2" s="1"/>
  <c r="C198" i="2"/>
  <c r="D197" i="2"/>
  <c r="E197" i="2" s="1"/>
  <c r="F197" i="2" s="1"/>
  <c r="C197" i="2"/>
  <c r="D196" i="2"/>
  <c r="E196" i="2" s="1"/>
  <c r="F196" i="2" s="1"/>
  <c r="C196" i="2"/>
  <c r="D195" i="2"/>
  <c r="E195" i="2" s="1"/>
  <c r="F195" i="2" s="1"/>
  <c r="C195" i="2"/>
  <c r="D194" i="2"/>
  <c r="E194" i="2" s="1"/>
  <c r="C194" i="2"/>
  <c r="C191" i="2"/>
  <c r="E189" i="2"/>
  <c r="C202" i="2" s="1"/>
  <c r="T76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7" i="2"/>
  <c r="C128" i="2" s="1"/>
  <c r="T66" i="2"/>
  <c r="T80" i="2" s="1"/>
  <c r="C51" i="2"/>
  <c r="C47" i="2"/>
  <c r="C43" i="2"/>
  <c r="C38" i="2"/>
  <c r="C32" i="2"/>
  <c r="C20" i="2"/>
  <c r="C16" i="2"/>
  <c r="C12" i="2"/>
  <c r="C10" i="2"/>
  <c r="C7" i="2"/>
  <c r="C50" i="2" s="1"/>
  <c r="F42" i="6" l="1"/>
  <c r="B47" i="1"/>
  <c r="F194" i="2"/>
  <c r="F200" i="2" s="1"/>
  <c r="C201" i="2"/>
  <c r="C73" i="2"/>
  <c r="C75" i="2"/>
  <c r="C78" i="2"/>
  <c r="C81" i="2"/>
  <c r="C85" i="2"/>
  <c r="C89" i="2"/>
  <c r="C93" i="2"/>
  <c r="C97" i="2"/>
  <c r="C101" i="2"/>
  <c r="C105" i="2"/>
  <c r="C109" i="2"/>
  <c r="C113" i="2"/>
  <c r="C117" i="2"/>
  <c r="C121" i="2"/>
  <c r="C125" i="2"/>
  <c r="C129" i="2"/>
  <c r="T71" i="2"/>
  <c r="T73" i="2"/>
  <c r="T75" i="2"/>
  <c r="C77" i="2"/>
  <c r="T78" i="2"/>
  <c r="T79" i="2"/>
  <c r="C82" i="2"/>
  <c r="C86" i="2"/>
  <c r="C90" i="2"/>
  <c r="C94" i="2"/>
  <c r="C98" i="2"/>
  <c r="C102" i="2"/>
  <c r="C106" i="2"/>
  <c r="C110" i="2"/>
  <c r="C114" i="2"/>
  <c r="C118" i="2"/>
  <c r="C122" i="2"/>
  <c r="C126" i="2"/>
  <c r="C130" i="2"/>
  <c r="C44" i="2"/>
  <c r="C48" i="2"/>
  <c r="C14" i="2"/>
  <c r="C18" i="2"/>
  <c r="C45" i="2"/>
  <c r="C49" i="2"/>
  <c r="C71" i="2"/>
  <c r="D70" i="2" s="1"/>
  <c r="C72" i="2"/>
  <c r="K70" i="2" s="1"/>
  <c r="C74" i="2"/>
  <c r="C76" i="2"/>
  <c r="C79" i="2"/>
  <c r="C80" i="2"/>
  <c r="C83" i="2"/>
  <c r="C87" i="2"/>
  <c r="C91" i="2"/>
  <c r="C95" i="2"/>
  <c r="C99" i="2"/>
  <c r="C103" i="2"/>
  <c r="C107" i="2"/>
  <c r="C111" i="2"/>
  <c r="C115" i="2"/>
  <c r="C119" i="2"/>
  <c r="C123" i="2"/>
  <c r="C127" i="2"/>
  <c r="C13" i="2"/>
  <c r="C17" i="2"/>
  <c r="C11" i="2"/>
  <c r="C15" i="2"/>
  <c r="C19" i="2"/>
  <c r="C42" i="2"/>
  <c r="C46" i="2"/>
  <c r="T72" i="2"/>
  <c r="T74" i="2"/>
  <c r="T77" i="2"/>
  <c r="C84" i="2"/>
  <c r="C88" i="2"/>
  <c r="C92" i="2"/>
  <c r="C96" i="2"/>
  <c r="C100" i="2"/>
  <c r="C104" i="2"/>
  <c r="C108" i="2"/>
  <c r="C112" i="2"/>
  <c r="C116" i="2"/>
  <c r="C120" i="2"/>
  <c r="C124" i="2"/>
  <c r="L70" i="2" l="1"/>
  <c r="H70" i="2"/>
  <c r="E32" i="2"/>
  <c r="AF70" i="2"/>
  <c r="AB70" i="2"/>
  <c r="X70" i="2"/>
  <c r="AG70" i="2"/>
  <c r="AC70" i="2"/>
  <c r="Y70" i="2"/>
  <c r="U70" i="2"/>
  <c r="F77" i="2"/>
  <c r="H79" i="2" s="1"/>
  <c r="AE70" i="2"/>
  <c r="AA70" i="2"/>
  <c r="W70" i="2"/>
  <c r="AH70" i="2"/>
  <c r="AD70" i="2"/>
  <c r="Z70" i="2"/>
  <c r="V70" i="2"/>
  <c r="C22" i="2"/>
  <c r="C24" i="2" s="1"/>
  <c r="F76" i="2"/>
  <c r="F79" i="2" s="1"/>
  <c r="Q70" i="2"/>
  <c r="M70" i="2"/>
  <c r="I70" i="2"/>
  <c r="E70" i="2"/>
  <c r="N70" i="2"/>
  <c r="J70" i="2"/>
  <c r="F70" i="2"/>
  <c r="G70" i="2"/>
  <c r="P70" i="2"/>
  <c r="O70" i="2"/>
  <c r="F201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<sst xmlns="http://schemas.openxmlformats.org/spreadsheetml/2006/main" count="178" uniqueCount="36">
  <si>
    <t xml:space="preserve">Maturity </t>
  </si>
  <si>
    <t>años</t>
  </si>
  <si>
    <t>Fave value</t>
  </si>
  <si>
    <t>Coupon rate</t>
  </si>
  <si>
    <t>Trading price</t>
  </si>
  <si>
    <t>Coupon</t>
  </si>
  <si>
    <t>Semiannual</t>
  </si>
  <si>
    <t>Periodo</t>
  </si>
  <si>
    <t>Flujos</t>
  </si>
  <si>
    <t>YTM (TIR)</t>
  </si>
  <si>
    <t>nominal semestral</t>
  </si>
  <si>
    <t>Siempre debe ser anual</t>
  </si>
  <si>
    <t>nominal año</t>
  </si>
  <si>
    <t>Si el YTM=</t>
  </si>
  <si>
    <t>YTM</t>
  </si>
  <si>
    <t>semianual</t>
  </si>
  <si>
    <t>A mayor tasa de interes menor precio de bono</t>
  </si>
  <si>
    <t>Ytm</t>
  </si>
  <si>
    <t>Price1</t>
  </si>
  <si>
    <t>Price2</t>
  </si>
  <si>
    <t>El riesgo se mide con la pendiente de la recta</t>
  </si>
  <si>
    <t>Con la derivada</t>
  </si>
  <si>
    <t>t en years</t>
  </si>
  <si>
    <t>nominal</t>
  </si>
  <si>
    <t>semestral</t>
  </si>
  <si>
    <t>t</t>
  </si>
  <si>
    <t>f(F/P)</t>
  </si>
  <si>
    <t>VP (CFt)</t>
  </si>
  <si>
    <t>t*VP (CFt)</t>
  </si>
  <si>
    <t>Sum(t*PV(CFT))</t>
  </si>
  <si>
    <t>Price</t>
  </si>
  <si>
    <t>Duración</t>
  </si>
  <si>
    <t>quarterly</t>
  </si>
  <si>
    <t xml:space="preserve">cada 3 meses </t>
  </si>
  <si>
    <t>annual</t>
  </si>
  <si>
    <t>semiannual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</si>
</sst>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8" formatCode="&quot;$&quot;\ #,##0.00;[Red]\-&quot;$&quot;\ #,##0.00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00%"/>
    <numFmt numFmtId="165" formatCode="0.0%"/>
    <numFmt numFmtId="172" formatCode="0.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8">
    <xf numFmtId="0" fontId="0" fillId="0" borderId="0" xfId="0"/>
    <xf numFmtId="44" fontId="0" fillId="0" borderId="0" xfId="2" applyFont="1"/>
    <xf numFmtId="0" fontId="0" fillId="0" borderId="1" xfId="0" applyBorder="1"/>
    <xf numFmtId="44" fontId="0" fillId="0" borderId="1" xfId="0" applyNumberFormat="1" applyBorder="1"/>
    <xf numFmtId="9" fontId="0" fillId="0" borderId="0" xfId="0" applyNumberFormat="1"/>
    <xf numFmtId="10" fontId="0" fillId="0" borderId="0" xfId="3" applyNumberFormat="1" applyFont="1"/>
    <xf numFmtId="10" fontId="0" fillId="0" borderId="0" xfId="0" applyNumberFormat="1"/>
    <xf numFmtId="8" fontId="0" fillId="0" borderId="0" xfId="0" applyNumberFormat="1"/>
    <xf numFmtId="8" fontId="0" fillId="0" borderId="1" xfId="0" applyNumberFormat="1" applyBorder="1"/>
    <xf numFmtId="164" fontId="0" fillId="0" borderId="0" xfId="0" applyNumberFormat="1"/>
    <xf numFmtId="9" fontId="0" fillId="0" borderId="0" xfId="3" applyFont="1"/>
    <xf numFmtId="165" fontId="0" fillId="0" borderId="0" xfId="3" applyNumberFormat="1" applyFont="1"/>
    <xf numFmtId="0" fontId="0" fillId="0" borderId="1" xfId="0" applyBorder="1" applyAlignment="1">
      <alignment horizontal="center"/>
    </xf>
    <xf numFmtId="165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/>
    <xf numFmtId="44" fontId="0" fillId="2" borderId="1" xfId="2" applyFont="1" applyFill="1" applyBorder="1"/>
    <xf numFmtId="0" fontId="0" fillId="3" borderId="0" xfId="0" applyFill="1"/>
    <xf numFmtId="10" fontId="0" fillId="3" borderId="0" xfId="3" applyNumberFormat="1" applyFont="1" applyFill="1"/>
    <xf numFmtId="0" fontId="0" fillId="0" borderId="0" xfId="0" applyFill="1"/>
    <xf numFmtId="8" fontId="0" fillId="3" borderId="0" xfId="0" applyNumberFormat="1" applyFill="1"/>
    <xf numFmtId="10" fontId="0" fillId="3" borderId="0" xfId="0" applyNumberFormat="1" applyFill="1"/>
    <xf numFmtId="44" fontId="0" fillId="2" borderId="1" xfId="0" applyNumberFormat="1" applyFill="1" applyBorder="1"/>
    <xf numFmtId="43" fontId="0" fillId="2" borderId="1" xfId="1" applyFont="1" applyFill="1" applyBorder="1"/>
    <xf numFmtId="43" fontId="0" fillId="0" borderId="1" xfId="1" applyFont="1" applyBorder="1" applyAlignment="1">
      <alignment horizontal="center"/>
    </xf>
    <xf numFmtId="8" fontId="0" fillId="3" borderId="0" xfId="2" applyNumberFormat="1" applyFont="1" applyFill="1"/>
    <xf numFmtId="2" fontId="0" fillId="0" borderId="0" xfId="0" applyNumberFormat="1"/>
    <xf numFmtId="172" fontId="0" fillId="2" borderId="1" xfId="0" applyNumberFormat="1" applyFill="1" applyBorder="1"/>
  </cellXfs>
  <cellStyles count="4">
    <cellStyle name="Millares" xfId="1" builtinId="3"/>
    <cellStyle name="Moneda" xfId="2" builtinId="4"/>
    <cellStyle name="Normal" xfId="0" builtinId="0"/>
    <cellStyle name="Porcentaje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26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0.xml"/><Relationship Id="rId21" Type="http://schemas.openxmlformats.org/officeDocument/2006/relationships/externalLink" Target="externalLinks/externalLink12.xml"/><Relationship Id="rId34" Type="http://schemas.openxmlformats.org/officeDocument/2006/relationships/externalLink" Target="externalLinks/externalLink25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externalLink" Target="externalLinks/externalLink11.xml"/><Relationship Id="rId29" Type="http://schemas.openxmlformats.org/officeDocument/2006/relationships/externalLink" Target="externalLinks/externalLink20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24" Type="http://schemas.openxmlformats.org/officeDocument/2006/relationships/externalLink" Target="externalLinks/externalLink15.xml"/><Relationship Id="rId32" Type="http://schemas.openxmlformats.org/officeDocument/2006/relationships/externalLink" Target="externalLinks/externalLink23.xml"/><Relationship Id="rId37" Type="http://schemas.openxmlformats.org/officeDocument/2006/relationships/externalLink" Target="externalLinks/externalLink28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23" Type="http://schemas.openxmlformats.org/officeDocument/2006/relationships/externalLink" Target="externalLinks/externalLink14.xml"/><Relationship Id="rId28" Type="http://schemas.openxmlformats.org/officeDocument/2006/relationships/externalLink" Target="externalLinks/externalLink19.xml"/><Relationship Id="rId36" Type="http://schemas.openxmlformats.org/officeDocument/2006/relationships/externalLink" Target="externalLinks/externalLink27.xml"/><Relationship Id="rId10" Type="http://schemas.openxmlformats.org/officeDocument/2006/relationships/externalLink" Target="externalLinks/externalLink1.xml"/><Relationship Id="rId19" Type="http://schemas.openxmlformats.org/officeDocument/2006/relationships/externalLink" Target="externalLinks/externalLink10.xml"/><Relationship Id="rId31" Type="http://schemas.openxmlformats.org/officeDocument/2006/relationships/externalLink" Target="externalLinks/externalLink22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externalLink" Target="externalLinks/externalLink13.xml"/><Relationship Id="rId27" Type="http://schemas.openxmlformats.org/officeDocument/2006/relationships/externalLink" Target="externalLinks/externalLink18.xml"/><Relationship Id="rId30" Type="http://schemas.openxmlformats.org/officeDocument/2006/relationships/externalLink" Target="externalLinks/externalLink21.xml"/><Relationship Id="rId35" Type="http://schemas.openxmlformats.org/officeDocument/2006/relationships/externalLink" Target="externalLinks/externalLink26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5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24.xml"/><Relationship Id="rId38" Type="http://schemas.openxmlformats.org/officeDocument/2006/relationships/externalLink" Target="externalLinks/externalLink2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Bonos!$U$69:$AH$69</c:f>
              <c:numCache>
                <c:formatCode>0%</c:formatCode>
                <c:ptCount val="14"/>
                <c:pt idx="0">
                  <c:v>0.01</c:v>
                </c:pt>
                <c:pt idx="1">
                  <c:v>1.4999999999999999E-2</c:v>
                </c:pt>
                <c:pt idx="2">
                  <c:v>0.02</c:v>
                </c:pt>
                <c:pt idx="3">
                  <c:v>2.5000000000000001E-2</c:v>
                </c:pt>
                <c:pt idx="4">
                  <c:v>0.03</c:v>
                </c:pt>
                <c:pt idx="5">
                  <c:v>3.5000000000000003E-2</c:v>
                </c:pt>
                <c:pt idx="6">
                  <c:v>0.04</c:v>
                </c:pt>
                <c:pt idx="7">
                  <c:v>4.4999999999999998E-2</c:v>
                </c:pt>
                <c:pt idx="8">
                  <c:v>0.05</c:v>
                </c:pt>
                <c:pt idx="9">
                  <c:v>5.5E-2</c:v>
                </c:pt>
                <c:pt idx="10">
                  <c:v>0.06</c:v>
                </c:pt>
                <c:pt idx="11">
                  <c:v>6.5000000000000002E-2</c:v>
                </c:pt>
                <c:pt idx="12">
                  <c:v>7.0000000000000007E-2</c:v>
                </c:pt>
                <c:pt idx="13">
                  <c:v>7.4999999999999997E-2</c:v>
                </c:pt>
              </c:numCache>
            </c:numRef>
          </c:xVal>
          <c:yVal>
            <c:numRef>
              <c:f>Bonos!$U$70:$AH$70</c:f>
              <c:numCache>
                <c:formatCode>"$"#,##0.00_);[Red]\("$"#,##0.00\)</c:formatCode>
                <c:ptCount val="14"/>
                <c:pt idx="0">
                  <c:v>1142.0695679605251</c:v>
                </c:pt>
                <c:pt idx="1">
                  <c:v>1092.2218455185455</c:v>
                </c:pt>
                <c:pt idx="2">
                  <c:v>1044.9129250312112</c:v>
                </c:pt>
                <c:pt idx="3">
                  <c:v>1000.0000000000008</c:v>
                </c:pt>
                <c:pt idx="4">
                  <c:v>957.3489858161206</c:v>
                </c:pt>
                <c:pt idx="5">
                  <c:v>916.83394677422109</c:v>
                </c:pt>
                <c:pt idx="6">
                  <c:v>878.33656330967426</c:v>
                </c:pt>
                <c:pt idx="7">
                  <c:v>841.7456364577971</c:v>
                </c:pt>
                <c:pt idx="8">
                  <c:v>806.95662677037944</c:v>
                </c:pt>
                <c:pt idx="9">
                  <c:v>773.87122514233135</c:v>
                </c:pt>
                <c:pt idx="10">
                  <c:v>742.39695320048531</c:v>
                </c:pt>
                <c:pt idx="11">
                  <c:v>712.44679108955631</c:v>
                </c:pt>
                <c:pt idx="12">
                  <c:v>683.93883065803254</c:v>
                </c:pt>
                <c:pt idx="13">
                  <c:v>656.79595220097622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1F-4885-A488-87ABF9239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1003103"/>
        <c:axId val="2081006015"/>
      </c:scatterChart>
      <c:valAx>
        <c:axId val="20810031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81006015"/>
        <c:crosses val="autoZero"/>
        <c:crossBetween val="midCat"/>
      </c:valAx>
      <c:valAx>
        <c:axId val="208100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810031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Bond1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Bonos!$D$68:$Q$68</c:f>
              <c:numCache>
                <c:formatCode>0%</c:formatCode>
                <c:ptCount val="14"/>
                <c:pt idx="0">
                  <c:v>0.02</c:v>
                </c:pt>
                <c:pt idx="1">
                  <c:v>0.03</c:v>
                </c:pt>
                <c:pt idx="2">
                  <c:v>0.04</c:v>
                </c:pt>
                <c:pt idx="3">
                  <c:v>0.05</c:v>
                </c:pt>
                <c:pt idx="4">
                  <c:v>0.06</c:v>
                </c:pt>
                <c:pt idx="5">
                  <c:v>7.0000000000000007E-2</c:v>
                </c:pt>
                <c:pt idx="6">
                  <c:v>0.08</c:v>
                </c:pt>
                <c:pt idx="7">
                  <c:v>0.09</c:v>
                </c:pt>
                <c:pt idx="8">
                  <c:v>0.1</c:v>
                </c:pt>
                <c:pt idx="9">
                  <c:v>0.11</c:v>
                </c:pt>
                <c:pt idx="10">
                  <c:v>0.12</c:v>
                </c:pt>
                <c:pt idx="11">
                  <c:v>0.13</c:v>
                </c:pt>
                <c:pt idx="12">
                  <c:v>0.14000000000000001</c:v>
                </c:pt>
                <c:pt idx="13">
                  <c:v>0.15</c:v>
                </c:pt>
              </c:numCache>
            </c:numRef>
          </c:cat>
          <c:val>
            <c:numRef>
              <c:f>Bonos!$D$70:$Q$70</c:f>
              <c:numCache>
                <c:formatCode>"$"#,##0.00_);[Red]\("$"#,##0.00\)</c:formatCode>
                <c:ptCount val="14"/>
                <c:pt idx="0">
                  <c:v>2123.8759601555989</c:v>
                </c:pt>
                <c:pt idx="1">
                  <c:v>1787.6053777068669</c:v>
                </c:pt>
                <c:pt idx="2">
                  <c:v>1521.4133001556968</c:v>
                </c:pt>
                <c:pt idx="3">
                  <c:v>1309.086564850579</c:v>
                </c:pt>
                <c:pt idx="4">
                  <c:v>1138.3778183305963</c:v>
                </c:pt>
                <c:pt idx="5">
                  <c:v>1000.0000000000025</c:v>
                </c:pt>
                <c:pt idx="6">
                  <c:v>886.88255012761249</c:v>
                </c:pt>
                <c:pt idx="7">
                  <c:v>793.61977961794355</c:v>
                </c:pt>
                <c:pt idx="8">
                  <c:v>716.06065712394764</c:v>
                </c:pt>
                <c:pt idx="9">
                  <c:v>651.00291672414278</c:v>
                </c:pt>
                <c:pt idx="10">
                  <c:v>595.96430736904858</c:v>
                </c:pt>
                <c:pt idx="11">
                  <c:v>549.01102765496682</c:v>
                </c:pt>
                <c:pt idx="12">
                  <c:v>508.6286597347534</c:v>
                </c:pt>
                <c:pt idx="13">
                  <c:v>473.62476998018269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04-4A12-95F3-A87F7B480420}"/>
            </c:ext>
          </c:extLst>
        </c:ser>
        <c:ser>
          <c:idx val="2"/>
          <c:order val="1"/>
          <c:tx>
            <c:v>Bond2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Bonos!$D$68:$Q$68</c:f>
              <c:numCache>
                <c:formatCode>0%</c:formatCode>
                <c:ptCount val="14"/>
                <c:pt idx="0">
                  <c:v>0.02</c:v>
                </c:pt>
                <c:pt idx="1">
                  <c:v>0.03</c:v>
                </c:pt>
                <c:pt idx="2">
                  <c:v>0.04</c:v>
                </c:pt>
                <c:pt idx="3">
                  <c:v>0.05</c:v>
                </c:pt>
                <c:pt idx="4">
                  <c:v>0.06</c:v>
                </c:pt>
                <c:pt idx="5">
                  <c:v>7.0000000000000007E-2</c:v>
                </c:pt>
                <c:pt idx="6">
                  <c:v>0.08</c:v>
                </c:pt>
                <c:pt idx="7">
                  <c:v>0.09</c:v>
                </c:pt>
                <c:pt idx="8">
                  <c:v>0.1</c:v>
                </c:pt>
                <c:pt idx="9">
                  <c:v>0.11</c:v>
                </c:pt>
                <c:pt idx="10">
                  <c:v>0.12</c:v>
                </c:pt>
                <c:pt idx="11">
                  <c:v>0.13</c:v>
                </c:pt>
                <c:pt idx="12">
                  <c:v>0.14000000000000001</c:v>
                </c:pt>
                <c:pt idx="13">
                  <c:v>0.15</c:v>
                </c:pt>
              </c:numCache>
            </c:numRef>
          </c:cat>
          <c:val>
            <c:numRef>
              <c:f>Bonos!$D$71:$Q$71</c:f>
              <c:numCache>
                <c:formatCode>General</c:formatCode>
                <c:ptCount val="14"/>
                <c:pt idx="0" formatCode="&quot;$&quot;#,##0.00_);[Red]\(&quot;$&quot;#,##0.00\)">
                  <c:v>1142.0695679605251</c:v>
                </c:pt>
                <c:pt idx="1">
                  <c:v>1092.2218455185455</c:v>
                </c:pt>
                <c:pt idx="2">
                  <c:v>1044.9129250312112</c:v>
                </c:pt>
                <c:pt idx="3">
                  <c:v>1000.0000000000008</c:v>
                </c:pt>
                <c:pt idx="4">
                  <c:v>957.3489858161206</c:v>
                </c:pt>
                <c:pt idx="5">
                  <c:v>916.83394677422109</c:v>
                </c:pt>
                <c:pt idx="6">
                  <c:v>878.33656330967426</c:v>
                </c:pt>
                <c:pt idx="7">
                  <c:v>841.7456364577971</c:v>
                </c:pt>
                <c:pt idx="8">
                  <c:v>806.95662677037944</c:v>
                </c:pt>
                <c:pt idx="9">
                  <c:v>773.87122514233135</c:v>
                </c:pt>
                <c:pt idx="10">
                  <c:v>742.39695320048531</c:v>
                </c:pt>
                <c:pt idx="11">
                  <c:v>712.44679108955631</c:v>
                </c:pt>
                <c:pt idx="12">
                  <c:v>683.93883065803254</c:v>
                </c:pt>
                <c:pt idx="13">
                  <c:v>656.79595220097622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04-4A12-95F3-A87F7B480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3686143"/>
        <c:axId val="2083668671"/>
      </c:lineChart>
      <c:catAx>
        <c:axId val="2083686143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83668671"/>
        <c:crosses val="autoZero"/>
        <c:auto val="1"/>
        <c:lblAlgn val="ctr"/>
        <c:lblOffset val="100"/>
        <c:noMultiLvlLbl val="0"/>
      </c:catAx>
      <c:valAx>
        <c:axId val="2083668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83686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Bonos!$E$80:$E$93</c:f>
              <c:numCache>
                <c:formatCode>0%</c:formatCode>
                <c:ptCount val="14"/>
                <c:pt idx="0">
                  <c:v>0.02</c:v>
                </c:pt>
                <c:pt idx="1">
                  <c:v>0.03</c:v>
                </c:pt>
                <c:pt idx="2">
                  <c:v>0.04</c:v>
                </c:pt>
                <c:pt idx="3">
                  <c:v>0.05</c:v>
                </c:pt>
                <c:pt idx="4">
                  <c:v>0.06</c:v>
                </c:pt>
                <c:pt idx="5">
                  <c:v>7.0000000000000007E-2</c:v>
                </c:pt>
                <c:pt idx="6">
                  <c:v>0.08</c:v>
                </c:pt>
                <c:pt idx="7">
                  <c:v>0.09</c:v>
                </c:pt>
                <c:pt idx="8">
                  <c:v>0.1</c:v>
                </c:pt>
                <c:pt idx="9">
                  <c:v>0.11</c:v>
                </c:pt>
                <c:pt idx="10">
                  <c:v>0.12</c:v>
                </c:pt>
                <c:pt idx="11">
                  <c:v>0.13</c:v>
                </c:pt>
                <c:pt idx="12">
                  <c:v>0.14000000000000001</c:v>
                </c:pt>
                <c:pt idx="13">
                  <c:v>0.15</c:v>
                </c:pt>
              </c:numCache>
            </c:numRef>
          </c:cat>
          <c:val>
            <c:numRef>
              <c:f>Bonos!$F$80:$F$93</c:f>
              <c:numCache>
                <c:formatCode>_("$"* #,##0.00_);_("$"* \(#,##0.00\);_("$"* "-"??_);_(@_)</c:formatCode>
                <c:ptCount val="14"/>
                <c:pt idx="0">
                  <c:v>2123.8759601555989</c:v>
                </c:pt>
                <c:pt idx="1">
                  <c:v>1787.6053777068669</c:v>
                </c:pt>
                <c:pt idx="2">
                  <c:v>1521.4133001556968</c:v>
                </c:pt>
                <c:pt idx="3">
                  <c:v>1309.086564850579</c:v>
                </c:pt>
                <c:pt idx="4">
                  <c:v>1138.3778183305963</c:v>
                </c:pt>
                <c:pt idx="5">
                  <c:v>1000.0000000000025</c:v>
                </c:pt>
                <c:pt idx="6">
                  <c:v>886.88255012761249</c:v>
                </c:pt>
                <c:pt idx="7">
                  <c:v>793.61977961794355</c:v>
                </c:pt>
                <c:pt idx="8">
                  <c:v>716.06065712394764</c:v>
                </c:pt>
                <c:pt idx="9">
                  <c:v>651.00291672414278</c:v>
                </c:pt>
                <c:pt idx="10">
                  <c:v>595.96430736904858</c:v>
                </c:pt>
                <c:pt idx="11">
                  <c:v>549.01102765496682</c:v>
                </c:pt>
                <c:pt idx="12">
                  <c:v>508.6286597347534</c:v>
                </c:pt>
                <c:pt idx="13">
                  <c:v>473.62476998018269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C3-4523-A637-6A564B73DD21}"/>
            </c:ext>
          </c:extLst>
        </c:ser>
        <c:ser>
          <c:idx val="2"/>
          <c:order val="1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Bonos!$E$80:$E$93</c:f>
              <c:numCache>
                <c:formatCode>0%</c:formatCode>
                <c:ptCount val="14"/>
                <c:pt idx="0">
                  <c:v>0.02</c:v>
                </c:pt>
                <c:pt idx="1">
                  <c:v>0.03</c:v>
                </c:pt>
                <c:pt idx="2">
                  <c:v>0.04</c:v>
                </c:pt>
                <c:pt idx="3">
                  <c:v>0.05</c:v>
                </c:pt>
                <c:pt idx="4">
                  <c:v>0.06</c:v>
                </c:pt>
                <c:pt idx="5">
                  <c:v>7.0000000000000007E-2</c:v>
                </c:pt>
                <c:pt idx="6">
                  <c:v>0.08</c:v>
                </c:pt>
                <c:pt idx="7">
                  <c:v>0.09</c:v>
                </c:pt>
                <c:pt idx="8">
                  <c:v>0.1</c:v>
                </c:pt>
                <c:pt idx="9">
                  <c:v>0.11</c:v>
                </c:pt>
                <c:pt idx="10">
                  <c:v>0.12</c:v>
                </c:pt>
                <c:pt idx="11">
                  <c:v>0.13</c:v>
                </c:pt>
                <c:pt idx="12">
                  <c:v>0.14000000000000001</c:v>
                </c:pt>
                <c:pt idx="13">
                  <c:v>0.15</c:v>
                </c:pt>
              </c:numCache>
            </c:numRef>
          </c:cat>
          <c:val>
            <c:numRef>
              <c:f>Bonos!$H$80:$H$93</c:f>
              <c:numCache>
                <c:formatCode>_("$"* #,##0.00_);_("$"* \(#,##0.00\);_("$"* "-"??_);_(@_)</c:formatCode>
                <c:ptCount val="14"/>
                <c:pt idx="0">
                  <c:v>1142.0695679605251</c:v>
                </c:pt>
                <c:pt idx="1">
                  <c:v>1092.2218455185455</c:v>
                </c:pt>
                <c:pt idx="2">
                  <c:v>1044.9129250312112</c:v>
                </c:pt>
                <c:pt idx="3">
                  <c:v>1000.0000000000008</c:v>
                </c:pt>
                <c:pt idx="4">
                  <c:v>957.3489858161206</c:v>
                </c:pt>
                <c:pt idx="5">
                  <c:v>916.83394677422109</c:v>
                </c:pt>
                <c:pt idx="6">
                  <c:v>878.33656330967426</c:v>
                </c:pt>
                <c:pt idx="7">
                  <c:v>841.7456364577971</c:v>
                </c:pt>
                <c:pt idx="8">
                  <c:v>806.95662677037944</c:v>
                </c:pt>
                <c:pt idx="9">
                  <c:v>773.87122514233135</c:v>
                </c:pt>
                <c:pt idx="10">
                  <c:v>742.39695320048531</c:v>
                </c:pt>
                <c:pt idx="11">
                  <c:v>712.44679108955631</c:v>
                </c:pt>
                <c:pt idx="12">
                  <c:v>683.93883065803254</c:v>
                </c:pt>
                <c:pt idx="13">
                  <c:v>656.79595220097622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C3-4523-A637-6A564B73D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9118751"/>
        <c:axId val="2089110015"/>
      </c:lineChart>
      <c:catAx>
        <c:axId val="2089118751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89110015"/>
        <c:crosses val="autoZero"/>
        <c:auto val="1"/>
        <c:lblAlgn val="ctr"/>
        <c:lblOffset val="100"/>
        <c:noMultiLvlLbl val="0"/>
      </c:catAx>
      <c:valAx>
        <c:axId val="2089110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8911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180975</xdr:colOff>
      <xdr:row>69</xdr:row>
      <xdr:rowOff>180975</xdr:rowOff>
    </xdr:from>
    <xdr:to>
      <xdr:col>27</xdr:col>
      <xdr:colOff>180975</xdr:colOff>
      <xdr:row>84</xdr:row>
      <xdr:rowOff>66675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2A7380B-41BB-4AB7-A583-0F246AA2A6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314325</xdr:colOff>
      <xdr:row>73</xdr:row>
      <xdr:rowOff>0</xdr:rowOff>
    </xdr:from>
    <xdr:to>
      <xdr:col>16</xdr:col>
      <xdr:colOff>314325</xdr:colOff>
      <xdr:row>87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4249FE9-B7A6-46FE-9FFE-71878D2A67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207308</xdr:colOff>
      <xdr:row>73</xdr:row>
      <xdr:rowOff>40341</xdr:rowOff>
    </xdr:from>
    <xdr:to>
      <xdr:col>16</xdr:col>
      <xdr:colOff>207308</xdr:colOff>
      <xdr:row>87</xdr:row>
      <xdr:rowOff>116541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D47E8BB-E525-45C7-9594-A5ABE099C2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54428</xdr:colOff>
      <xdr:row>130</xdr:row>
      <xdr:rowOff>136072</xdr:rowOff>
    </xdr:from>
    <xdr:to>
      <xdr:col>9</xdr:col>
      <xdr:colOff>682085</xdr:colOff>
      <xdr:row>157</xdr:row>
      <xdr:rowOff>127264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6B2F8EF-0ED5-4CDC-B3C1-A7C52DC7D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428" y="24901072"/>
          <a:ext cx="7723782" cy="51346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124559</xdr:rowOff>
    </xdr:from>
    <xdr:to>
      <xdr:col>9</xdr:col>
      <xdr:colOff>240525</xdr:colOff>
      <xdr:row>184</xdr:row>
      <xdr:rowOff>14654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F30393C8-50B5-4EEF-86D1-CF18D22D0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9461559"/>
          <a:ext cx="7336650" cy="5605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657225</xdr:colOff>
      <xdr:row>16</xdr:row>
      <xdr:rowOff>123825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190B78A-896A-3711-9A5E-587BA2D41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991225" cy="31718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144149</xdr:colOff>
      <xdr:row>16</xdr:row>
      <xdr:rowOff>28575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4794DE1-1C29-D46C-FD95-37098FA2F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40149" cy="3076575"/>
        </a:xfrm>
        <a:prstGeom prst="rect">
          <a:avLst/>
        </a:prstGeom>
      </xdr:spPr>
    </xdr:pic>
    <xdr:clientData/>
  </xdr:twoCellAnchor>
  <xdr:twoCellAnchor>
    <xdr:from>
      <xdr:col>0</xdr:col>
      <xdr:colOff>219075</xdr:colOff>
      <xdr:row>11</xdr:row>
      <xdr:rowOff>0</xdr:rowOff>
    </xdr:from>
    <xdr:to>
      <xdr:col>0</xdr:col>
      <xdr:colOff>419100</xdr:colOff>
      <xdr:row>11</xdr:row>
      <xdr:rowOff>171450</xdr:rowOff>
    </xdr:to>
    <xdr:sp macro="" textlink="">
      <xdr:nvSpPr>
        <xdr:cNvPr id="4" name="Elipse 3">
          <a:extLst>
            <a:ext uri="{FF2B5EF4-FFF2-40B4-BE49-F238E27FC236}">
              <a16:creationId xmlns:a16="http://schemas.microsoft.com/office/drawing/2014/main" id="{B535A8FD-98AB-242F-C85C-FA3DE5C02312}"/>
            </a:ext>
          </a:extLst>
        </xdr:cNvPr>
        <xdr:cNvSpPr/>
      </xdr:nvSpPr>
      <xdr:spPr>
        <a:xfrm>
          <a:off x="219075" y="2095500"/>
          <a:ext cx="200025" cy="1714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428284</xdr:colOff>
      <xdr:row>17</xdr:row>
      <xdr:rowOff>47625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8CDE450-C684-CECF-5BB6-13A432E94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6590959" cy="3095625"/>
        </a:xfrm>
        <a:prstGeom prst="rect">
          <a:avLst/>
        </a:prstGeom>
      </xdr:spPr>
    </xdr:pic>
    <xdr:clientData/>
  </xdr:twoCellAnchor>
  <xdr:twoCellAnchor editAs="oneCell">
    <xdr:from>
      <xdr:col>3</xdr:col>
      <xdr:colOff>447675</xdr:colOff>
      <xdr:row>21</xdr:row>
      <xdr:rowOff>133350</xdr:rowOff>
    </xdr:from>
    <xdr:to>
      <xdr:col>13</xdr:col>
      <xdr:colOff>758393</xdr:colOff>
      <xdr:row>31</xdr:row>
      <xdr:rowOff>28575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64618FC-E8BC-6E3C-FB42-B824C099F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00350" y="4133850"/>
          <a:ext cx="7930718" cy="18002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676275</xdr:colOff>
      <xdr:row>17</xdr:row>
      <xdr:rowOff>173618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B4C0CDF-6A01-61A7-40A6-31D58C00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72275" cy="341211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258811</xdr:colOff>
      <xdr:row>16</xdr:row>
      <xdr:rowOff>104775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51748AE-E5AA-7382-755B-228742154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54811" cy="31527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447675</xdr:colOff>
      <xdr:row>21</xdr:row>
      <xdr:rowOff>133350</xdr:rowOff>
    </xdr:from>
    <xdr:to>
      <xdr:col>13</xdr:col>
      <xdr:colOff>758393</xdr:colOff>
      <xdr:row>31</xdr:row>
      <xdr:rowOff>28575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9BA72EE-E086-49AD-B72D-A9CDA8A9F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0350" y="4133850"/>
          <a:ext cx="7930718" cy="1800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8</xdr:col>
      <xdr:colOff>731716</xdr:colOff>
      <xdr:row>17</xdr:row>
      <xdr:rowOff>112059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994E331-D25B-CED5-7468-539C26EB4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6894951" cy="33505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173290</xdr:colOff>
      <xdr:row>16</xdr:row>
      <xdr:rowOff>47625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CC6588B-CE6F-7CA0-4ECF-D9CDC5B81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69290" cy="3095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8</xdr:col>
      <xdr:colOff>507853</xdr:colOff>
      <xdr:row>15</xdr:row>
      <xdr:rowOff>180975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FB1B31C-0B20-3ACA-61D3-3B1C98751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6603853" cy="30384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654996</xdr:colOff>
      <xdr:row>17</xdr:row>
      <xdr:rowOff>85724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174582C-D4F1-A49D-F65A-AC27161DE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50996" cy="33242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0</xdr:row>
      <xdr:rowOff>9525</xdr:rowOff>
    </xdr:from>
    <xdr:to>
      <xdr:col>9</xdr:col>
      <xdr:colOff>356091</xdr:colOff>
      <xdr:row>17</xdr:row>
      <xdr:rowOff>95250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C32C6C1-CA72-0B51-B079-008D03DB1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9525"/>
          <a:ext cx="7214090" cy="332422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lases%20(2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nicamariafernandezramirez/Documents/Valor%20y%20Estrategia/Impuche%20SA/Cangulo/1Carmen/windows/TEMP/DATOS/EXCEL/PREANT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nicamariafernandezramirez/Documents/Valor%20y%20Estrategia/Impuche%20SA/Juanb/PROYECTOS%20OVIEDO%20Y%20MOLINOS/Mis%20documentos/PRESUPUESTO/PPTO%202002/PRESUPUESTO%20FINANCIERO%2020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ndres%20Barrera/Documents/Andres%20Barrera/VYE/El%20Universal%20-%20Editorial%20del%20Mar%20S.A/Info.%20Adicional/Presupuesto/pr&#233;stamos%20y%20amortizaciones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NGELA/Dropbox/San%20Buenaventura/2.%20ANALISIS%20FINANCIERO/Material%20de%20Clase%20Afro/Afro%20Admon%20Negocios/10.%20Aplicaci&#243;n%20an&#225;lisis%20financiero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nicamariafernandezramirez/Documents/Valor%20y%20Estrategia/Impuche%20SA/Cangulo/1Carmen/temp/GRAFICA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microsoft.com/office/2006/relationships/xlExternalLinkPath/xlPathMissing" Target="Cuadros%20Cap%202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ndres%20Barrera/Documents/Andres%20Barrera/VYE/El%20Universal%20-%20Editorial%20del%20Mar%20S.A/Info.%20Adicional/Ingresos%20y%20Costos/ventas%20de%20El%20Universal%20Cartg%20201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FBacci/Dropbox/Incubadora%20Santander/Definitivos/Modelo%20ALA%20-%20Act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G/TRABAJO%20FINAL%20DE%20GRADO/PLAN%20FINANCIERO%20A%205%20A&#209;OS%20EMPRESA%20DE%20ASESORIA%20CONTABLE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F/Mis%20documentos/Modelaje%20Financiero/Programa%20Modelaje/Grupo%201/Definitivo/Ejercicios%20Funciones%20Excel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os/docs/Carlos/CarlosG/Mis%20documentos/INFORMES/INFORMES/Abril10/EF_Abr10.xls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microsoft.com/office/2019/04/relationships/externalLinkLongPath" Target="/Users/LFBacci/Dropbox/Logistica/Grupo%20Distri/Finales%20Actual/Servidor/PROYECTOS/Documents%20and%20Settings/julianagalviz/Mis%20documentos/My%20Received%20Files/Copia%20de%2020070418_recaudo_borrador04_plana.xls?C26A873C" TargetMode="External"/><Relationship Id="rId1" Type="http://schemas.openxmlformats.org/officeDocument/2006/relationships/externalLinkPath" Target="file:///\\C26A873C\Copia%20de%2020070418_recaudo_borrador04_plana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microsoft.com/office/2006/relationships/xlExternalLinkPath/xlPathMissing" Target="21.%20PNUD-DNP%20Modelo%20de%20Recaudo%20Pasto_Res%20SDG_20-12-07.xls" TargetMode="External"/></Relationships>
</file>

<file path=xl/externalLinks/_rels/externalLink15.xml.rels><?xml version="1.0" encoding="UTF-8" standalone="yes"?>
<Relationships xmlns="http://schemas.openxmlformats.org/package/2006/relationships"><Relationship Id="rId2" Type="http://schemas.microsoft.com/office/2019/04/relationships/externalLinkLongPath" Target="/Documents%20and%20Settings/diegon/Configuraci&#243;n%20local/Archivos%20temporales%20de%20Internet/OLK66/Mis%20documentos/TEMP/10.%20LINEA%20TRADICIONAL%20ORGANIZADO/BKUP%20PLANES%20DE%20ACCION%20POR%20SEDES/Mis%20doc?D19717E4" TargetMode="External"/><Relationship Id="rId1" Type="http://schemas.openxmlformats.org/officeDocument/2006/relationships/externalLinkPath" Target="file:///\\D19717E4\Mis%20doc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G/Users/Carlos_Garzon/Documents/Carlos/CarlosG/Mis%20documentos/INFORMES/INFORMES/Febrero/EF_Feb09_Def_1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G/Users/Carlos_Garzon/Documents/Carlos/CarlosG/Mis%20documentos/INFORMES/INFORMES/Marzo/EF_Mar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NICA/Music/Documents/Finvestco/Frupalma/Frupalma%202010/valor%20y%20estrategia/PRESUPUESTO%20PLANTA%202009/MMTO%20PLEXT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nicamariafernandezramirez/Documents/Valor%20y%20Estrategia/Impuche%20SA/Presupuesto/C/WINNT/Profiles/presup.001/Personal/NELSONIV/DATOS/EXCEL/PREANT1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Vision%20Logistica/Documents/CUPOTRANS/FLUJOS%20DE%20CJA%20POR%20RUTA/Costeo%20Rutas%20Potenciales%20Cetesa%20-%20Cupo%20-%20Ceramica%20(60%20Dias,30FF,%20Sin%20Comb)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STOS%20PLANEACION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%20%20PR%20Prefactibilidad%20del%20Sistema%20-%2027-04-2009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0%20UT%20AMVA%20Modelo%20Operacion%20ESC28%2011-12-07%202%20(version%201)%20pa%20pasto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FBacci/Dropbox/Logistica/Grupo%20Distri/Finales%20Actual/Servidor/PROYECTOS/DOCUME~1/JULIAN~1/CONFIG~1/Temp/Rar$DI00.021/4(1)(1).UTAMVAModeloOperacion21-04-07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microsoft.com/office/2006/relationships/xlExternalLinkPath/xlPathMissing" Target="20101121%20Palmavista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FBacci/AppData/Local/Microsoft/Windows/Temporary%20Internet%20Files/Content.Outlook/A6GZZ2MG/MODELO%20SERVIGENERALES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os/docs/Carlos/CarlosG/Mis%20documentos/INFORMES/INFORMES/Mayo10/EF_May10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/JFR/V&amp;E%20JFR/Varios/BenchMark%20Empresas/Benchmark/BenchM2.xlsm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microsoft.com/office/2006/relationships/xlExternalLinkPath/xlPathMissing" Target="Ppto%202007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G/Users/usuario/Documents/Diciembre_3/EF_Dic08_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ital projects"/>
      <sheetName val="Proyectos"/>
      <sheetName val="CashFlows"/>
      <sheetName val="EAC CAUE"/>
      <sheetName val="Problemas"/>
      <sheetName val="Bonos"/>
      <sheetName val="DIS"/>
    </sheetNames>
    <sheetDataSet>
      <sheetData sheetId="0"/>
      <sheetData sheetId="1"/>
      <sheetData sheetId="2"/>
      <sheetData sheetId="3"/>
      <sheetData sheetId="4"/>
      <sheetData sheetId="5">
        <row r="68">
          <cell r="D68">
            <v>0.02</v>
          </cell>
          <cell r="E68">
            <v>0.03</v>
          </cell>
          <cell r="F68">
            <v>0.04</v>
          </cell>
          <cell r="G68">
            <v>0.05</v>
          </cell>
          <cell r="H68">
            <v>0.06</v>
          </cell>
          <cell r="I68">
            <v>7.0000000000000007E-2</v>
          </cell>
          <cell r="J68">
            <v>0.08</v>
          </cell>
          <cell r="K68">
            <v>0.09</v>
          </cell>
          <cell r="L68">
            <v>0.1</v>
          </cell>
          <cell r="M68">
            <v>0.11</v>
          </cell>
          <cell r="N68">
            <v>0.12</v>
          </cell>
          <cell r="O68">
            <v>0.13</v>
          </cell>
          <cell r="P68">
            <v>0.14000000000000001</v>
          </cell>
          <cell r="Q68">
            <v>0.15</v>
          </cell>
        </row>
        <row r="69">
          <cell r="U69">
            <v>0.01</v>
          </cell>
          <cell r="V69">
            <v>1.4999999999999999E-2</v>
          </cell>
          <cell r="W69">
            <v>0.02</v>
          </cell>
          <cell r="X69">
            <v>2.5000000000000001E-2</v>
          </cell>
          <cell r="Y69">
            <v>0.03</v>
          </cell>
          <cell r="Z69">
            <v>3.5000000000000003E-2</v>
          </cell>
          <cell r="AA69">
            <v>0.04</v>
          </cell>
          <cell r="AB69">
            <v>4.4999999999999998E-2</v>
          </cell>
          <cell r="AC69">
            <v>0.05</v>
          </cell>
          <cell r="AD69">
            <v>5.5E-2</v>
          </cell>
          <cell r="AE69">
            <v>0.06</v>
          </cell>
          <cell r="AF69">
            <v>6.5000000000000002E-2</v>
          </cell>
          <cell r="AG69">
            <v>7.0000000000000007E-2</v>
          </cell>
          <cell r="AH69">
            <v>7.4999999999999997E-2</v>
          </cell>
        </row>
        <row r="70">
          <cell r="D70">
            <v>2123.8759601555989</v>
          </cell>
          <cell r="E70">
            <v>1787.6053777068669</v>
          </cell>
          <cell r="F70">
            <v>1521.4133001556968</v>
          </cell>
          <cell r="G70">
            <v>1309.086564850579</v>
          </cell>
          <cell r="H70">
            <v>1138.3778183305963</v>
          </cell>
          <cell r="I70">
            <v>1000.0000000000025</v>
          </cell>
          <cell r="J70">
            <v>886.88255012761249</v>
          </cell>
          <cell r="K70">
            <v>793.61977961794355</v>
          </cell>
          <cell r="L70">
            <v>716.06065712394764</v>
          </cell>
          <cell r="M70">
            <v>651.00291672414278</v>
          </cell>
          <cell r="N70">
            <v>595.96430736904858</v>
          </cell>
          <cell r="O70">
            <v>549.01102765496682</v>
          </cell>
          <cell r="P70">
            <v>508.6286597347534</v>
          </cell>
          <cell r="Q70">
            <v>473.62476998018269</v>
          </cell>
          <cell r="U70">
            <v>1142.0695679605251</v>
          </cell>
          <cell r="V70">
            <v>1092.2218455185455</v>
          </cell>
          <cell r="W70">
            <v>1044.9129250312112</v>
          </cell>
          <cell r="X70">
            <v>1000.0000000000008</v>
          </cell>
          <cell r="Y70">
            <v>957.3489858161206</v>
          </cell>
          <cell r="Z70">
            <v>916.83394677422109</v>
          </cell>
          <cell r="AA70">
            <v>878.33656330967426</v>
          </cell>
          <cell r="AB70">
            <v>841.7456364577971</v>
          </cell>
          <cell r="AC70">
            <v>806.95662677037944</v>
          </cell>
          <cell r="AD70">
            <v>773.87122514233135</v>
          </cell>
          <cell r="AE70">
            <v>742.39695320048531</v>
          </cell>
          <cell r="AF70">
            <v>712.44679108955631</v>
          </cell>
          <cell r="AG70">
            <v>683.93883065803254</v>
          </cell>
          <cell r="AH70">
            <v>656.79595220097622</v>
          </cell>
        </row>
        <row r="71">
          <cell r="D71">
            <v>1142.0695679605251</v>
          </cell>
          <cell r="E71">
            <v>1092.2218455185455</v>
          </cell>
          <cell r="F71">
            <v>1044.9129250312112</v>
          </cell>
          <cell r="G71">
            <v>1000.0000000000008</v>
          </cell>
          <cell r="H71">
            <v>957.3489858161206</v>
          </cell>
          <cell r="I71">
            <v>916.83394677422109</v>
          </cell>
          <cell r="J71">
            <v>878.33656330967426</v>
          </cell>
          <cell r="K71">
            <v>841.7456364577971</v>
          </cell>
          <cell r="L71">
            <v>806.95662677037944</v>
          </cell>
          <cell r="M71">
            <v>773.87122514233135</v>
          </cell>
          <cell r="N71">
            <v>742.39695320048531</v>
          </cell>
          <cell r="O71">
            <v>712.44679108955631</v>
          </cell>
          <cell r="P71">
            <v>683.93883065803254</v>
          </cell>
          <cell r="Q71">
            <v>656.79595220097622</v>
          </cell>
        </row>
        <row r="80">
          <cell r="E80">
            <v>0.02</v>
          </cell>
          <cell r="F80">
            <v>2123.8759601555989</v>
          </cell>
          <cell r="H80">
            <v>1142.0695679605251</v>
          </cell>
        </row>
        <row r="81">
          <cell r="E81">
            <v>0.03</v>
          </cell>
          <cell r="F81">
            <v>1787.6053777068669</v>
          </cell>
          <cell r="H81">
            <v>1092.2218455185455</v>
          </cell>
        </row>
        <row r="82">
          <cell r="E82">
            <v>0.04</v>
          </cell>
          <cell r="F82">
            <v>1521.4133001556968</v>
          </cell>
          <cell r="H82">
            <v>1044.9129250312112</v>
          </cell>
        </row>
        <row r="83">
          <cell r="E83">
            <v>0.05</v>
          </cell>
          <cell r="F83">
            <v>1309.086564850579</v>
          </cell>
          <cell r="H83">
            <v>1000.0000000000008</v>
          </cell>
        </row>
        <row r="84">
          <cell r="E84">
            <v>0.06</v>
          </cell>
          <cell r="F84">
            <v>1138.3778183305963</v>
          </cell>
          <cell r="H84">
            <v>957.3489858161206</v>
          </cell>
        </row>
        <row r="85">
          <cell r="E85">
            <v>7.0000000000000007E-2</v>
          </cell>
          <cell r="F85">
            <v>1000.0000000000025</v>
          </cell>
          <cell r="H85">
            <v>916.83394677422109</v>
          </cell>
        </row>
        <row r="86">
          <cell r="E86">
            <v>0.08</v>
          </cell>
          <cell r="F86">
            <v>886.88255012761249</v>
          </cell>
          <cell r="H86">
            <v>878.33656330967426</v>
          </cell>
        </row>
        <row r="87">
          <cell r="E87">
            <v>0.09</v>
          </cell>
          <cell r="F87">
            <v>793.61977961794355</v>
          </cell>
          <cell r="H87">
            <v>841.7456364577971</v>
          </cell>
        </row>
        <row r="88">
          <cell r="E88">
            <v>0.1</v>
          </cell>
          <cell r="F88">
            <v>716.06065712394764</v>
          </cell>
          <cell r="H88">
            <v>806.95662677037944</v>
          </cell>
        </row>
        <row r="89">
          <cell r="E89">
            <v>0.11</v>
          </cell>
          <cell r="F89">
            <v>651.00291672414278</v>
          </cell>
          <cell r="H89">
            <v>773.87122514233135</v>
          </cell>
        </row>
        <row r="90">
          <cell r="E90">
            <v>0.12</v>
          </cell>
          <cell r="F90">
            <v>595.96430736904858</v>
          </cell>
          <cell r="H90">
            <v>742.39695320048531</v>
          </cell>
        </row>
        <row r="91">
          <cell r="E91">
            <v>0.13</v>
          </cell>
          <cell r="F91">
            <v>549.01102765496682</v>
          </cell>
          <cell r="H91">
            <v>712.44679108955631</v>
          </cell>
        </row>
        <row r="92">
          <cell r="E92">
            <v>0.14000000000000001</v>
          </cell>
          <cell r="F92">
            <v>508.6286597347534</v>
          </cell>
          <cell r="H92">
            <v>683.93883065803254</v>
          </cell>
        </row>
        <row r="93">
          <cell r="E93">
            <v>0.15</v>
          </cell>
          <cell r="F93">
            <v>473.62476998018269</v>
          </cell>
          <cell r="H93">
            <v>656.79595220097622</v>
          </cell>
        </row>
      </sheetData>
      <sheetData sheetId="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ADRO No 4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OFINANC.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ros"/>
      <sheetName val="AMORTIZACION"/>
      <sheetName val="CAP 2011"/>
      <sheetName val="CAP 2012"/>
      <sheetName val="CAP 2013"/>
      <sheetName val="INT 2011"/>
      <sheetName val="INT 2012"/>
      <sheetName val="INT 201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AS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ad 2.1"/>
      <sheetName val="Cuad 2.2 "/>
      <sheetName val="Cuad 2.3"/>
      <sheetName val="Cuad 2.4"/>
      <sheetName val="Cuad 2.5"/>
      <sheetName val="Cuad 2.6"/>
      <sheetName val="Cuad 2.7"/>
      <sheetName val="Cuad 2.8"/>
      <sheetName val="Cuad 2.9 "/>
      <sheetName val="Cuadro 2.10. "/>
      <sheetName val="Cuadro 2.11"/>
      <sheetName val="Cuadro 2.11a"/>
      <sheetName val="Cuad 2.12"/>
      <sheetName val="Cuadro 2.13"/>
      <sheetName val="Cuadro 2.14"/>
      <sheetName val="Cuadro 2.15"/>
      <sheetName val="Cuadro 2.15a"/>
      <sheetName val="Cuadro 2.15b"/>
      <sheetName val="Cuadro 2.16"/>
      <sheetName val="Cuadro 2.16a"/>
      <sheetName val="cuadro 2.17"/>
      <sheetName val="2.17 continuación"/>
      <sheetName val="Cuadro 2.17a"/>
      <sheetName val="Cuadro 2.18"/>
      <sheetName val="Cuadro 2.18a"/>
      <sheetName val="Cuadro 2.19"/>
      <sheetName val="C. 2.19 (CONT)"/>
      <sheetName val="Cuadro 2.20"/>
      <sheetName val="Cuadro 2.20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ril"/>
      <sheetName val="agost"/>
      <sheetName val="dic"/>
      <sheetName val="enero"/>
      <sheetName val="feb"/>
      <sheetName val="julio"/>
      <sheetName val="junio"/>
      <sheetName val="marzo"/>
      <sheetName val="mayo"/>
      <sheetName val="oct"/>
      <sheetName val="sept"/>
      <sheetName val="Hoja1"/>
      <sheetName val="nov"/>
      <sheetName val="Totales"/>
      <sheetName val="Resumen"/>
      <sheetName val="Grafic"/>
      <sheetName val="D seman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 Operativos"/>
      <sheetName val="S Macroeconomicos"/>
      <sheetName val="Resumen"/>
      <sheetName val="EEFF"/>
      <sheetName val="Base"/>
      <sheetName val="Gráfico2"/>
      <sheetName val="Gráfico5"/>
      <sheetName val="Costos"/>
      <sheetName val="Gráfico1"/>
      <sheetName val="Estandar de Producción"/>
      <sheetName val="Operación Actual"/>
      <sheetName val="Amortizaciones"/>
      <sheetName val="Deuda"/>
      <sheetName val="PP&amp;E"/>
      <sheetName val="Resumen TAT"/>
      <sheetName val="GTOS.TATBOGOTA NORTE"/>
      <sheetName val="GASTOS. TAT BOGOTA SUR"/>
      <sheetName val="GASTOS. TAT VILLAVICENCIO"/>
      <sheetName val="GTOS.TATMEDELLIN"/>
      <sheetName val="GASTOS. TAT CALI"/>
      <sheetName val="GTOS. TAT PASTO"/>
      <sheetName val="GASTOS. TAT POPAYAN"/>
      <sheetName val="WACC"/>
      <sheetName val="Valoración"/>
      <sheetName val="Gráfico3"/>
      <sheetName val="Gráfico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B"/>
      <sheetName val="I"/>
      <sheetName val="IND"/>
      <sheetName val="1"/>
      <sheetName val="AJUSTES1"/>
      <sheetName val="1a"/>
      <sheetName val="1b"/>
      <sheetName val="1c"/>
      <sheetName val="1d"/>
      <sheetName val="1e"/>
      <sheetName val="1f"/>
      <sheetName val="R"/>
      <sheetName val="2"/>
      <sheetName val="AJUSTES2"/>
      <sheetName val="2a"/>
      <sheetName val="2b"/>
      <sheetName val="2c"/>
      <sheetName val="P"/>
      <sheetName val="T"/>
      <sheetName val="B"/>
      <sheetName val="3"/>
      <sheetName val="AJUSTES5"/>
      <sheetName val="4"/>
      <sheetName val="r1"/>
      <sheetName val="r2"/>
      <sheetName val="a1"/>
      <sheetName val="a2"/>
      <sheetName val="a3"/>
      <sheetName val="a4"/>
      <sheetName val="a5"/>
      <sheetName val="GUÍA"/>
      <sheetName val="CResult"/>
      <sheetName val="prestamos"/>
      <sheetName val="CTesorería"/>
      <sheetName val="Amortizaciones"/>
      <sheetName val="Pagoinversiones"/>
      <sheetName val="5 añ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AS"/>
      <sheetName val="SUMA"/>
      <sheetName val="REDONDEAR"/>
      <sheetName val="TEXTO"/>
      <sheetName val="VPN &amp; TIR(1)"/>
      <sheetName val="VPN &amp; TIR(2)"/>
      <sheetName val="VA"/>
      <sheetName val="FRECUENCIA"/>
      <sheetName val="INDICE"/>
      <sheetName val="ESTADISTICAS"/>
      <sheetName val="BUSCARV"/>
      <sheetName val="BUSCARV1"/>
      <sheetName val="BUSCARV2"/>
      <sheetName val="BUSCAROBJETIV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um"/>
      <sheetName val="ResP&amp;G"/>
      <sheetName val="P&amp;GGer"/>
      <sheetName val="UN"/>
      <sheetName val="UNMes"/>
      <sheetName val="UN_Mes-1"/>
      <sheetName val="UN09"/>
      <sheetName val="UNMes09"/>
      <sheetName val="UN_Mes-1 09"/>
      <sheetName val="Gastos"/>
      <sheetName val="Gastos Mes"/>
      <sheetName val="Ventas"/>
      <sheetName val="Costo"/>
      <sheetName val="FCaja"/>
      <sheetName val="BG"/>
      <sheetName val="N_PG"/>
      <sheetName val="Dispon"/>
      <sheetName val="Invers"/>
      <sheetName val="CartNal"/>
      <sheetName val="CartInt"/>
      <sheetName val="Vincul"/>
      <sheetName val="AnticProv"/>
      <sheetName val="Empl"/>
      <sheetName val="Imp"/>
      <sheetName val="Invent"/>
      <sheetName val="AF"/>
      <sheetName val="Dif"/>
      <sheetName val="ObligFin"/>
      <sheetName val="CxP Socios"/>
      <sheetName val="CxP"/>
      <sheetName val="Provisx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audo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Sensib"/>
      <sheetName val="Supuestos"/>
      <sheetName val="Inputs"/>
      <sheetName val="Operativos"/>
      <sheetName val="Ingresos"/>
      <sheetName val="P&amp;G"/>
      <sheetName val="Caja"/>
      <sheetName val="Bce"/>
      <sheetName val="Impuestos"/>
      <sheetName val="Inversiones"/>
      <sheetName val="CO"/>
      <sheetName val="CA"/>
      <sheetName val="PPE"/>
      <sheetName val="KTrabajo"/>
      <sheetName val="Deuda"/>
      <sheetName val="Red de Venta"/>
      <sheetName val="Eq"/>
      <sheetName val="Dda"/>
      <sheetName val="DO Entradas"/>
      <sheetName val="Recaudo SDG"/>
    </sheetNames>
    <sheetDataSet>
      <sheetData sheetId="0" refreshError="1"/>
      <sheetData sheetId="1" refreshError="1"/>
      <sheetData sheetId="2" refreshError="1">
        <row r="132">
          <cell r="C132">
            <v>10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RV. PUBLICOS"/>
      <sheetName val="PLAN CTAS-04"/>
      <sheetName val="ARRDOS."/>
      <sheetName val="VIGILANCIA"/>
      <sheetName val="CAFETERIA"/>
      <sheetName val="CASINO"/>
      <sheetName val="GASTOS DE VIAJE"/>
      <sheetName val="MATEROFIC"/>
      <sheetName val="MTTOMAQS"/>
      <sheetName val="MTTOEQUIPO"/>
      <sheetName val="TRANSP MAQ. Y URB."/>
      <sheetName val="MMTO VEHIC"/>
      <sheetName val="MMTO MOTOS"/>
      <sheetName val="OTROS G  V"/>
      <sheetName val="COMBUST.VEH"/>
      <sheetName val="COMBUSTMOTOS"/>
      <sheetName val="VAR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um"/>
      <sheetName val="ResP&amp;G"/>
      <sheetName val="P&amp;GGer"/>
      <sheetName val="UN"/>
      <sheetName val="UNMes"/>
      <sheetName val="UN_Mes-1"/>
      <sheetName val="UN 2008"/>
      <sheetName val="Ventas"/>
      <sheetName val="Costo"/>
      <sheetName val="Gastos"/>
      <sheetName val="Gastos Mes"/>
      <sheetName val="FCaja"/>
      <sheetName val="BG"/>
      <sheetName val="BGAjust"/>
      <sheetName val="N_PG"/>
      <sheetName val="N_PG Otros"/>
      <sheetName val="Dispon"/>
      <sheetName val="Invers"/>
      <sheetName val="CartNal"/>
      <sheetName val="CartInt"/>
      <sheetName val="Vincul"/>
      <sheetName val="AnticProv"/>
      <sheetName val="Empl"/>
      <sheetName val="Imp"/>
      <sheetName val="Invent"/>
      <sheetName val="AF"/>
      <sheetName val="Dif"/>
      <sheetName val="ObligFin"/>
      <sheetName val="ObligFin2"/>
      <sheetName val="CxP"/>
      <sheetName val="Provisx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um"/>
      <sheetName val="ResP&amp;G"/>
      <sheetName val="P&amp;GGer"/>
      <sheetName val="UN"/>
      <sheetName val="UNMes"/>
      <sheetName val="UN_Mes-1"/>
      <sheetName val="UN 2008"/>
      <sheetName val="Ventas"/>
      <sheetName val="Costo"/>
      <sheetName val="Gastos"/>
      <sheetName val="Gastos Mes"/>
      <sheetName val="FCaja"/>
      <sheetName val="BG"/>
      <sheetName val="BGAjust"/>
      <sheetName val="N_PG"/>
      <sheetName val="Dispon"/>
      <sheetName val="Invers"/>
      <sheetName val="CartNal"/>
      <sheetName val="CartInt"/>
      <sheetName val="Vincul"/>
      <sheetName val="AnticProv"/>
      <sheetName val="Empl"/>
      <sheetName val="Imp"/>
      <sheetName val="Invent"/>
      <sheetName val="AF"/>
      <sheetName val="Dif"/>
      <sheetName val="ObligFin"/>
      <sheetName val="ObligFin2"/>
      <sheetName val="CxP"/>
      <sheetName val="ProvisxP"/>
      <sheetName val="N_PG Otr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MANT. PEX"/>
      <sheetName val="Personal"/>
      <sheetName val="Aux Pacto"/>
      <sheetName val="Dotacion"/>
      <sheetName val="Hotas Extras"/>
      <sheetName val="ESTI MENS FRUTO PRODUCC"/>
      <sheetName val="Recargo Nocturno"/>
      <sheetName val="Festivos"/>
      <sheetName val="Mmto Edificaciones"/>
      <sheetName val="Mmto Muebles"/>
      <sheetName val="Rptos Trac"/>
      <sheetName val="Rptos Volq"/>
      <sheetName val="Rptos Plt"/>
      <sheetName val="Comb Trac"/>
      <sheetName val="Comb Volq"/>
      <sheetName val="Comb Plant Ext"/>
      <sheetName val="Lubricantes"/>
      <sheetName val="Elem y React Labor"/>
      <sheetName val="Empaque Almendra"/>
      <sheetName val="Rptos Tto Agua"/>
      <sheetName val="Aseo Fabrica"/>
      <sheetName val="Recepcion"/>
      <sheetName val="Esterilizacion"/>
      <sheetName val="Desfrutamiento"/>
      <sheetName val="Extraccion"/>
      <sheetName val="Clarificacion"/>
      <sheetName val="Desfibracion"/>
      <sheetName val="Palmisteria"/>
      <sheetName val="Calderas"/>
      <sheetName val="Evacuacion"/>
      <sheetName val="Sala de Maquinas"/>
      <sheetName val="Herramientas"/>
      <sheetName val="Elem Mecanico"/>
      <sheetName val="Elem Electrico"/>
      <sheetName val="Quim Tto Agua"/>
      <sheetName val="Rod Vehicul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ADRO No 4"/>
    </sheetNames>
    <sheetDataSet>
      <sheetData sheetId="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UTAS"/>
      <sheetName val="VALOR ACTIVO"/>
      <sheetName val="MANTTO"/>
      <sheetName val="MANTTO (2)"/>
      <sheetName val="FACT PREST"/>
      <sheetName val="1B"/>
      <sheetName val="1C"/>
      <sheetName val="2A"/>
      <sheetName val="2B"/>
      <sheetName val="PRESENTACION"/>
      <sheetName val="1B (Neiva) (Cali)"/>
      <sheetName val="FLUJO NEIVA (Cali)"/>
      <sheetName val="1B (Neiva)"/>
      <sheetName val="FLUJO NEIVA"/>
      <sheetName val="FLUJO NEIVA (Sin Comb.)"/>
      <sheetName val="2B (Cali)"/>
      <sheetName val="FLUJO CALI"/>
      <sheetName val="FLUJO CALI (Sin Comb.)"/>
      <sheetName val="1C (Pereira) (Cali)"/>
      <sheetName val="FLUJO PEREIRA (2)"/>
      <sheetName val="1C (Pereira)"/>
      <sheetName val="FLUJO PEREIRA"/>
      <sheetName val="FLUJO PEREIRA (Sin Comb.)"/>
      <sheetName val="2A (Ibague) (Cali)"/>
      <sheetName val="FLUJO IBAGUE (Cali)"/>
      <sheetName val="FLUJO IBAGUE"/>
      <sheetName val="2A (Ibague)"/>
      <sheetName val="FLUJO IBAGUE (Sin Comb.)"/>
      <sheetName val="1B (Manizales) (Cali)"/>
      <sheetName val="FLUJO MANIZALES (2)"/>
      <sheetName val="1B (Manizales)"/>
      <sheetName val="FLUJO MANIZALES"/>
      <sheetName val="FLUJO MANIZALES (Sin Comb.)"/>
      <sheetName val="3B (Yopal)"/>
      <sheetName val="FLUJO YOPAL"/>
      <sheetName val="FLUJO YOPAL (Sin Comb.)"/>
      <sheetName val="2B (Bquilla)"/>
      <sheetName val="FLUJO BQUILLA"/>
      <sheetName val="FLUJO BQUILLA (Sin Comb.)"/>
      <sheetName val="CONFIGURAC OPERACIÓN"/>
      <sheetName val="FLUJO (60 Dias)"/>
      <sheetName val="FLUJO COMPLETO (60 Dias SComb)"/>
      <sheetName val="FLUJO COMPLETO (Sin Comb.)"/>
      <sheetName val="2B (Cali) (Ceramica)"/>
      <sheetName val="FLUJO CALI (2)"/>
      <sheetName val="Resúmen (2)"/>
      <sheetName val="2B (Medellin)"/>
      <sheetName val="231"/>
      <sheetName val="Resúmen (3)"/>
      <sheetName val="SUESCA-SOGAMOSO"/>
      <sheetName val="Resúmen"/>
      <sheetName val="321 (2)"/>
      <sheetName val="VLR PUNTOS"/>
      <sheetName val="TABLA GAST"/>
      <sheetName val="BASE GAST"/>
      <sheetName val="VLR.PEAJES"/>
      <sheetName val="Peajes"/>
      <sheetName val="LLANTAS FRENTE"/>
      <sheetName val="LLANT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 CTAS-04"/>
      <sheetName val="ARRDOS."/>
      <sheetName val="VIGILANCIA"/>
      <sheetName val="SERV. PUBLICOS"/>
      <sheetName val="CAFETERIA"/>
      <sheetName val="CASINO"/>
      <sheetName val="GASTOS DE VIAJE"/>
      <sheetName val="MATEROFIC"/>
      <sheetName val="MTTOMAQS"/>
      <sheetName val="MTTOEQUIPO"/>
      <sheetName val="TRANSP MAQ. Y URB."/>
      <sheetName val="MMTO VEHIC"/>
      <sheetName val="MMTO MOTOS"/>
      <sheetName val="OTROS G  V"/>
      <sheetName val="COMBUST.VEH"/>
      <sheetName val="COMBUSTMOTOS"/>
      <sheetName val="VAR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Supuestos Macro "/>
      <sheetName val="Inversiones"/>
      <sheetName val="CO"/>
      <sheetName val="CA"/>
      <sheetName val="Financiación"/>
      <sheetName val="Tarifa"/>
      <sheetName val="FC"/>
      <sheetName val="Diseño Operativo"/>
      <sheetName val="Flota"/>
      <sheetName val="Lubricantes"/>
      <sheetName val="Mantenimiento"/>
      <sheetName val="PPT"/>
      <sheetName val="Resultados"/>
      <sheetName val="Rutas SDG"/>
      <sheetName val="Supuestos (cantidad buses)"/>
    </sheetNames>
    <sheetDataSet>
      <sheetData sheetId="0" refreshError="1">
        <row r="2">
          <cell r="H2">
            <v>1000000</v>
          </cell>
          <cell r="Q2">
            <v>1000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Menu"/>
      <sheetName val="Flota"/>
      <sheetName val="Graficos"/>
      <sheetName val="Graficos 2"/>
      <sheetName val="Remuneración"/>
      <sheetName val="TarifaSistema"/>
      <sheetName val="Resultados"/>
      <sheetName val="MenuRutas"/>
      <sheetName val="Supuestos"/>
      <sheetName val="METRO"/>
      <sheetName val="METRO2"/>
      <sheetName val="Impuestos"/>
      <sheetName val="Inversiones"/>
      <sheetName val="Ingresos"/>
      <sheetName val="DOConcesionario"/>
      <sheetName val="DetalleMantenimiento"/>
      <sheetName val="Mantenimiento"/>
      <sheetName val="CO"/>
      <sheetName val="CA"/>
      <sheetName val="PPE"/>
      <sheetName val="Financiacion"/>
      <sheetName val="K Trabajo"/>
      <sheetName val="WACC"/>
      <sheetName val="CostoxKm"/>
      <sheetName val="P&amp;G"/>
      <sheetName val="Caja"/>
      <sheetName val="Balance"/>
      <sheetName val="Hoja1"/>
      <sheetName val="ParaPliegos"/>
      <sheetName val="Estaciones"/>
      <sheetName val="Patios"/>
      <sheetName val="Metroplus"/>
      <sheetName val="Recaudo"/>
      <sheetName val="Diseño Operativo"/>
      <sheetName val="Zon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</sheetNames>
    <sheetDataSet>
      <sheetData sheetId="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puestos"/>
      <sheetName val="Oblig Financ"/>
      <sheetName val="Macroe."/>
      <sheetName val="PP&amp;E"/>
      <sheetName val="Producción"/>
      <sheetName val="Gastos"/>
      <sheetName val="Costos Producción"/>
      <sheetName val="Lotes"/>
      <sheetName val="Balance"/>
      <sheetName val="P&amp;G Consolidado"/>
      <sheetName val="Flujo"/>
      <sheetName val="WACC"/>
      <sheetName val="Inv Veranera"/>
      <sheetName val="Gráficas"/>
      <sheetName val="Valoració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bligaciones"/>
      <sheetName val="Flujo Unificado"/>
      <sheetName val="Info para Sindicado"/>
      <sheetName val="Supuestos"/>
      <sheetName val="EEFF"/>
      <sheetName val="Ingresos"/>
      <sheetName val="Calc BG"/>
      <sheetName val="Calc ER"/>
      <sheetName val="CTL"/>
      <sheetName val="ARM"/>
      <sheetName val="YUM"/>
      <sheetName val="MON"/>
      <sheetName val="BUG"/>
      <sheetName val="FAC"/>
      <sheetName val="CES"/>
      <sheetName val="TUM"/>
      <sheetName val="Leasing"/>
      <sheetName val="Indicadores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um"/>
      <sheetName val="ResP&amp;G"/>
      <sheetName val="P&amp;GGer"/>
      <sheetName val="UN"/>
      <sheetName val="UNMes"/>
      <sheetName val="UN_Mes-1"/>
      <sheetName val="UN09"/>
      <sheetName val="UNMes09"/>
      <sheetName val="UN_Mes-1 09"/>
      <sheetName val="Gastos"/>
      <sheetName val="Gastos Mes"/>
      <sheetName val="Ventas"/>
      <sheetName val="Costo"/>
      <sheetName val="FCaja"/>
      <sheetName val="BG"/>
      <sheetName val="N_PG"/>
      <sheetName val="Dispon"/>
      <sheetName val="Invers"/>
      <sheetName val="CartNal"/>
      <sheetName val="CartInt"/>
      <sheetName val="Vincul"/>
      <sheetName val="AnticProv"/>
      <sheetName val="Empl"/>
      <sheetName val="Imp"/>
      <sheetName val="Invent"/>
      <sheetName val="AF"/>
      <sheetName val="Dif"/>
      <sheetName val="ObligFin"/>
      <sheetName val="CxP Socios"/>
      <sheetName val="CxP"/>
      <sheetName val="Provisx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Inicio"/>
      <sheetName val="EEFF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"/>
      <sheetName val="Vivero"/>
      <sheetName val="NS-Rep. Cercas"/>
      <sheetName val="Mejoramiento Suelos"/>
      <sheetName val="Analisis Unitario activadades"/>
      <sheetName val="Inversiones"/>
      <sheetName val="Resumen Inversiones"/>
      <sheetName val="Flujo Caja"/>
      <sheetName val="Ejecutado mes a mes Ajustado"/>
      <sheetName val="Ejecutado mes a mes"/>
      <sheetName val="Laboratorio_S-85-88"/>
      <sheetName val="Salud Ocupacional"/>
      <sheetName val="Horas - Maquinaria"/>
      <sheetName val="Otras Labores Campo"/>
      <sheetName val="Costos Unitarios 1.124 Ha"/>
      <sheetName val="Estado de Resultados 1124 Ha"/>
      <sheetName val="Rmen Labores Campo S98-99"/>
      <sheetName val="Rmen Labores Campo S85-88"/>
      <sheetName val="Resumen"/>
      <sheetName val="% Prest_Labores"/>
      <sheetName val="Tarifas"/>
      <sheetName val="Cantida_Labores"/>
      <sheetName val="NS-Kudzu"/>
      <sheetName val="SN-AplicaciónRaquis"/>
      <sheetName val="NS-Cosecha 98-99"/>
      <sheetName val="NS-Calles y Vias"/>
      <sheetName val="NS-Sanidad Vegetal"/>
      <sheetName val="NS-Fumigación canales "/>
      <sheetName val="NS-Recaba de Canales"/>
      <sheetName val="NS-Limpia de Canales"/>
      <sheetName val="NS-Riego de Palma"/>
      <sheetName val="SN-LimpiezaMaleza"/>
      <sheetName val="SN-Fertilización"/>
      <sheetName val="SN-Macaneo"/>
      <sheetName val="SN-Poda Palma"/>
      <sheetName val="SN-Plateo Qumico"/>
      <sheetName val="SN-Plateo Manual"/>
      <sheetName val="Labor Rep. de Cercas"/>
      <sheetName val="Labor Riego de palma"/>
      <sheetName val="Labor Sanidad Vegetal"/>
      <sheetName val="Labor Mantto calles y vias"/>
      <sheetName val="Labor Fumigación Canales Riego"/>
      <sheetName val="Labor Recaba de Canales"/>
      <sheetName val="Limpia Manual de Canales"/>
      <sheetName val="Labor Fertilización"/>
      <sheetName val="Labor Macaneo"/>
      <sheetName val="Labor Plateo Quimico"/>
      <sheetName val="Labor Plateo Manual"/>
      <sheetName val="Labor Poda de Palma"/>
      <sheetName val="Labor Cargue de Fruta"/>
      <sheetName val="Labor Corte de Fruta"/>
      <sheetName val="Salarios &amp; Beneficios"/>
      <sheetName val="CalculoSalarios"/>
      <sheetName val="Personal"/>
      <sheetName val="Eventos Especiales"/>
      <sheetName val="Servicios Contratados"/>
      <sheetName val="Gtos Generales"/>
      <sheetName val="Gastos de Viaje"/>
      <sheetName val="Seguros"/>
      <sheetName val="MaterialesXarea"/>
      <sheetName val="Plan de Compra"/>
      <sheetName val="OjoMtrBorrar"/>
      <sheetName val="Amortización"/>
      <sheetName val="OB-Bancarias"/>
      <sheetName val="Impuestos"/>
      <sheetName val="Contribuciones"/>
      <sheetName val="Ingresos"/>
      <sheetName val="Vacaciones"/>
      <sheetName val="Indi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um"/>
      <sheetName val="ResP&amp;G"/>
      <sheetName val="P&amp;GGer"/>
      <sheetName val="UN"/>
      <sheetName val="UNMes"/>
      <sheetName val="UN_Mes-1"/>
      <sheetName val="UN 2007"/>
      <sheetName val="Ventas"/>
      <sheetName val="Costo"/>
      <sheetName val="Gastos"/>
      <sheetName val="Gastos Mes"/>
      <sheetName val="FCaja"/>
      <sheetName val="BG"/>
      <sheetName val="BGAjust"/>
      <sheetName val="N_PG"/>
      <sheetName val="N_PG Otros"/>
      <sheetName val="Dispon"/>
      <sheetName val="Invers"/>
      <sheetName val="CartNal"/>
      <sheetName val="CartInt"/>
      <sheetName val="Vincul"/>
      <sheetName val="AnticProv"/>
      <sheetName val="Empl"/>
      <sheetName val="Imp"/>
      <sheetName val="Invent"/>
      <sheetName val="AF"/>
      <sheetName val="Dif"/>
      <sheetName val="ObligFin"/>
      <sheetName val="ObligFin2"/>
      <sheetName val="CxP"/>
      <sheetName val="Provisx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AC413-0AD5-4730-B622-0D7FA2244B93}">
  <dimension ref="A2:AH202"/>
  <sheetViews>
    <sheetView topLeftCell="A196" zoomScale="115" zoomScaleNormal="115" workbookViewId="0">
      <selection activeCell="B200" sqref="B200:F202"/>
    </sheetView>
  </sheetViews>
  <sheetFormatPr baseColWidth="10" defaultRowHeight="15" x14ac:dyDescent="0.25"/>
  <cols>
    <col min="5" max="5" width="15" bestFit="1" customWidth="1"/>
  </cols>
  <sheetData>
    <row r="2" spans="2:4" x14ac:dyDescent="0.25">
      <c r="B2" t="s">
        <v>0</v>
      </c>
      <c r="C2">
        <v>5</v>
      </c>
      <c r="D2" t="s">
        <v>1</v>
      </c>
    </row>
    <row r="3" spans="2:4" x14ac:dyDescent="0.25">
      <c r="B3" t="s">
        <v>2</v>
      </c>
      <c r="C3">
        <v>1000</v>
      </c>
    </row>
    <row r="4" spans="2:4" x14ac:dyDescent="0.25">
      <c r="B4" t="s">
        <v>3</v>
      </c>
      <c r="C4">
        <v>0.05</v>
      </c>
    </row>
    <row r="5" spans="2:4" x14ac:dyDescent="0.25">
      <c r="B5" t="s">
        <v>4</v>
      </c>
      <c r="C5" s="1">
        <v>957.35</v>
      </c>
    </row>
    <row r="7" spans="2:4" x14ac:dyDescent="0.25">
      <c r="B7" t="s">
        <v>5</v>
      </c>
      <c r="C7">
        <f>+(C4*C3)/2</f>
        <v>25</v>
      </c>
      <c r="D7" t="s">
        <v>6</v>
      </c>
    </row>
    <row r="9" spans="2:4" x14ac:dyDescent="0.25">
      <c r="B9" s="2" t="s">
        <v>7</v>
      </c>
      <c r="C9" s="2" t="s">
        <v>8</v>
      </c>
    </row>
    <row r="10" spans="2:4" x14ac:dyDescent="0.25">
      <c r="B10" s="2">
        <v>0</v>
      </c>
      <c r="C10" s="3">
        <f>-C5</f>
        <v>-957.35</v>
      </c>
    </row>
    <row r="11" spans="2:4" x14ac:dyDescent="0.25">
      <c r="B11" s="2">
        <v>0.5</v>
      </c>
      <c r="C11" s="2">
        <f>+$C$7</f>
        <v>25</v>
      </c>
    </row>
    <row r="12" spans="2:4" x14ac:dyDescent="0.25">
      <c r="B12" s="2">
        <v>1</v>
      </c>
      <c r="C12" s="2">
        <f t="shared" ref="C12:C19" si="0">+$C$7</f>
        <v>25</v>
      </c>
    </row>
    <row r="13" spans="2:4" x14ac:dyDescent="0.25">
      <c r="B13" s="2">
        <v>1.5</v>
      </c>
      <c r="C13" s="2">
        <f t="shared" si="0"/>
        <v>25</v>
      </c>
    </row>
    <row r="14" spans="2:4" x14ac:dyDescent="0.25">
      <c r="B14" s="2">
        <v>2</v>
      </c>
      <c r="C14" s="2">
        <f t="shared" si="0"/>
        <v>25</v>
      </c>
    </row>
    <row r="15" spans="2:4" x14ac:dyDescent="0.25">
      <c r="B15" s="2">
        <v>2.5</v>
      </c>
      <c r="C15" s="2">
        <f t="shared" si="0"/>
        <v>25</v>
      </c>
    </row>
    <row r="16" spans="2:4" x14ac:dyDescent="0.25">
      <c r="B16" s="2">
        <v>3</v>
      </c>
      <c r="C16" s="2">
        <f t="shared" si="0"/>
        <v>25</v>
      </c>
    </row>
    <row r="17" spans="2:5" x14ac:dyDescent="0.25">
      <c r="B17" s="2">
        <v>3.5</v>
      </c>
      <c r="C17" s="2">
        <f t="shared" si="0"/>
        <v>25</v>
      </c>
    </row>
    <row r="18" spans="2:5" x14ac:dyDescent="0.25">
      <c r="B18" s="2">
        <v>4</v>
      </c>
      <c r="C18" s="2">
        <f t="shared" si="0"/>
        <v>25</v>
      </c>
    </row>
    <row r="19" spans="2:5" x14ac:dyDescent="0.25">
      <c r="B19" s="2">
        <v>4.5</v>
      </c>
      <c r="C19" s="2">
        <f t="shared" si="0"/>
        <v>25</v>
      </c>
    </row>
    <row r="20" spans="2:5" x14ac:dyDescent="0.25">
      <c r="B20" s="2">
        <v>5</v>
      </c>
      <c r="C20" s="2">
        <f>+$C$7+C3</f>
        <v>1025</v>
      </c>
    </row>
    <row r="22" spans="2:5" x14ac:dyDescent="0.25">
      <c r="B22" t="s">
        <v>9</v>
      </c>
      <c r="C22" s="4">
        <f>+IRR(C10:C20)</f>
        <v>2.9999877997006985E-2</v>
      </c>
      <c r="D22" t="s">
        <v>10</v>
      </c>
    </row>
    <row r="23" spans="2:5" x14ac:dyDescent="0.25">
      <c r="B23" t="s">
        <v>11</v>
      </c>
    </row>
    <row r="24" spans="2:5" x14ac:dyDescent="0.25">
      <c r="B24" t="s">
        <v>9</v>
      </c>
      <c r="C24" s="5">
        <f>+C22*2</f>
        <v>5.999975599401397E-2</v>
      </c>
      <c r="D24" t="s">
        <v>12</v>
      </c>
    </row>
    <row r="31" spans="2:5" x14ac:dyDescent="0.25">
      <c r="B31" t="s">
        <v>13</v>
      </c>
      <c r="C31" s="6">
        <v>6.7000000000000004E-2</v>
      </c>
    </row>
    <row r="32" spans="2:5" x14ac:dyDescent="0.25">
      <c r="B32" t="s">
        <v>14</v>
      </c>
      <c r="C32">
        <f>+C31/2</f>
        <v>3.3500000000000002E-2</v>
      </c>
      <c r="D32" t="s">
        <v>15</v>
      </c>
      <c r="E32" s="7">
        <f>+NPV(C32,C42:C51)</f>
        <v>928.77136307059061</v>
      </c>
    </row>
    <row r="33" spans="2:6" x14ac:dyDescent="0.25">
      <c r="B33" t="s">
        <v>0</v>
      </c>
      <c r="C33">
        <v>5</v>
      </c>
      <c r="D33" t="s">
        <v>1</v>
      </c>
    </row>
    <row r="34" spans="2:6" x14ac:dyDescent="0.25">
      <c r="B34" t="s">
        <v>2</v>
      </c>
      <c r="C34">
        <v>1000</v>
      </c>
    </row>
    <row r="35" spans="2:6" x14ac:dyDescent="0.25">
      <c r="B35" t="s">
        <v>3</v>
      </c>
      <c r="C35">
        <v>0.05</v>
      </c>
    </row>
    <row r="36" spans="2:6" x14ac:dyDescent="0.25">
      <c r="B36" t="s">
        <v>4</v>
      </c>
      <c r="C36" s="1">
        <v>928.77134605234596</v>
      </c>
    </row>
    <row r="38" spans="2:6" x14ac:dyDescent="0.25">
      <c r="B38" t="s">
        <v>5</v>
      </c>
      <c r="C38">
        <f>+(C35*C34)/2</f>
        <v>25</v>
      </c>
      <c r="D38" t="s">
        <v>6</v>
      </c>
    </row>
    <row r="40" spans="2:6" x14ac:dyDescent="0.25">
      <c r="B40" s="2" t="s">
        <v>7</v>
      </c>
      <c r="C40" s="2" t="s">
        <v>8</v>
      </c>
      <c r="F40" t="s">
        <v>16</v>
      </c>
    </row>
    <row r="41" spans="2:6" x14ac:dyDescent="0.25">
      <c r="B41" s="2">
        <v>0</v>
      </c>
      <c r="C41" s="8">
        <f>-E32</f>
        <v>-928.77136307059061</v>
      </c>
    </row>
    <row r="42" spans="2:6" x14ac:dyDescent="0.25">
      <c r="B42" s="2">
        <v>0.5</v>
      </c>
      <c r="C42" s="2">
        <f>+$C$7</f>
        <v>25</v>
      </c>
    </row>
    <row r="43" spans="2:6" x14ac:dyDescent="0.25">
      <c r="B43" s="2">
        <v>1</v>
      </c>
      <c r="C43" s="2">
        <f t="shared" ref="C43:C50" si="1">+$C$7</f>
        <v>25</v>
      </c>
    </row>
    <row r="44" spans="2:6" x14ac:dyDescent="0.25">
      <c r="B44" s="2">
        <v>1.5</v>
      </c>
      <c r="C44" s="2">
        <f t="shared" si="1"/>
        <v>25</v>
      </c>
    </row>
    <row r="45" spans="2:6" x14ac:dyDescent="0.25">
      <c r="B45" s="2">
        <v>2</v>
      </c>
      <c r="C45" s="2">
        <f t="shared" si="1"/>
        <v>25</v>
      </c>
    </row>
    <row r="46" spans="2:6" x14ac:dyDescent="0.25">
      <c r="B46" s="2">
        <v>2.5</v>
      </c>
      <c r="C46" s="2">
        <f t="shared" si="1"/>
        <v>25</v>
      </c>
    </row>
    <row r="47" spans="2:6" x14ac:dyDescent="0.25">
      <c r="B47" s="2">
        <v>3</v>
      </c>
      <c r="C47" s="2">
        <f t="shared" si="1"/>
        <v>25</v>
      </c>
    </row>
    <row r="48" spans="2:6" x14ac:dyDescent="0.25">
      <c r="B48" s="2">
        <v>3.5</v>
      </c>
      <c r="C48" s="2">
        <f t="shared" si="1"/>
        <v>25</v>
      </c>
    </row>
    <row r="49" spans="2:21" x14ac:dyDescent="0.25">
      <c r="B49" s="2">
        <v>4</v>
      </c>
      <c r="C49" s="2">
        <f t="shared" si="1"/>
        <v>25</v>
      </c>
    </row>
    <row r="50" spans="2:21" x14ac:dyDescent="0.25">
      <c r="B50" s="2">
        <v>4.5</v>
      </c>
      <c r="C50" s="2">
        <f t="shared" si="1"/>
        <v>25</v>
      </c>
    </row>
    <row r="51" spans="2:21" x14ac:dyDescent="0.25">
      <c r="B51" s="2">
        <v>5</v>
      </c>
      <c r="C51" s="2">
        <f>+$C$7+C34</f>
        <v>1025</v>
      </c>
    </row>
    <row r="52" spans="2:21" x14ac:dyDescent="0.25">
      <c r="C52" s="9">
        <f>+IRR(C41:C51)</f>
        <v>3.3500000001070562E-2</v>
      </c>
    </row>
    <row r="61" spans="2:21" x14ac:dyDescent="0.25">
      <c r="S61" t="s">
        <v>0</v>
      </c>
      <c r="T61">
        <v>5</v>
      </c>
      <c r="U61" t="s">
        <v>1</v>
      </c>
    </row>
    <row r="62" spans="2:21" x14ac:dyDescent="0.25">
      <c r="B62" t="s">
        <v>0</v>
      </c>
      <c r="C62">
        <v>30</v>
      </c>
      <c r="D62" t="s">
        <v>1</v>
      </c>
      <c r="S62" t="s">
        <v>2</v>
      </c>
      <c r="T62">
        <v>1000</v>
      </c>
    </row>
    <row r="63" spans="2:21" x14ac:dyDescent="0.25">
      <c r="B63" t="s">
        <v>2</v>
      </c>
      <c r="C63">
        <v>1000</v>
      </c>
      <c r="S63" t="s">
        <v>3</v>
      </c>
      <c r="T63">
        <v>0.05</v>
      </c>
    </row>
    <row r="64" spans="2:21" x14ac:dyDescent="0.25">
      <c r="B64" t="s">
        <v>3</v>
      </c>
      <c r="C64">
        <v>7.0000000000000007E-2</v>
      </c>
      <c r="S64" t="s">
        <v>4</v>
      </c>
      <c r="T64" s="1">
        <v>957.35</v>
      </c>
    </row>
    <row r="65" spans="2:34" x14ac:dyDescent="0.25">
      <c r="B65" t="s">
        <v>4</v>
      </c>
      <c r="C65" s="1">
        <v>957.35</v>
      </c>
    </row>
    <row r="66" spans="2:34" x14ac:dyDescent="0.25">
      <c r="S66" t="s">
        <v>5</v>
      </c>
      <c r="T66">
        <f>+(T63*T62)/2</f>
        <v>25</v>
      </c>
      <c r="U66" t="s">
        <v>6</v>
      </c>
    </row>
    <row r="67" spans="2:34" x14ac:dyDescent="0.25">
      <c r="B67" t="s">
        <v>5</v>
      </c>
      <c r="C67">
        <f>+(C64*C63)/2</f>
        <v>35</v>
      </c>
      <c r="D67" t="s">
        <v>6</v>
      </c>
    </row>
    <row r="68" spans="2:34" x14ac:dyDescent="0.25">
      <c r="D68" s="4">
        <v>0.02</v>
      </c>
      <c r="E68" s="4">
        <v>0.03</v>
      </c>
      <c r="F68" s="4">
        <v>0.04</v>
      </c>
      <c r="G68" s="4">
        <v>0.05</v>
      </c>
      <c r="H68" s="4">
        <v>0.06</v>
      </c>
      <c r="I68" s="4">
        <v>7.0000000000000007E-2</v>
      </c>
      <c r="J68" s="4">
        <v>0.08</v>
      </c>
      <c r="K68" s="4">
        <v>0.09</v>
      </c>
      <c r="L68" s="4">
        <v>0.1</v>
      </c>
      <c r="M68" s="4">
        <v>0.11</v>
      </c>
      <c r="N68" s="4">
        <v>0.12</v>
      </c>
      <c r="O68" s="4">
        <v>0.13</v>
      </c>
      <c r="P68" s="4">
        <v>0.14000000000000001</v>
      </c>
      <c r="Q68" s="4">
        <v>0.15</v>
      </c>
    </row>
    <row r="69" spans="2:34" x14ac:dyDescent="0.25">
      <c r="B69" s="2" t="s">
        <v>7</v>
      </c>
      <c r="C69" s="2" t="s">
        <v>8</v>
      </c>
      <c r="D69" s="4">
        <f>+D68/2</f>
        <v>0.01</v>
      </c>
      <c r="E69" s="4">
        <f t="shared" ref="E69:Q69" si="2">+E68/2</f>
        <v>1.4999999999999999E-2</v>
      </c>
      <c r="F69" s="4">
        <f t="shared" si="2"/>
        <v>0.02</v>
      </c>
      <c r="G69" s="4">
        <f t="shared" si="2"/>
        <v>2.5000000000000001E-2</v>
      </c>
      <c r="H69" s="4">
        <f t="shared" si="2"/>
        <v>0.03</v>
      </c>
      <c r="I69" s="4">
        <f t="shared" si="2"/>
        <v>3.5000000000000003E-2</v>
      </c>
      <c r="J69" s="4">
        <f t="shared" si="2"/>
        <v>0.04</v>
      </c>
      <c r="K69" s="4">
        <f t="shared" si="2"/>
        <v>4.4999999999999998E-2</v>
      </c>
      <c r="L69" s="4">
        <f t="shared" si="2"/>
        <v>0.05</v>
      </c>
      <c r="M69" s="4">
        <f t="shared" si="2"/>
        <v>5.5E-2</v>
      </c>
      <c r="N69" s="4">
        <f t="shared" si="2"/>
        <v>0.06</v>
      </c>
      <c r="O69" s="4">
        <f t="shared" si="2"/>
        <v>6.5000000000000002E-2</v>
      </c>
      <c r="P69" s="4">
        <f t="shared" si="2"/>
        <v>7.0000000000000007E-2</v>
      </c>
      <c r="Q69" s="4">
        <f t="shared" si="2"/>
        <v>7.4999999999999997E-2</v>
      </c>
      <c r="S69" s="2" t="s">
        <v>7</v>
      </c>
      <c r="T69" s="2" t="s">
        <v>8</v>
      </c>
      <c r="U69" s="4">
        <v>0.01</v>
      </c>
      <c r="V69" s="4">
        <v>1.4999999999999999E-2</v>
      </c>
      <c r="W69" s="4">
        <v>0.02</v>
      </c>
      <c r="X69" s="4">
        <v>2.5000000000000001E-2</v>
      </c>
      <c r="Y69" s="4">
        <v>0.03</v>
      </c>
      <c r="Z69" s="4">
        <v>3.5000000000000003E-2</v>
      </c>
      <c r="AA69" s="4">
        <v>0.04</v>
      </c>
      <c r="AB69" s="4">
        <v>4.4999999999999998E-2</v>
      </c>
      <c r="AC69" s="4">
        <v>0.05</v>
      </c>
      <c r="AD69" s="4">
        <v>5.5E-2</v>
      </c>
      <c r="AE69" s="4">
        <v>0.06</v>
      </c>
      <c r="AF69" s="4">
        <v>6.5000000000000002E-2</v>
      </c>
      <c r="AG69" s="4">
        <v>7.0000000000000007E-2</v>
      </c>
      <c r="AH69" s="4">
        <v>7.4999999999999997E-2</v>
      </c>
    </row>
    <row r="70" spans="2:34" x14ac:dyDescent="0.25">
      <c r="B70" s="2">
        <v>0</v>
      </c>
      <c r="C70" s="8"/>
      <c r="D70" s="7">
        <f>+NPV(D69,$C$71:$C$130)</f>
        <v>2123.8759601555989</v>
      </c>
      <c r="E70" s="7">
        <f t="shared" ref="E70:Q70" si="3">+NPV(E69,$C$71:$C$130)</f>
        <v>1787.6053777068669</v>
      </c>
      <c r="F70" s="7">
        <f t="shared" si="3"/>
        <v>1521.4133001556968</v>
      </c>
      <c r="G70" s="7">
        <f t="shared" si="3"/>
        <v>1309.086564850579</v>
      </c>
      <c r="H70" s="7">
        <f t="shared" si="3"/>
        <v>1138.3778183305963</v>
      </c>
      <c r="I70" s="7">
        <f t="shared" si="3"/>
        <v>1000.0000000000025</v>
      </c>
      <c r="J70" s="7">
        <f t="shared" si="3"/>
        <v>886.88255012761249</v>
      </c>
      <c r="K70" s="7">
        <f t="shared" si="3"/>
        <v>793.61977961794355</v>
      </c>
      <c r="L70" s="7">
        <f t="shared" si="3"/>
        <v>716.06065712394764</v>
      </c>
      <c r="M70" s="7">
        <f t="shared" si="3"/>
        <v>651.00291672414278</v>
      </c>
      <c r="N70" s="7">
        <f t="shared" si="3"/>
        <v>595.96430736904858</v>
      </c>
      <c r="O70" s="7">
        <f t="shared" si="3"/>
        <v>549.01102765496682</v>
      </c>
      <c r="P70" s="7">
        <f t="shared" si="3"/>
        <v>508.6286597347534</v>
      </c>
      <c r="Q70" s="7">
        <f t="shared" si="3"/>
        <v>473.62476998018269</v>
      </c>
      <c r="S70" s="2">
        <v>0</v>
      </c>
      <c r="T70" s="3"/>
      <c r="U70" s="7">
        <f>+NPV(U69,$T$71:$T$80)</f>
        <v>1142.0695679605251</v>
      </c>
      <c r="V70" s="7">
        <f t="shared" ref="V70:AH70" si="4">+NPV(V69,$T$71:$T$80)</f>
        <v>1092.2218455185455</v>
      </c>
      <c r="W70" s="7">
        <f t="shared" si="4"/>
        <v>1044.9129250312112</v>
      </c>
      <c r="X70" s="7">
        <f t="shared" si="4"/>
        <v>1000.0000000000008</v>
      </c>
      <c r="Y70" s="7">
        <f t="shared" si="4"/>
        <v>957.3489858161206</v>
      </c>
      <c r="Z70" s="7">
        <f t="shared" si="4"/>
        <v>916.83394677422109</v>
      </c>
      <c r="AA70" s="7">
        <f t="shared" si="4"/>
        <v>878.33656330967426</v>
      </c>
      <c r="AB70" s="7">
        <f t="shared" si="4"/>
        <v>841.7456364577971</v>
      </c>
      <c r="AC70" s="7">
        <f t="shared" si="4"/>
        <v>806.95662677037944</v>
      </c>
      <c r="AD70" s="7">
        <f t="shared" si="4"/>
        <v>773.87122514233135</v>
      </c>
      <c r="AE70" s="7">
        <f t="shared" si="4"/>
        <v>742.39695320048531</v>
      </c>
      <c r="AF70" s="7">
        <f t="shared" si="4"/>
        <v>712.44679108955631</v>
      </c>
      <c r="AG70" s="7">
        <f t="shared" si="4"/>
        <v>683.93883065803254</v>
      </c>
      <c r="AH70" s="7">
        <f t="shared" si="4"/>
        <v>656.79595220097622</v>
      </c>
    </row>
    <row r="71" spans="2:34" x14ac:dyDescent="0.25">
      <c r="B71" s="2">
        <v>0.5</v>
      </c>
      <c r="C71" s="2">
        <f>+$C$67</f>
        <v>35</v>
      </c>
      <c r="D71" s="7" cm="1">
        <f t="array" ref="D71:Q71">+U70:AH70</f>
        <v>1142.0695679605251</v>
      </c>
      <c r="E71">
        <v>1092.2218455185455</v>
      </c>
      <c r="F71">
        <v>1044.9129250312112</v>
      </c>
      <c r="G71">
        <v>1000.0000000000008</v>
      </c>
      <c r="H71">
        <v>957.3489858161206</v>
      </c>
      <c r="I71">
        <v>916.83394677422109</v>
      </c>
      <c r="J71">
        <v>878.33656330967426</v>
      </c>
      <c r="K71">
        <v>841.7456364577971</v>
      </c>
      <c r="L71">
        <v>806.95662677037944</v>
      </c>
      <c r="M71">
        <v>773.87122514233135</v>
      </c>
      <c r="N71">
        <v>742.39695320048531</v>
      </c>
      <c r="O71">
        <v>712.44679108955631</v>
      </c>
      <c r="P71">
        <v>683.93883065803254</v>
      </c>
      <c r="Q71">
        <v>656.79595220097622</v>
      </c>
      <c r="S71" s="2">
        <v>0.5</v>
      </c>
      <c r="T71" s="2">
        <f>$T$66</f>
        <v>25</v>
      </c>
    </row>
    <row r="72" spans="2:34" x14ac:dyDescent="0.25">
      <c r="B72" s="2">
        <v>1</v>
      </c>
      <c r="C72" s="2">
        <f t="shared" ref="C72:C129" si="5">+$C$67</f>
        <v>35</v>
      </c>
      <c r="S72" s="2">
        <v>1</v>
      </c>
      <c r="T72" s="2">
        <f t="shared" ref="T72:T79" si="6">$T$66</f>
        <v>25</v>
      </c>
    </row>
    <row r="73" spans="2:34" x14ac:dyDescent="0.25">
      <c r="B73" s="2">
        <v>1.5</v>
      </c>
      <c r="C73" s="2">
        <f t="shared" si="5"/>
        <v>35</v>
      </c>
      <c r="S73" s="2">
        <v>1.5</v>
      </c>
      <c r="T73" s="2">
        <f t="shared" si="6"/>
        <v>25</v>
      </c>
    </row>
    <row r="74" spans="2:34" x14ac:dyDescent="0.25">
      <c r="B74" s="2">
        <v>2</v>
      </c>
      <c r="C74" s="2">
        <f t="shared" si="5"/>
        <v>35</v>
      </c>
      <c r="E74" t="s">
        <v>17</v>
      </c>
      <c r="F74" s="4">
        <v>0.05</v>
      </c>
      <c r="S74" s="2">
        <v>2</v>
      </c>
      <c r="T74" s="2">
        <f t="shared" si="6"/>
        <v>25</v>
      </c>
    </row>
    <row r="75" spans="2:34" x14ac:dyDescent="0.25">
      <c r="B75" s="2">
        <v>2.5</v>
      </c>
      <c r="C75" s="2">
        <f t="shared" si="5"/>
        <v>35</v>
      </c>
      <c r="S75" s="2">
        <v>2.5</v>
      </c>
      <c r="T75" s="2">
        <f t="shared" si="6"/>
        <v>25</v>
      </c>
    </row>
    <row r="76" spans="2:34" x14ac:dyDescent="0.25">
      <c r="B76" s="2">
        <v>3</v>
      </c>
      <c r="C76" s="2">
        <f t="shared" si="5"/>
        <v>35</v>
      </c>
      <c r="E76" t="s">
        <v>18</v>
      </c>
      <c r="F76" s="7">
        <f>+NPV((F74/2),$C$71:$C$130)</f>
        <v>1309.086564850579</v>
      </c>
      <c r="S76" s="2">
        <v>3</v>
      </c>
      <c r="T76" s="2">
        <f t="shared" si="6"/>
        <v>25</v>
      </c>
    </row>
    <row r="77" spans="2:34" x14ac:dyDescent="0.25">
      <c r="B77" s="2">
        <v>3.5</v>
      </c>
      <c r="C77" s="2">
        <f t="shared" si="5"/>
        <v>35</v>
      </c>
      <c r="E77" t="s">
        <v>19</v>
      </c>
      <c r="F77" s="7">
        <f>+NPV((F74/2),$T$71:$T$80)</f>
        <v>1000.0000000000008</v>
      </c>
      <c r="S77" s="2">
        <v>3.5</v>
      </c>
      <c r="T77" s="2">
        <f t="shared" si="6"/>
        <v>25</v>
      </c>
    </row>
    <row r="78" spans="2:34" x14ac:dyDescent="0.25">
      <c r="B78" s="2">
        <v>4</v>
      </c>
      <c r="C78" s="2">
        <f t="shared" si="5"/>
        <v>35</v>
      </c>
      <c r="S78" s="2">
        <v>4</v>
      </c>
      <c r="T78" s="2">
        <f t="shared" si="6"/>
        <v>25</v>
      </c>
    </row>
    <row r="79" spans="2:34" x14ac:dyDescent="0.25">
      <c r="B79" s="2">
        <v>4.5</v>
      </c>
      <c r="C79" s="2">
        <f t="shared" si="5"/>
        <v>35</v>
      </c>
      <c r="F79" s="7">
        <f>+F76</f>
        <v>1309.086564850579</v>
      </c>
      <c r="H79" s="7">
        <f>+F77</f>
        <v>1000.0000000000008</v>
      </c>
      <c r="S79" s="2">
        <v>4.5</v>
      </c>
      <c r="T79" s="2">
        <f t="shared" si="6"/>
        <v>25</v>
      </c>
    </row>
    <row r="80" spans="2:34" x14ac:dyDescent="0.25">
      <c r="B80" s="2">
        <v>5</v>
      </c>
      <c r="C80" s="2">
        <f t="shared" si="5"/>
        <v>35</v>
      </c>
      <c r="E80" s="4">
        <v>0.02</v>
      </c>
      <c r="F80" s="1">
        <f t="dataTable" ref="F80:F93" dt2D="0" dtr="0" r1="F74" ca="1"/>
        <v>2123.8759601555989</v>
      </c>
      <c r="G80" s="4">
        <v>0.02</v>
      </c>
      <c r="H80" s="1">
        <f t="dataTable" ref="H80:H93" dt2D="0" dtr="0" r1="F74"/>
        <v>1142.0695679605251</v>
      </c>
      <c r="S80" s="2">
        <v>5</v>
      </c>
      <c r="T80" s="2">
        <f>$T$66+T62</f>
        <v>1025</v>
      </c>
    </row>
    <row r="81" spans="2:11" x14ac:dyDescent="0.25">
      <c r="B81" s="2">
        <v>5.5</v>
      </c>
      <c r="C81" s="2">
        <f t="shared" si="5"/>
        <v>35</v>
      </c>
      <c r="E81" s="4">
        <v>0.03</v>
      </c>
      <c r="F81" s="1">
        <v>1787.6053777068669</v>
      </c>
      <c r="G81" s="4">
        <v>0.03</v>
      </c>
      <c r="H81" s="1">
        <v>1092.2218455185455</v>
      </c>
    </row>
    <row r="82" spans="2:11" x14ac:dyDescent="0.25">
      <c r="B82" s="2">
        <v>6</v>
      </c>
      <c r="C82" s="2">
        <f t="shared" si="5"/>
        <v>35</v>
      </c>
      <c r="E82" s="4">
        <v>0.04</v>
      </c>
      <c r="F82" s="1">
        <v>1521.4133001556968</v>
      </c>
      <c r="G82" s="4">
        <v>0.04</v>
      </c>
      <c r="H82" s="1">
        <v>1044.9129250312112</v>
      </c>
    </row>
    <row r="83" spans="2:11" x14ac:dyDescent="0.25">
      <c r="B83" s="2">
        <v>6.5</v>
      </c>
      <c r="C83" s="2">
        <f t="shared" si="5"/>
        <v>35</v>
      </c>
      <c r="E83" s="4">
        <v>0.05</v>
      </c>
      <c r="F83" s="1">
        <v>1309.086564850579</v>
      </c>
      <c r="G83" s="4">
        <v>0.05</v>
      </c>
      <c r="H83" s="1">
        <v>1000.0000000000008</v>
      </c>
    </row>
    <row r="84" spans="2:11" x14ac:dyDescent="0.25">
      <c r="B84" s="2">
        <v>7</v>
      </c>
      <c r="C84" s="2">
        <f t="shared" si="5"/>
        <v>35</v>
      </c>
      <c r="E84" s="4">
        <v>0.06</v>
      </c>
      <c r="F84" s="1">
        <v>1138.3778183305963</v>
      </c>
      <c r="G84" s="4">
        <v>0.06</v>
      </c>
      <c r="H84" s="1">
        <v>957.3489858161206</v>
      </c>
    </row>
    <row r="85" spans="2:11" x14ac:dyDescent="0.25">
      <c r="B85" s="2">
        <v>7.5</v>
      </c>
      <c r="C85" s="2">
        <f t="shared" si="5"/>
        <v>35</v>
      </c>
      <c r="E85" s="4">
        <v>7.0000000000000007E-2</v>
      </c>
      <c r="F85" s="1">
        <v>1000.0000000000025</v>
      </c>
      <c r="G85" s="4">
        <v>7.0000000000000007E-2</v>
      </c>
      <c r="H85" s="1">
        <v>916.83394677422109</v>
      </c>
    </row>
    <row r="86" spans="2:11" x14ac:dyDescent="0.25">
      <c r="B86" s="2">
        <v>8</v>
      </c>
      <c r="C86" s="2">
        <f t="shared" si="5"/>
        <v>35</v>
      </c>
      <c r="E86" s="4">
        <v>0.08</v>
      </c>
      <c r="F86" s="1">
        <v>886.88255012761249</v>
      </c>
      <c r="G86" s="4">
        <v>0.08</v>
      </c>
      <c r="H86" s="1">
        <v>878.33656330967426</v>
      </c>
    </row>
    <row r="87" spans="2:11" x14ac:dyDescent="0.25">
      <c r="B87" s="2">
        <v>8.5</v>
      </c>
      <c r="C87" s="2">
        <f t="shared" si="5"/>
        <v>35</v>
      </c>
      <c r="E87" s="4">
        <v>0.09</v>
      </c>
      <c r="F87" s="1">
        <v>793.61977961794355</v>
      </c>
      <c r="G87" s="4">
        <v>0.09</v>
      </c>
      <c r="H87" s="1">
        <v>841.7456364577971</v>
      </c>
    </row>
    <row r="88" spans="2:11" x14ac:dyDescent="0.25">
      <c r="B88" s="2">
        <v>9</v>
      </c>
      <c r="C88" s="2">
        <f t="shared" si="5"/>
        <v>35</v>
      </c>
      <c r="E88" s="4">
        <v>0.1</v>
      </c>
      <c r="F88" s="1">
        <v>716.06065712394764</v>
      </c>
      <c r="G88" s="4">
        <v>0.1</v>
      </c>
      <c r="H88" s="1">
        <v>806.95662677037944</v>
      </c>
    </row>
    <row r="89" spans="2:11" x14ac:dyDescent="0.25">
      <c r="B89" s="2">
        <v>9.5</v>
      </c>
      <c r="C89" s="2">
        <f t="shared" si="5"/>
        <v>35</v>
      </c>
      <c r="E89" s="4">
        <v>0.11</v>
      </c>
      <c r="F89" s="1">
        <v>651.00291672414278</v>
      </c>
      <c r="G89" s="4">
        <v>0.11</v>
      </c>
      <c r="H89" s="1">
        <v>773.87122514233135</v>
      </c>
    </row>
    <row r="90" spans="2:11" x14ac:dyDescent="0.25">
      <c r="B90" s="2">
        <v>10</v>
      </c>
      <c r="C90" s="2">
        <f t="shared" si="5"/>
        <v>35</v>
      </c>
      <c r="E90" s="4">
        <v>0.12</v>
      </c>
      <c r="F90" s="1">
        <v>595.96430736904858</v>
      </c>
      <c r="G90" s="4">
        <v>0.12</v>
      </c>
      <c r="H90" s="1">
        <v>742.39695320048531</v>
      </c>
      <c r="K90" t="s">
        <v>20</v>
      </c>
    </row>
    <row r="91" spans="2:11" x14ac:dyDescent="0.25">
      <c r="B91" s="2">
        <v>10.5</v>
      </c>
      <c r="C91" s="2">
        <f t="shared" si="5"/>
        <v>35</v>
      </c>
      <c r="E91" s="4">
        <v>0.13</v>
      </c>
      <c r="F91" s="1">
        <v>549.01102765496682</v>
      </c>
      <c r="G91" s="4">
        <v>0.13</v>
      </c>
      <c r="H91" s="1">
        <v>712.44679108955631</v>
      </c>
      <c r="K91" t="s">
        <v>21</v>
      </c>
    </row>
    <row r="92" spans="2:11" x14ac:dyDescent="0.25">
      <c r="B92" s="2">
        <v>11</v>
      </c>
      <c r="C92" s="2">
        <f t="shared" si="5"/>
        <v>35</v>
      </c>
      <c r="E92" s="4">
        <v>0.14000000000000001</v>
      </c>
      <c r="F92" s="1">
        <v>508.6286597347534</v>
      </c>
      <c r="G92" s="4">
        <v>0.14000000000000001</v>
      </c>
      <c r="H92" s="1">
        <v>683.93883065803254</v>
      </c>
    </row>
    <row r="93" spans="2:11" x14ac:dyDescent="0.25">
      <c r="B93" s="2">
        <v>11.5</v>
      </c>
      <c r="C93" s="2">
        <f t="shared" si="5"/>
        <v>35</v>
      </c>
      <c r="E93" s="4">
        <v>0.15</v>
      </c>
      <c r="F93" s="1">
        <v>473.62476998018269</v>
      </c>
      <c r="G93" s="4">
        <v>0.15</v>
      </c>
      <c r="H93" s="1">
        <v>656.79595220097622</v>
      </c>
    </row>
    <row r="94" spans="2:11" x14ac:dyDescent="0.25">
      <c r="B94" s="2">
        <v>12</v>
      </c>
      <c r="C94" s="2">
        <f t="shared" si="5"/>
        <v>35</v>
      </c>
    </row>
    <row r="95" spans="2:11" x14ac:dyDescent="0.25">
      <c r="B95" s="2">
        <v>12.5</v>
      </c>
      <c r="C95" s="2">
        <f t="shared" si="5"/>
        <v>35</v>
      </c>
    </row>
    <row r="96" spans="2:11" x14ac:dyDescent="0.25">
      <c r="B96" s="2">
        <v>13</v>
      </c>
      <c r="C96" s="2">
        <f t="shared" si="5"/>
        <v>35</v>
      </c>
    </row>
    <row r="97" spans="2:3" x14ac:dyDescent="0.25">
      <c r="B97" s="2">
        <v>13.5</v>
      </c>
      <c r="C97" s="2">
        <f t="shared" si="5"/>
        <v>35</v>
      </c>
    </row>
    <row r="98" spans="2:3" x14ac:dyDescent="0.25">
      <c r="B98" s="2">
        <v>14</v>
      </c>
      <c r="C98" s="2">
        <f t="shared" si="5"/>
        <v>35</v>
      </c>
    </row>
    <row r="99" spans="2:3" x14ac:dyDescent="0.25">
      <c r="B99" s="2">
        <v>14.5</v>
      </c>
      <c r="C99" s="2">
        <f t="shared" si="5"/>
        <v>35</v>
      </c>
    </row>
    <row r="100" spans="2:3" x14ac:dyDescent="0.25">
      <c r="B100" s="2">
        <v>15</v>
      </c>
      <c r="C100" s="2">
        <f t="shared" si="5"/>
        <v>35</v>
      </c>
    </row>
    <row r="101" spans="2:3" x14ac:dyDescent="0.25">
      <c r="B101" s="2">
        <v>15.5</v>
      </c>
      <c r="C101" s="2">
        <f t="shared" si="5"/>
        <v>35</v>
      </c>
    </row>
    <row r="102" spans="2:3" x14ac:dyDescent="0.25">
      <c r="B102" s="2">
        <v>16</v>
      </c>
      <c r="C102" s="2">
        <f t="shared" si="5"/>
        <v>35</v>
      </c>
    </row>
    <row r="103" spans="2:3" x14ac:dyDescent="0.25">
      <c r="B103" s="2">
        <v>16.5</v>
      </c>
      <c r="C103" s="2">
        <f t="shared" si="5"/>
        <v>35</v>
      </c>
    </row>
    <row r="104" spans="2:3" x14ac:dyDescent="0.25">
      <c r="B104" s="2">
        <v>17</v>
      </c>
      <c r="C104" s="2">
        <f t="shared" si="5"/>
        <v>35</v>
      </c>
    </row>
    <row r="105" spans="2:3" x14ac:dyDescent="0.25">
      <c r="B105" s="2">
        <v>17.5</v>
      </c>
      <c r="C105" s="2">
        <f t="shared" si="5"/>
        <v>35</v>
      </c>
    </row>
    <row r="106" spans="2:3" x14ac:dyDescent="0.25">
      <c r="B106" s="2">
        <v>18</v>
      </c>
      <c r="C106" s="2">
        <f t="shared" si="5"/>
        <v>35</v>
      </c>
    </row>
    <row r="107" spans="2:3" x14ac:dyDescent="0.25">
      <c r="B107" s="2">
        <v>18.5</v>
      </c>
      <c r="C107" s="2">
        <f t="shared" si="5"/>
        <v>35</v>
      </c>
    </row>
    <row r="108" spans="2:3" x14ac:dyDescent="0.25">
      <c r="B108" s="2">
        <v>19</v>
      </c>
      <c r="C108" s="2">
        <f t="shared" si="5"/>
        <v>35</v>
      </c>
    </row>
    <row r="109" spans="2:3" x14ac:dyDescent="0.25">
      <c r="B109" s="2">
        <v>19.5</v>
      </c>
      <c r="C109" s="2">
        <f t="shared" si="5"/>
        <v>35</v>
      </c>
    </row>
    <row r="110" spans="2:3" x14ac:dyDescent="0.25">
      <c r="B110" s="2">
        <v>20</v>
      </c>
      <c r="C110" s="2">
        <f t="shared" si="5"/>
        <v>35</v>
      </c>
    </row>
    <row r="111" spans="2:3" x14ac:dyDescent="0.25">
      <c r="B111" s="2">
        <v>20.5</v>
      </c>
      <c r="C111" s="2">
        <f t="shared" si="5"/>
        <v>35</v>
      </c>
    </row>
    <row r="112" spans="2:3" x14ac:dyDescent="0.25">
      <c r="B112" s="2">
        <v>21</v>
      </c>
      <c r="C112" s="2">
        <f t="shared" si="5"/>
        <v>35</v>
      </c>
    </row>
    <row r="113" spans="2:3" x14ac:dyDescent="0.25">
      <c r="B113" s="2">
        <v>21.5</v>
      </c>
      <c r="C113" s="2">
        <f t="shared" si="5"/>
        <v>35</v>
      </c>
    </row>
    <row r="114" spans="2:3" x14ac:dyDescent="0.25">
      <c r="B114" s="2">
        <v>22</v>
      </c>
      <c r="C114" s="2">
        <f t="shared" si="5"/>
        <v>35</v>
      </c>
    </row>
    <row r="115" spans="2:3" x14ac:dyDescent="0.25">
      <c r="B115" s="2">
        <v>22.5</v>
      </c>
      <c r="C115" s="2">
        <f t="shared" si="5"/>
        <v>35</v>
      </c>
    </row>
    <row r="116" spans="2:3" x14ac:dyDescent="0.25">
      <c r="B116" s="2">
        <v>23</v>
      </c>
      <c r="C116" s="2">
        <f t="shared" si="5"/>
        <v>35</v>
      </c>
    </row>
    <row r="117" spans="2:3" x14ac:dyDescent="0.25">
      <c r="B117" s="2">
        <v>23.5</v>
      </c>
      <c r="C117" s="2">
        <f t="shared" si="5"/>
        <v>35</v>
      </c>
    </row>
    <row r="118" spans="2:3" x14ac:dyDescent="0.25">
      <c r="B118" s="2">
        <v>24</v>
      </c>
      <c r="C118" s="2">
        <f t="shared" si="5"/>
        <v>35</v>
      </c>
    </row>
    <row r="119" spans="2:3" x14ac:dyDescent="0.25">
      <c r="B119" s="2">
        <v>24.5</v>
      </c>
      <c r="C119" s="2">
        <f t="shared" si="5"/>
        <v>35</v>
      </c>
    </row>
    <row r="120" spans="2:3" x14ac:dyDescent="0.25">
      <c r="B120" s="2">
        <v>25</v>
      </c>
      <c r="C120" s="2">
        <f t="shared" si="5"/>
        <v>35</v>
      </c>
    </row>
    <row r="121" spans="2:3" x14ac:dyDescent="0.25">
      <c r="B121" s="2">
        <v>25.5</v>
      </c>
      <c r="C121" s="2">
        <f t="shared" si="5"/>
        <v>35</v>
      </c>
    </row>
    <row r="122" spans="2:3" x14ac:dyDescent="0.25">
      <c r="B122" s="2">
        <v>26</v>
      </c>
      <c r="C122" s="2">
        <f t="shared" si="5"/>
        <v>35</v>
      </c>
    </row>
    <row r="123" spans="2:3" x14ac:dyDescent="0.25">
      <c r="B123" s="2">
        <v>26.5</v>
      </c>
      <c r="C123" s="2">
        <f t="shared" si="5"/>
        <v>35</v>
      </c>
    </row>
    <row r="124" spans="2:3" x14ac:dyDescent="0.25">
      <c r="B124" s="2">
        <v>27</v>
      </c>
      <c r="C124" s="2">
        <f t="shared" si="5"/>
        <v>35</v>
      </c>
    </row>
    <row r="125" spans="2:3" x14ac:dyDescent="0.25">
      <c r="B125" s="2">
        <v>27.5</v>
      </c>
      <c r="C125" s="2">
        <f t="shared" si="5"/>
        <v>35</v>
      </c>
    </row>
    <row r="126" spans="2:3" x14ac:dyDescent="0.25">
      <c r="B126" s="2">
        <v>28</v>
      </c>
      <c r="C126" s="2">
        <f t="shared" si="5"/>
        <v>35</v>
      </c>
    </row>
    <row r="127" spans="2:3" x14ac:dyDescent="0.25">
      <c r="B127" s="2">
        <v>28.5</v>
      </c>
      <c r="C127" s="2">
        <f t="shared" si="5"/>
        <v>35</v>
      </c>
    </row>
    <row r="128" spans="2:3" x14ac:dyDescent="0.25">
      <c r="B128" s="2">
        <v>29</v>
      </c>
      <c r="C128" s="2">
        <f t="shared" si="5"/>
        <v>35</v>
      </c>
    </row>
    <row r="129" spans="2:12" x14ac:dyDescent="0.25">
      <c r="B129" s="2">
        <v>29.5</v>
      </c>
      <c r="C129" s="2">
        <f t="shared" si="5"/>
        <v>35</v>
      </c>
    </row>
    <row r="130" spans="2:12" x14ac:dyDescent="0.25">
      <c r="B130" s="2">
        <v>30</v>
      </c>
      <c r="C130" s="2">
        <f>+$C$67+C63</f>
        <v>1035</v>
      </c>
    </row>
    <row r="132" spans="2:12" x14ac:dyDescent="0.25">
      <c r="L132" t="s">
        <v>22</v>
      </c>
    </row>
    <row r="186" spans="2:6" x14ac:dyDescent="0.25">
      <c r="B186" t="s">
        <v>0</v>
      </c>
      <c r="C186">
        <v>3</v>
      </c>
      <c r="D186" t="s">
        <v>1</v>
      </c>
    </row>
    <row r="187" spans="2:6" x14ac:dyDescent="0.25">
      <c r="B187" t="s">
        <v>2</v>
      </c>
      <c r="C187">
        <v>1000</v>
      </c>
    </row>
    <row r="188" spans="2:6" x14ac:dyDescent="0.25">
      <c r="B188" t="s">
        <v>3</v>
      </c>
      <c r="C188" s="10">
        <v>0.05</v>
      </c>
    </row>
    <row r="189" spans="2:6" x14ac:dyDescent="0.25">
      <c r="B189" t="s">
        <v>14</v>
      </c>
      <c r="C189" s="10">
        <v>0.03</v>
      </c>
      <c r="D189" t="s">
        <v>23</v>
      </c>
      <c r="E189" s="11">
        <f>+C189/2</f>
        <v>1.4999999999999999E-2</v>
      </c>
      <c r="F189" t="s">
        <v>24</v>
      </c>
    </row>
    <row r="191" spans="2:6" x14ac:dyDescent="0.25">
      <c r="B191" t="s">
        <v>5</v>
      </c>
      <c r="C191">
        <f>+(C188*C187)/2</f>
        <v>25</v>
      </c>
      <c r="D191" t="s">
        <v>6</v>
      </c>
    </row>
    <row r="193" spans="1:6" x14ac:dyDescent="0.25">
      <c r="A193" t="s">
        <v>7</v>
      </c>
      <c r="B193" s="2" t="s">
        <v>25</v>
      </c>
      <c r="C193" s="12" t="s">
        <v>8</v>
      </c>
      <c r="D193" s="12" t="s">
        <v>26</v>
      </c>
      <c r="E193" s="12" t="s">
        <v>27</v>
      </c>
      <c r="F193" s="12" t="s">
        <v>28</v>
      </c>
    </row>
    <row r="194" spans="1:6" x14ac:dyDescent="0.25">
      <c r="A194">
        <v>1</v>
      </c>
      <c r="B194" s="2">
        <v>0.5</v>
      </c>
      <c r="C194" s="12">
        <f>+$C$191</f>
        <v>25</v>
      </c>
      <c r="D194" s="13">
        <f>+(1+$E$189)^-A194</f>
        <v>0.98522167487684742</v>
      </c>
      <c r="E194" s="14">
        <f>+D194*C194</f>
        <v>24.630541871921185</v>
      </c>
      <c r="F194" s="2">
        <f>+B194*E194</f>
        <v>12.315270935960593</v>
      </c>
    </row>
    <row r="195" spans="1:6" x14ac:dyDescent="0.25">
      <c r="A195">
        <v>2</v>
      </c>
      <c r="B195" s="2">
        <v>1</v>
      </c>
      <c r="C195" s="12">
        <f t="shared" ref="C195:C198" si="7">+$C$191</f>
        <v>25</v>
      </c>
      <c r="D195" s="13">
        <f t="shared" ref="D195:D199" si="8">+(1+$E$189)^-A195</f>
        <v>0.9706617486471405</v>
      </c>
      <c r="E195" s="14">
        <f t="shared" ref="E195:E199" si="9">+D195*C195</f>
        <v>24.266543716178511</v>
      </c>
      <c r="F195" s="2">
        <f t="shared" ref="F195:F199" si="10">+B195*E195</f>
        <v>24.266543716178511</v>
      </c>
    </row>
    <row r="196" spans="1:6" x14ac:dyDescent="0.25">
      <c r="A196">
        <v>3</v>
      </c>
      <c r="B196" s="2">
        <v>1.5</v>
      </c>
      <c r="C196" s="12">
        <f t="shared" si="7"/>
        <v>25</v>
      </c>
      <c r="D196" s="13">
        <f t="shared" si="8"/>
        <v>0.95631699374102519</v>
      </c>
      <c r="E196" s="14">
        <f t="shared" si="9"/>
        <v>23.907924843525631</v>
      </c>
      <c r="F196" s="2">
        <f t="shared" si="10"/>
        <v>35.861887265288445</v>
      </c>
    </row>
    <row r="197" spans="1:6" x14ac:dyDescent="0.25">
      <c r="A197">
        <v>4</v>
      </c>
      <c r="B197" s="2">
        <v>2</v>
      </c>
      <c r="C197" s="12">
        <f t="shared" si="7"/>
        <v>25</v>
      </c>
      <c r="D197" s="13">
        <f t="shared" si="8"/>
        <v>0.94218423028672449</v>
      </c>
      <c r="E197" s="14">
        <f t="shared" si="9"/>
        <v>23.554605757168112</v>
      </c>
      <c r="F197" s="2">
        <f t="shared" si="10"/>
        <v>47.109211514336224</v>
      </c>
    </row>
    <row r="198" spans="1:6" x14ac:dyDescent="0.25">
      <c r="A198">
        <v>5</v>
      </c>
      <c r="B198" s="2">
        <v>2.5</v>
      </c>
      <c r="C198" s="12">
        <f t="shared" si="7"/>
        <v>25</v>
      </c>
      <c r="D198" s="13">
        <f t="shared" si="8"/>
        <v>0.92826032540563996</v>
      </c>
      <c r="E198" s="14">
        <f t="shared" si="9"/>
        <v>23.206508135141</v>
      </c>
      <c r="F198" s="2">
        <f t="shared" si="10"/>
        <v>58.016270337852504</v>
      </c>
    </row>
    <row r="199" spans="1:6" x14ac:dyDescent="0.25">
      <c r="A199">
        <v>6</v>
      </c>
      <c r="B199" s="2">
        <v>3</v>
      </c>
      <c r="C199" s="12">
        <f>+$C$191+C187</f>
        <v>1025</v>
      </c>
      <c r="D199" s="13">
        <f t="shared" si="8"/>
        <v>0.91454219251787205</v>
      </c>
      <c r="E199" s="14">
        <f t="shared" si="9"/>
        <v>937.40574733081883</v>
      </c>
      <c r="F199" s="2">
        <f t="shared" si="10"/>
        <v>2812.2172419924564</v>
      </c>
    </row>
    <row r="200" spans="1:6" x14ac:dyDescent="0.25">
      <c r="E200" s="15" t="s">
        <v>29</v>
      </c>
      <c r="F200" s="15">
        <f>SUM(F194:F199)</f>
        <v>2989.7864257620727</v>
      </c>
    </row>
    <row r="201" spans="1:6" x14ac:dyDescent="0.25">
      <c r="B201" s="16" t="s">
        <v>30</v>
      </c>
      <c r="C201" s="16">
        <f>+SUM(E194:E199)</f>
        <v>1056.9718716547532</v>
      </c>
      <c r="E201" s="15" t="s">
        <v>31</v>
      </c>
      <c r="F201" s="15">
        <f>+F200/C201</f>
        <v>2.8286338605031958</v>
      </c>
    </row>
    <row r="202" spans="1:6" x14ac:dyDescent="0.25">
      <c r="C202" s="7">
        <f>+NPV(E189,C194:C199)</f>
        <v>1056.9718716547534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078EF-83A2-4D75-B1A3-310F51A497D7}">
  <dimension ref="A19:E47"/>
  <sheetViews>
    <sheetView topLeftCell="A16" workbookViewId="0">
      <selection activeCell="E44" sqref="E44"/>
    </sheetView>
  </sheetViews>
  <sheetFormatPr baseColWidth="10" defaultRowHeight="15" x14ac:dyDescent="0.25"/>
  <sheetData>
    <row r="19" spans="1:5" x14ac:dyDescent="0.25">
      <c r="A19" t="s">
        <v>0</v>
      </c>
      <c r="B19">
        <v>8</v>
      </c>
      <c r="C19" t="s">
        <v>1</v>
      </c>
    </row>
    <row r="20" spans="1:5" x14ac:dyDescent="0.25">
      <c r="A20" t="s">
        <v>2</v>
      </c>
      <c r="B20">
        <v>1000</v>
      </c>
    </row>
    <row r="21" spans="1:5" x14ac:dyDescent="0.25">
      <c r="A21" t="s">
        <v>3</v>
      </c>
      <c r="B21">
        <v>0.12</v>
      </c>
    </row>
    <row r="22" spans="1:5" x14ac:dyDescent="0.25">
      <c r="A22" t="s">
        <v>4</v>
      </c>
      <c r="B22" s="1">
        <v>1050</v>
      </c>
    </row>
    <row r="24" spans="1:5" x14ac:dyDescent="0.25">
      <c r="A24" t="s">
        <v>5</v>
      </c>
      <c r="B24">
        <f>+(B21*B20)/2</f>
        <v>60</v>
      </c>
      <c r="C24" t="s">
        <v>6</v>
      </c>
    </row>
    <row r="26" spans="1:5" x14ac:dyDescent="0.25">
      <c r="A26" s="2" t="s">
        <v>7</v>
      </c>
      <c r="B26" s="2" t="s">
        <v>8</v>
      </c>
    </row>
    <row r="27" spans="1:5" x14ac:dyDescent="0.25">
      <c r="A27" s="2">
        <v>0</v>
      </c>
      <c r="B27" s="3">
        <f>-B22</f>
        <v>-1050</v>
      </c>
      <c r="E27" s="7">
        <f>+NPV(0.0425,B28:B43)</f>
        <v>1200.2054161451292</v>
      </c>
    </row>
    <row r="28" spans="1:5" x14ac:dyDescent="0.25">
      <c r="A28" s="2">
        <v>0.5</v>
      </c>
      <c r="B28" s="2">
        <f>$B$24</f>
        <v>60</v>
      </c>
    </row>
    <row r="29" spans="1:5" x14ac:dyDescent="0.25">
      <c r="A29" s="2">
        <v>1</v>
      </c>
      <c r="B29" s="2">
        <f t="shared" ref="B29:B43" si="0">$B$24</f>
        <v>60</v>
      </c>
    </row>
    <row r="30" spans="1:5" x14ac:dyDescent="0.25">
      <c r="A30" s="2">
        <v>1.5</v>
      </c>
      <c r="B30" s="2">
        <f t="shared" si="0"/>
        <v>60</v>
      </c>
    </row>
    <row r="31" spans="1:5" x14ac:dyDescent="0.25">
      <c r="A31" s="2">
        <v>2</v>
      </c>
      <c r="B31" s="2">
        <f t="shared" si="0"/>
        <v>60</v>
      </c>
    </row>
    <row r="32" spans="1:5" x14ac:dyDescent="0.25">
      <c r="A32" s="2">
        <v>2.5</v>
      </c>
      <c r="B32" s="2">
        <f t="shared" si="0"/>
        <v>60</v>
      </c>
    </row>
    <row r="33" spans="1:3" x14ac:dyDescent="0.25">
      <c r="A33" s="2">
        <v>3</v>
      </c>
      <c r="B33" s="2">
        <f t="shared" si="0"/>
        <v>60</v>
      </c>
    </row>
    <row r="34" spans="1:3" x14ac:dyDescent="0.25">
      <c r="A34" s="2">
        <v>3.5</v>
      </c>
      <c r="B34" s="2">
        <f t="shared" si="0"/>
        <v>60</v>
      </c>
    </row>
    <row r="35" spans="1:3" x14ac:dyDescent="0.25">
      <c r="A35" s="2">
        <v>4</v>
      </c>
      <c r="B35" s="2">
        <f t="shared" si="0"/>
        <v>60</v>
      </c>
    </row>
    <row r="36" spans="1:3" x14ac:dyDescent="0.25">
      <c r="A36" s="2">
        <v>4.5</v>
      </c>
      <c r="B36" s="2">
        <f t="shared" si="0"/>
        <v>60</v>
      </c>
    </row>
    <row r="37" spans="1:3" x14ac:dyDescent="0.25">
      <c r="A37" s="2">
        <v>5</v>
      </c>
      <c r="B37" s="2">
        <f t="shared" si="0"/>
        <v>60</v>
      </c>
    </row>
    <row r="38" spans="1:3" x14ac:dyDescent="0.25">
      <c r="A38" s="2">
        <v>5.5</v>
      </c>
      <c r="B38" s="2">
        <f t="shared" si="0"/>
        <v>60</v>
      </c>
    </row>
    <row r="39" spans="1:3" x14ac:dyDescent="0.25">
      <c r="A39" s="2">
        <v>6</v>
      </c>
      <c r="B39" s="2">
        <f t="shared" si="0"/>
        <v>60</v>
      </c>
    </row>
    <row r="40" spans="1:3" x14ac:dyDescent="0.25">
      <c r="A40" s="2">
        <v>6.5</v>
      </c>
      <c r="B40" s="2">
        <f t="shared" si="0"/>
        <v>60</v>
      </c>
    </row>
    <row r="41" spans="1:3" x14ac:dyDescent="0.25">
      <c r="A41" s="2">
        <v>7</v>
      </c>
      <c r="B41" s="2">
        <f t="shared" si="0"/>
        <v>60</v>
      </c>
    </row>
    <row r="42" spans="1:3" x14ac:dyDescent="0.25">
      <c r="A42" s="2">
        <v>7.5</v>
      </c>
      <c r="B42" s="2">
        <f t="shared" si="0"/>
        <v>60</v>
      </c>
    </row>
    <row r="43" spans="1:3" x14ac:dyDescent="0.25">
      <c r="A43" s="2">
        <v>8</v>
      </c>
      <c r="B43" s="2">
        <f>$B$24+B20</f>
        <v>1060</v>
      </c>
    </row>
    <row r="45" spans="1:3" x14ac:dyDescent="0.25">
      <c r="A45" t="s">
        <v>9</v>
      </c>
      <c r="B45" s="6">
        <f>+IRR(B27:B43)</f>
        <v>5.5213729151472934E-2</v>
      </c>
      <c r="C45" t="s">
        <v>10</v>
      </c>
    </row>
    <row r="46" spans="1:3" x14ac:dyDescent="0.25">
      <c r="A46" t="s">
        <v>11</v>
      </c>
    </row>
    <row r="47" spans="1:3" x14ac:dyDescent="0.25">
      <c r="A47" s="17" t="s">
        <v>9</v>
      </c>
      <c r="B47" s="18">
        <f>+B45*2</f>
        <v>0.11042745830294587</v>
      </c>
      <c r="C47" s="17" t="s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E1611-E277-470A-8DCA-363FF3CBE7F9}">
  <dimension ref="A19:I59"/>
  <sheetViews>
    <sheetView topLeftCell="A14" workbookViewId="0">
      <selection activeCell="D28" sqref="D28"/>
    </sheetView>
  </sheetViews>
  <sheetFormatPr baseColWidth="10" defaultRowHeight="15" x14ac:dyDescent="0.25"/>
  <sheetData>
    <row r="19" spans="1:9" x14ac:dyDescent="0.25">
      <c r="A19" t="s">
        <v>0</v>
      </c>
      <c r="B19">
        <v>8</v>
      </c>
      <c r="C19" t="s">
        <v>1</v>
      </c>
    </row>
    <row r="20" spans="1:9" x14ac:dyDescent="0.25">
      <c r="A20" t="s">
        <v>2</v>
      </c>
      <c r="B20">
        <v>1000</v>
      </c>
    </row>
    <row r="21" spans="1:9" x14ac:dyDescent="0.25">
      <c r="A21" t="s">
        <v>3</v>
      </c>
      <c r="B21">
        <v>0.12</v>
      </c>
      <c r="F21" t="s">
        <v>14</v>
      </c>
      <c r="G21">
        <v>0.1</v>
      </c>
      <c r="H21" t="s">
        <v>34</v>
      </c>
    </row>
    <row r="22" spans="1:9" x14ac:dyDescent="0.25">
      <c r="A22" s="17" t="s">
        <v>4</v>
      </c>
      <c r="B22" s="20">
        <f>+NPV(G22,B28:B59)</f>
        <v>1109.2458897930358</v>
      </c>
      <c r="F22" t="s">
        <v>14</v>
      </c>
      <c r="G22">
        <f>+G21/4</f>
        <v>2.5000000000000001E-2</v>
      </c>
      <c r="H22" t="s">
        <v>32</v>
      </c>
    </row>
    <row r="24" spans="1:9" x14ac:dyDescent="0.25">
      <c r="A24" t="s">
        <v>5</v>
      </c>
      <c r="B24">
        <f>+(B21*B20)/4</f>
        <v>30</v>
      </c>
      <c r="C24" t="s">
        <v>32</v>
      </c>
      <c r="D24" t="s">
        <v>33</v>
      </c>
      <c r="I24">
        <f>1/4</f>
        <v>0.25</v>
      </c>
    </row>
    <row r="26" spans="1:9" x14ac:dyDescent="0.25">
      <c r="A26" s="2" t="s">
        <v>7</v>
      </c>
      <c r="B26" s="2" t="s">
        <v>8</v>
      </c>
    </row>
    <row r="27" spans="1:9" x14ac:dyDescent="0.25">
      <c r="A27" s="2">
        <v>0</v>
      </c>
      <c r="B27" s="8">
        <f>-B22</f>
        <v>-1109.2458897930358</v>
      </c>
    </row>
    <row r="28" spans="1:9" x14ac:dyDescent="0.25">
      <c r="A28" s="2">
        <v>0.25</v>
      </c>
      <c r="B28" s="2">
        <f>$B$24</f>
        <v>30</v>
      </c>
      <c r="D28" s="6">
        <f>+IRR(B27:B59)</f>
        <v>2.4999999999998135E-2</v>
      </c>
    </row>
    <row r="29" spans="1:9" x14ac:dyDescent="0.25">
      <c r="A29" s="2">
        <v>0.5</v>
      </c>
      <c r="B29" s="2">
        <f>$B$24</f>
        <v>30</v>
      </c>
    </row>
    <row r="30" spans="1:9" x14ac:dyDescent="0.25">
      <c r="A30" s="2">
        <v>0.75</v>
      </c>
      <c r="B30" s="2">
        <f>$B$24</f>
        <v>30</v>
      </c>
    </row>
    <row r="31" spans="1:9" x14ac:dyDescent="0.25">
      <c r="A31" s="2">
        <v>1</v>
      </c>
      <c r="B31" s="2">
        <f>$B$24</f>
        <v>30</v>
      </c>
    </row>
    <row r="32" spans="1:9" x14ac:dyDescent="0.25">
      <c r="A32" s="2">
        <v>1.25</v>
      </c>
      <c r="B32" s="2">
        <f>$B$24</f>
        <v>30</v>
      </c>
    </row>
    <row r="33" spans="1:4" x14ac:dyDescent="0.25">
      <c r="A33" s="2">
        <v>1.5</v>
      </c>
      <c r="B33" s="2">
        <f>$B$24</f>
        <v>30</v>
      </c>
    </row>
    <row r="34" spans="1:4" x14ac:dyDescent="0.25">
      <c r="A34" s="2">
        <v>1.75</v>
      </c>
      <c r="B34" s="2">
        <f>$B$24</f>
        <v>30</v>
      </c>
    </row>
    <row r="35" spans="1:4" x14ac:dyDescent="0.25">
      <c r="A35" s="2">
        <v>2</v>
      </c>
      <c r="B35" s="2">
        <f>$B$24</f>
        <v>30</v>
      </c>
    </row>
    <row r="36" spans="1:4" x14ac:dyDescent="0.25">
      <c r="A36" s="2">
        <v>2.25</v>
      </c>
      <c r="B36" s="2">
        <f>$B$24</f>
        <v>30</v>
      </c>
    </row>
    <row r="37" spans="1:4" x14ac:dyDescent="0.25">
      <c r="A37" s="2">
        <v>2.5</v>
      </c>
      <c r="B37" s="2">
        <f>$B$24</f>
        <v>30</v>
      </c>
    </row>
    <row r="38" spans="1:4" x14ac:dyDescent="0.25">
      <c r="A38" s="2">
        <v>2.75</v>
      </c>
      <c r="B38" s="2">
        <f>$B$24</f>
        <v>30</v>
      </c>
    </row>
    <row r="39" spans="1:4" x14ac:dyDescent="0.25">
      <c r="A39" s="2">
        <v>3</v>
      </c>
      <c r="B39" s="2">
        <f>$B$24</f>
        <v>30</v>
      </c>
    </row>
    <row r="40" spans="1:4" x14ac:dyDescent="0.25">
      <c r="A40" s="2">
        <v>3.25</v>
      </c>
      <c r="B40" s="2">
        <f>$B$24</f>
        <v>30</v>
      </c>
    </row>
    <row r="41" spans="1:4" x14ac:dyDescent="0.25">
      <c r="A41" s="2">
        <v>3.5</v>
      </c>
      <c r="B41" s="2">
        <f>$B$24</f>
        <v>30</v>
      </c>
    </row>
    <row r="42" spans="1:4" x14ac:dyDescent="0.25">
      <c r="A42" s="2">
        <v>3.75</v>
      </c>
      <c r="B42" s="2">
        <f>$B$24</f>
        <v>30</v>
      </c>
    </row>
    <row r="43" spans="1:4" x14ac:dyDescent="0.25">
      <c r="A43" s="2">
        <v>4</v>
      </c>
      <c r="B43" s="2">
        <f>$B$24</f>
        <v>30</v>
      </c>
    </row>
    <row r="44" spans="1:4" x14ac:dyDescent="0.25">
      <c r="A44" s="2">
        <v>4.25</v>
      </c>
      <c r="B44" s="2">
        <f>$B$24</f>
        <v>30</v>
      </c>
    </row>
    <row r="45" spans="1:4" x14ac:dyDescent="0.25">
      <c r="A45" s="2">
        <v>4.5</v>
      </c>
      <c r="B45" s="2">
        <f>$B$24</f>
        <v>30</v>
      </c>
    </row>
    <row r="46" spans="1:4" x14ac:dyDescent="0.25">
      <c r="A46" s="2">
        <v>4.75</v>
      </c>
      <c r="B46" s="2">
        <f>$B$24</f>
        <v>30</v>
      </c>
      <c r="D46" s="19"/>
    </row>
    <row r="47" spans="1:4" x14ac:dyDescent="0.25">
      <c r="A47" s="2">
        <v>5</v>
      </c>
      <c r="B47" s="2">
        <f>$B$24</f>
        <v>30</v>
      </c>
      <c r="D47" s="19"/>
    </row>
    <row r="48" spans="1:4" x14ac:dyDescent="0.25">
      <c r="A48" s="2">
        <v>5.25</v>
      </c>
      <c r="B48" s="2">
        <f>$B$24</f>
        <v>30</v>
      </c>
    </row>
    <row r="49" spans="1:2" x14ac:dyDescent="0.25">
      <c r="A49" s="2">
        <v>5.5</v>
      </c>
      <c r="B49" s="2">
        <f>$B$24</f>
        <v>30</v>
      </c>
    </row>
    <row r="50" spans="1:2" x14ac:dyDescent="0.25">
      <c r="A50" s="2">
        <v>5.75</v>
      </c>
      <c r="B50" s="2">
        <f>$B$24</f>
        <v>30</v>
      </c>
    </row>
    <row r="51" spans="1:2" x14ac:dyDescent="0.25">
      <c r="A51" s="2">
        <v>6</v>
      </c>
      <c r="B51" s="2">
        <f>$B$24</f>
        <v>30</v>
      </c>
    </row>
    <row r="52" spans="1:2" x14ac:dyDescent="0.25">
      <c r="A52" s="2">
        <v>6.25</v>
      </c>
      <c r="B52" s="2">
        <f>$B$24</f>
        <v>30</v>
      </c>
    </row>
    <row r="53" spans="1:2" x14ac:dyDescent="0.25">
      <c r="A53" s="2">
        <v>6.5</v>
      </c>
      <c r="B53" s="2">
        <f>$B$24</f>
        <v>30</v>
      </c>
    </row>
    <row r="54" spans="1:2" x14ac:dyDescent="0.25">
      <c r="A54" s="2">
        <v>6.75</v>
      </c>
      <c r="B54" s="2">
        <f>$B$24</f>
        <v>30</v>
      </c>
    </row>
    <row r="55" spans="1:2" x14ac:dyDescent="0.25">
      <c r="A55" s="2">
        <v>7</v>
      </c>
      <c r="B55" s="2">
        <f>$B$24</f>
        <v>30</v>
      </c>
    </row>
    <row r="56" spans="1:2" x14ac:dyDescent="0.25">
      <c r="A56" s="2">
        <v>7.25</v>
      </c>
      <c r="B56" s="2">
        <f>$B$24</f>
        <v>30</v>
      </c>
    </row>
    <row r="57" spans="1:2" x14ac:dyDescent="0.25">
      <c r="A57" s="2">
        <v>7.5</v>
      </c>
      <c r="B57" s="2">
        <f>$B$24</f>
        <v>30</v>
      </c>
    </row>
    <row r="58" spans="1:2" x14ac:dyDescent="0.25">
      <c r="A58" s="2">
        <v>7.75</v>
      </c>
      <c r="B58" s="2">
        <f>$B$24</f>
        <v>30</v>
      </c>
    </row>
    <row r="59" spans="1:2" x14ac:dyDescent="0.25">
      <c r="A59" s="2">
        <v>8</v>
      </c>
      <c r="B59" s="2">
        <f>$B$24+B20</f>
        <v>1030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3499A-D4DA-421D-942E-6C3C4ED385C7}">
  <dimension ref="A19:F47"/>
  <sheetViews>
    <sheetView topLeftCell="A19" zoomScale="130" zoomScaleNormal="130" workbookViewId="0">
      <selection activeCell="D34" sqref="D34"/>
    </sheetView>
  </sheetViews>
  <sheetFormatPr baseColWidth="10" defaultRowHeight="15" x14ac:dyDescent="0.25"/>
  <cols>
    <col min="1" max="1" width="12.42578125" bestFit="1" customWidth="1"/>
  </cols>
  <sheetData>
    <row r="19" spans="1:3" x14ac:dyDescent="0.25">
      <c r="A19" t="s">
        <v>0</v>
      </c>
      <c r="B19">
        <v>5</v>
      </c>
      <c r="C19" t="s">
        <v>1</v>
      </c>
    </row>
    <row r="20" spans="1:3" x14ac:dyDescent="0.25">
      <c r="A20" t="s">
        <v>2</v>
      </c>
      <c r="B20">
        <v>1000</v>
      </c>
    </row>
    <row r="21" spans="1:3" x14ac:dyDescent="0.25">
      <c r="A21" t="s">
        <v>3</v>
      </c>
      <c r="B21">
        <v>0.12</v>
      </c>
    </row>
    <row r="22" spans="1:3" x14ac:dyDescent="0.25">
      <c r="A22" t="s">
        <v>4</v>
      </c>
      <c r="B22">
        <v>653</v>
      </c>
    </row>
    <row r="26" spans="1:3" x14ac:dyDescent="0.25">
      <c r="A26" s="2" t="s">
        <v>7</v>
      </c>
      <c r="B26" s="2" t="s">
        <v>8</v>
      </c>
    </row>
    <row r="27" spans="1:3" x14ac:dyDescent="0.25">
      <c r="A27" s="2">
        <v>0</v>
      </c>
      <c r="B27" s="3">
        <f>-B22</f>
        <v>-653</v>
      </c>
    </row>
    <row r="28" spans="1:3" x14ac:dyDescent="0.25">
      <c r="A28" s="2">
        <v>1</v>
      </c>
      <c r="B28" s="2">
        <v>0</v>
      </c>
    </row>
    <row r="29" spans="1:3" x14ac:dyDescent="0.25">
      <c r="A29" s="2">
        <v>2</v>
      </c>
      <c r="B29" s="2">
        <v>0</v>
      </c>
    </row>
    <row r="30" spans="1:3" x14ac:dyDescent="0.25">
      <c r="A30" s="2">
        <v>3</v>
      </c>
      <c r="B30" s="2">
        <v>0</v>
      </c>
    </row>
    <row r="31" spans="1:3" x14ac:dyDescent="0.25">
      <c r="A31" s="2">
        <v>4</v>
      </c>
      <c r="B31" s="2">
        <v>0</v>
      </c>
    </row>
    <row r="32" spans="1:3" x14ac:dyDescent="0.25">
      <c r="A32" s="2">
        <v>5</v>
      </c>
      <c r="B32" s="2">
        <f>+B20</f>
        <v>1000</v>
      </c>
    </row>
    <row r="34" spans="1:6" x14ac:dyDescent="0.25">
      <c r="A34" s="17" t="s">
        <v>14</v>
      </c>
      <c r="B34" s="21">
        <f>+IRR(B27:B32)</f>
        <v>8.8973631262677877E-2</v>
      </c>
    </row>
    <row r="35" spans="1:6" x14ac:dyDescent="0.25">
      <c r="F35" s="5">
        <f>+(B20/B22)^ (1/5)-1</f>
        <v>8.8973631262703856E-2</v>
      </c>
    </row>
    <row r="46" spans="1:6" x14ac:dyDescent="0.25">
      <c r="D46" s="19"/>
    </row>
    <row r="47" spans="1:6" x14ac:dyDescent="0.25">
      <c r="D47" s="19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36BF4-D310-4E7F-B588-ACC4C34EEB5E}">
  <dimension ref="A20:F42"/>
  <sheetViews>
    <sheetView topLeftCell="A22" workbookViewId="0">
      <selection activeCell="I22" sqref="I22"/>
    </sheetView>
  </sheetViews>
  <sheetFormatPr baseColWidth="10" defaultRowHeight="15" x14ac:dyDescent="0.25"/>
  <sheetData>
    <row r="20" spans="1:6" x14ac:dyDescent="0.25">
      <c r="B20" t="s">
        <v>0</v>
      </c>
      <c r="C20">
        <v>3</v>
      </c>
      <c r="D20" t="s">
        <v>1</v>
      </c>
    </row>
    <row r="21" spans="1:6" x14ac:dyDescent="0.25">
      <c r="B21" t="s">
        <v>2</v>
      </c>
      <c r="C21">
        <v>5000</v>
      </c>
    </row>
    <row r="22" spans="1:6" x14ac:dyDescent="0.25">
      <c r="B22" t="s">
        <v>3</v>
      </c>
      <c r="C22" s="10">
        <v>0.05</v>
      </c>
    </row>
    <row r="23" spans="1:6" x14ac:dyDescent="0.25">
      <c r="B23" t="s">
        <v>14</v>
      </c>
      <c r="C23" s="10">
        <v>0.08</v>
      </c>
      <c r="D23" t="s">
        <v>23</v>
      </c>
      <c r="E23" s="11">
        <f>+C23/4</f>
        <v>0.02</v>
      </c>
      <c r="F23" t="s">
        <v>32</v>
      </c>
    </row>
    <row r="25" spans="1:6" x14ac:dyDescent="0.25">
      <c r="B25" t="s">
        <v>5</v>
      </c>
      <c r="C25">
        <f>+(C22*C21)/4</f>
        <v>62.5</v>
      </c>
      <c r="D25" t="s">
        <v>6</v>
      </c>
    </row>
    <row r="27" spans="1:6" x14ac:dyDescent="0.25">
      <c r="A27" t="s">
        <v>7</v>
      </c>
      <c r="B27" s="2" t="s">
        <v>25</v>
      </c>
      <c r="C27" s="12" t="s">
        <v>8</v>
      </c>
      <c r="D27" s="12" t="s">
        <v>26</v>
      </c>
      <c r="E27" s="12" t="s">
        <v>27</v>
      </c>
      <c r="F27" s="12" t="s">
        <v>28</v>
      </c>
    </row>
    <row r="28" spans="1:6" x14ac:dyDescent="0.25">
      <c r="A28">
        <v>1</v>
      </c>
      <c r="B28" s="2">
        <v>0.25</v>
      </c>
      <c r="C28" s="12">
        <f>+$C$25</f>
        <v>62.5</v>
      </c>
      <c r="D28" s="24">
        <f>+(1+$E$23)^-A28</f>
        <v>0.98039215686274506</v>
      </c>
      <c r="E28" s="14">
        <f>+D28*C28</f>
        <v>61.274509803921568</v>
      </c>
      <c r="F28" s="2">
        <f>+B28*E28</f>
        <v>15.318627450980392</v>
      </c>
    </row>
    <row r="29" spans="1:6" x14ac:dyDescent="0.25">
      <c r="A29">
        <v>2</v>
      </c>
      <c r="B29" s="2">
        <v>0.5</v>
      </c>
      <c r="C29" s="12">
        <f t="shared" ref="C29:C39" si="0">+$C$25</f>
        <v>62.5</v>
      </c>
      <c r="D29" s="24">
        <f t="shared" ref="D29:D39" si="1">+(1+$E$23)^-A29</f>
        <v>0.96116878123798544</v>
      </c>
      <c r="E29" s="14">
        <f t="shared" ref="E29:E39" si="2">+D29*C29</f>
        <v>60.073048827374087</v>
      </c>
      <c r="F29" s="2">
        <f>+B29*E29</f>
        <v>30.036524413687044</v>
      </c>
    </row>
    <row r="30" spans="1:6" x14ac:dyDescent="0.25">
      <c r="A30">
        <v>3</v>
      </c>
      <c r="B30" s="2">
        <v>0.75</v>
      </c>
      <c r="C30" s="12">
        <f t="shared" si="0"/>
        <v>62.5</v>
      </c>
      <c r="D30" s="24">
        <f t="shared" si="1"/>
        <v>0.94232233454704462</v>
      </c>
      <c r="E30" s="14">
        <f t="shared" si="2"/>
        <v>58.89514590919029</v>
      </c>
      <c r="F30" s="2">
        <f t="shared" ref="F29:F39" si="3">+B30*E30</f>
        <v>44.171359431892718</v>
      </c>
    </row>
    <row r="31" spans="1:6" x14ac:dyDescent="0.25">
      <c r="A31">
        <v>4</v>
      </c>
      <c r="B31" s="2">
        <v>1</v>
      </c>
      <c r="C31" s="12">
        <f t="shared" si="0"/>
        <v>62.5</v>
      </c>
      <c r="D31" s="24">
        <f t="shared" si="1"/>
        <v>0.9238454260265142</v>
      </c>
      <c r="E31" s="14">
        <f t="shared" si="2"/>
        <v>57.74033912665714</v>
      </c>
      <c r="F31" s="2">
        <f t="shared" si="3"/>
        <v>57.74033912665714</v>
      </c>
    </row>
    <row r="32" spans="1:6" x14ac:dyDescent="0.25">
      <c r="A32">
        <v>5</v>
      </c>
      <c r="B32" s="2">
        <v>1.25</v>
      </c>
      <c r="C32" s="12">
        <f t="shared" si="0"/>
        <v>62.5</v>
      </c>
      <c r="D32" s="24">
        <f t="shared" si="1"/>
        <v>0.90573080982991594</v>
      </c>
      <c r="E32" s="14">
        <f t="shared" si="2"/>
        <v>56.608175614369749</v>
      </c>
      <c r="F32" s="2">
        <f t="shared" si="3"/>
        <v>70.760219517962184</v>
      </c>
    </row>
    <row r="33" spans="1:6" x14ac:dyDescent="0.25">
      <c r="A33">
        <v>6</v>
      </c>
      <c r="B33" s="2">
        <v>1.5</v>
      </c>
      <c r="C33" s="12">
        <f t="shared" si="0"/>
        <v>62.5</v>
      </c>
      <c r="D33" s="24">
        <f t="shared" si="1"/>
        <v>0.88797138218619198</v>
      </c>
      <c r="E33" s="14">
        <f t="shared" si="2"/>
        <v>55.498211386636996</v>
      </c>
      <c r="F33" s="2">
        <f t="shared" si="3"/>
        <v>83.247317079955494</v>
      </c>
    </row>
    <row r="34" spans="1:6" x14ac:dyDescent="0.25">
      <c r="A34">
        <v>7</v>
      </c>
      <c r="B34" s="2">
        <v>1.75</v>
      </c>
      <c r="C34" s="12">
        <f t="shared" si="0"/>
        <v>62.5</v>
      </c>
      <c r="D34" s="24">
        <f t="shared" si="1"/>
        <v>0.87056017861391388</v>
      </c>
      <c r="E34" s="14">
        <f t="shared" si="2"/>
        <v>54.410011163369617</v>
      </c>
      <c r="F34" s="2">
        <f t="shared" si="3"/>
        <v>95.217519535896827</v>
      </c>
    </row>
    <row r="35" spans="1:6" x14ac:dyDescent="0.25">
      <c r="A35">
        <v>8</v>
      </c>
      <c r="B35" s="2">
        <v>2</v>
      </c>
      <c r="C35" s="12">
        <f t="shared" si="0"/>
        <v>62.5</v>
      </c>
      <c r="D35" s="24">
        <f t="shared" si="1"/>
        <v>0.85349037119011162</v>
      </c>
      <c r="E35" s="14">
        <f t="shared" si="2"/>
        <v>53.343148199381979</v>
      </c>
      <c r="F35" s="2">
        <f t="shared" si="3"/>
        <v>106.68629639876396</v>
      </c>
    </row>
    <row r="36" spans="1:6" x14ac:dyDescent="0.25">
      <c r="A36">
        <v>9</v>
      </c>
      <c r="B36" s="2">
        <v>2.25</v>
      </c>
      <c r="C36" s="12">
        <f t="shared" si="0"/>
        <v>62.5</v>
      </c>
      <c r="D36" s="24">
        <f t="shared" si="1"/>
        <v>0.83675526587265847</v>
      </c>
      <c r="E36" s="14">
        <f t="shared" si="2"/>
        <v>52.297204117041154</v>
      </c>
      <c r="F36" s="2">
        <f t="shared" si="3"/>
        <v>117.66870926334259</v>
      </c>
    </row>
    <row r="37" spans="1:6" x14ac:dyDescent="0.25">
      <c r="A37">
        <v>10</v>
      </c>
      <c r="B37" s="2">
        <v>2.5</v>
      </c>
      <c r="C37" s="12">
        <f t="shared" si="0"/>
        <v>62.5</v>
      </c>
      <c r="D37" s="24">
        <f t="shared" si="1"/>
        <v>0.82034829987515534</v>
      </c>
      <c r="E37" s="14">
        <f t="shared" si="2"/>
        <v>51.27176874219721</v>
      </c>
      <c r="F37" s="2">
        <f t="shared" si="3"/>
        <v>128.17942185549302</v>
      </c>
    </row>
    <row r="38" spans="1:6" x14ac:dyDescent="0.25">
      <c r="A38">
        <v>11</v>
      </c>
      <c r="B38" s="2">
        <v>2.75</v>
      </c>
      <c r="C38" s="12">
        <f t="shared" si="0"/>
        <v>62.5</v>
      </c>
      <c r="D38" s="24">
        <f t="shared" si="1"/>
        <v>0.80426303909328967</v>
      </c>
      <c r="E38" s="14">
        <f t="shared" si="2"/>
        <v>50.266439943330603</v>
      </c>
      <c r="F38" s="2">
        <f t="shared" si="3"/>
        <v>138.23270984415916</v>
      </c>
    </row>
    <row r="39" spans="1:6" x14ac:dyDescent="0.25">
      <c r="A39">
        <v>12</v>
      </c>
      <c r="B39" s="2">
        <v>3</v>
      </c>
      <c r="C39" s="12">
        <f>+$C$25+C21</f>
        <v>5062.5</v>
      </c>
      <c r="D39" s="24">
        <f>+(1+$E$23)^-A39</f>
        <v>0.78849317558165644</v>
      </c>
      <c r="E39" s="14">
        <f t="shared" si="2"/>
        <v>3991.7467013821356</v>
      </c>
      <c r="F39" s="2">
        <f>+B39*E39</f>
        <v>11975.240104146407</v>
      </c>
    </row>
    <row r="41" spans="1:6" x14ac:dyDescent="0.25">
      <c r="B41" s="16" t="s">
        <v>30</v>
      </c>
      <c r="C41" s="16">
        <f>+SUM(E28:E39)</f>
        <v>4603.4247042156057</v>
      </c>
      <c r="E41" s="15" t="s">
        <v>29</v>
      </c>
      <c r="F41" s="15">
        <f>SUM(F28:F39)</f>
        <v>12862.499148065199</v>
      </c>
    </row>
    <row r="42" spans="1:6" x14ac:dyDescent="0.25">
      <c r="C42" s="7">
        <f>+NPV(E23,C28:C39)</f>
        <v>4603.4247042156048</v>
      </c>
      <c r="E42" s="15" t="s">
        <v>31</v>
      </c>
      <c r="F42" s="23">
        <f>+F41/C41</f>
        <v>2.7941152456097109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BB794-2296-49D7-9450-4BA049CCF7F2}">
  <dimension ref="A19:G43"/>
  <sheetViews>
    <sheetView workbookViewId="0">
      <selection activeCell="I20" sqref="I20"/>
    </sheetView>
  </sheetViews>
  <sheetFormatPr baseColWidth="10" defaultRowHeight="15" x14ac:dyDescent="0.25"/>
  <sheetData>
    <row r="19" spans="1:7" x14ac:dyDescent="0.25">
      <c r="A19" t="s">
        <v>0</v>
      </c>
      <c r="B19">
        <v>8</v>
      </c>
      <c r="C19" t="s">
        <v>1</v>
      </c>
    </row>
    <row r="20" spans="1:7" x14ac:dyDescent="0.25">
      <c r="A20" t="s">
        <v>2</v>
      </c>
      <c r="B20">
        <v>1000</v>
      </c>
      <c r="E20" t="s">
        <v>14</v>
      </c>
      <c r="F20" s="5">
        <v>8.5000000000000006E-2</v>
      </c>
      <c r="G20" t="s">
        <v>34</v>
      </c>
    </row>
    <row r="21" spans="1:7" x14ac:dyDescent="0.25">
      <c r="A21" t="s">
        <v>3</v>
      </c>
      <c r="B21">
        <v>0.12</v>
      </c>
      <c r="E21" t="s">
        <v>14</v>
      </c>
      <c r="F21" s="5">
        <f>+F20/2</f>
        <v>4.2500000000000003E-2</v>
      </c>
      <c r="G21" t="s">
        <v>35</v>
      </c>
    </row>
    <row r="22" spans="1:7" x14ac:dyDescent="0.25">
      <c r="A22" s="17" t="s">
        <v>4</v>
      </c>
      <c r="B22" s="25">
        <f>+NPV(F21,B28:B43)</f>
        <v>1200.2054161451292</v>
      </c>
    </row>
    <row r="24" spans="1:7" x14ac:dyDescent="0.25">
      <c r="A24" t="s">
        <v>5</v>
      </c>
      <c r="B24">
        <f>+(B21*B20)/2</f>
        <v>60</v>
      </c>
      <c r="C24" t="s">
        <v>6</v>
      </c>
    </row>
    <row r="26" spans="1:7" x14ac:dyDescent="0.25">
      <c r="A26" s="2" t="s">
        <v>7</v>
      </c>
      <c r="B26" s="2" t="s">
        <v>8</v>
      </c>
    </row>
    <row r="27" spans="1:7" x14ac:dyDescent="0.25">
      <c r="A27" s="2">
        <v>0</v>
      </c>
      <c r="B27" s="3"/>
      <c r="E27" s="7"/>
    </row>
    <row r="28" spans="1:7" x14ac:dyDescent="0.25">
      <c r="A28" s="2">
        <v>0.5</v>
      </c>
      <c r="B28" s="2">
        <f>$B$24</f>
        <v>60</v>
      </c>
    </row>
    <row r="29" spans="1:7" x14ac:dyDescent="0.25">
      <c r="A29" s="2">
        <v>1</v>
      </c>
      <c r="B29" s="2">
        <f t="shared" ref="B29:B43" si="0">$B$24</f>
        <v>60</v>
      </c>
    </row>
    <row r="30" spans="1:7" x14ac:dyDescent="0.25">
      <c r="A30" s="2">
        <v>1.5</v>
      </c>
      <c r="B30" s="2">
        <f t="shared" si="0"/>
        <v>60</v>
      </c>
    </row>
    <row r="31" spans="1:7" x14ac:dyDescent="0.25">
      <c r="A31" s="2">
        <v>2</v>
      </c>
      <c r="B31" s="2">
        <f t="shared" si="0"/>
        <v>60</v>
      </c>
    </row>
    <row r="32" spans="1:7" x14ac:dyDescent="0.25">
      <c r="A32" s="2">
        <v>2.5</v>
      </c>
      <c r="B32" s="2">
        <f t="shared" si="0"/>
        <v>60</v>
      </c>
    </row>
    <row r="33" spans="1:2" x14ac:dyDescent="0.25">
      <c r="A33" s="2">
        <v>3</v>
      </c>
      <c r="B33" s="2">
        <f t="shared" si="0"/>
        <v>60</v>
      </c>
    </row>
    <row r="34" spans="1:2" x14ac:dyDescent="0.25">
      <c r="A34" s="2">
        <v>3.5</v>
      </c>
      <c r="B34" s="2">
        <f t="shared" si="0"/>
        <v>60</v>
      </c>
    </row>
    <row r="35" spans="1:2" x14ac:dyDescent="0.25">
      <c r="A35" s="2">
        <v>4</v>
      </c>
      <c r="B35" s="2">
        <f t="shared" si="0"/>
        <v>60</v>
      </c>
    </row>
    <row r="36" spans="1:2" x14ac:dyDescent="0.25">
      <c r="A36" s="2">
        <v>4.5</v>
      </c>
      <c r="B36" s="2">
        <f t="shared" si="0"/>
        <v>60</v>
      </c>
    </row>
    <row r="37" spans="1:2" x14ac:dyDescent="0.25">
      <c r="A37" s="2">
        <v>5</v>
      </c>
      <c r="B37" s="2">
        <f t="shared" si="0"/>
        <v>60</v>
      </c>
    </row>
    <row r="38" spans="1:2" x14ac:dyDescent="0.25">
      <c r="A38" s="2">
        <v>5.5</v>
      </c>
      <c r="B38" s="2">
        <f t="shared" si="0"/>
        <v>60</v>
      </c>
    </row>
    <row r="39" spans="1:2" x14ac:dyDescent="0.25">
      <c r="A39" s="2">
        <v>6</v>
      </c>
      <c r="B39" s="2">
        <f t="shared" si="0"/>
        <v>60</v>
      </c>
    </row>
    <row r="40" spans="1:2" x14ac:dyDescent="0.25">
      <c r="A40" s="2">
        <v>6.5</v>
      </c>
      <c r="B40" s="2">
        <f t="shared" si="0"/>
        <v>60</v>
      </c>
    </row>
    <row r="41" spans="1:2" x14ac:dyDescent="0.25">
      <c r="A41" s="2">
        <v>7</v>
      </c>
      <c r="B41" s="2">
        <f t="shared" si="0"/>
        <v>60</v>
      </c>
    </row>
    <row r="42" spans="1:2" x14ac:dyDescent="0.25">
      <c r="A42" s="2">
        <v>7.5</v>
      </c>
      <c r="B42" s="2">
        <f t="shared" si="0"/>
        <v>60</v>
      </c>
    </row>
    <row r="43" spans="1:2" x14ac:dyDescent="0.25">
      <c r="A43" s="2">
        <v>8</v>
      </c>
      <c r="B43" s="2">
        <f>$B$24+B20</f>
        <v>1060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DBD84-6601-4C63-B513-88B280B3158F}">
  <dimension ref="A19:F47"/>
  <sheetViews>
    <sheetView zoomScale="85" zoomScaleNormal="85" workbookViewId="0">
      <selection activeCell="K14" sqref="K14"/>
    </sheetView>
  </sheetViews>
  <sheetFormatPr baseColWidth="10" defaultRowHeight="15" x14ac:dyDescent="0.25"/>
  <cols>
    <col min="1" max="1" width="12.42578125" bestFit="1" customWidth="1"/>
  </cols>
  <sheetData>
    <row r="19" spans="1:3" x14ac:dyDescent="0.25">
      <c r="A19" t="s">
        <v>0</v>
      </c>
      <c r="B19">
        <v>20</v>
      </c>
      <c r="C19" t="s">
        <v>1</v>
      </c>
    </row>
    <row r="20" spans="1:3" x14ac:dyDescent="0.25">
      <c r="A20" t="s">
        <v>2</v>
      </c>
      <c r="B20">
        <v>1000</v>
      </c>
    </row>
    <row r="22" spans="1:3" x14ac:dyDescent="0.25">
      <c r="A22" t="s">
        <v>4</v>
      </c>
      <c r="B22" s="26">
        <f>+B20/(1+B23)^B19</f>
        <v>311.80472688608427</v>
      </c>
      <c r="C22" s="7">
        <f>+NPV(B23,B28:B47)</f>
        <v>311.80472688608427</v>
      </c>
    </row>
    <row r="23" spans="1:3" x14ac:dyDescent="0.25">
      <c r="A23" t="s">
        <v>14</v>
      </c>
      <c r="B23" s="4">
        <v>0.06</v>
      </c>
    </row>
    <row r="26" spans="1:3" x14ac:dyDescent="0.25">
      <c r="A26" s="2" t="s">
        <v>7</v>
      </c>
      <c r="B26" s="2" t="s">
        <v>8</v>
      </c>
    </row>
    <row r="27" spans="1:3" x14ac:dyDescent="0.25">
      <c r="A27" s="2">
        <v>0</v>
      </c>
      <c r="B27" s="3"/>
    </row>
    <row r="28" spans="1:3" x14ac:dyDescent="0.25">
      <c r="A28" s="2">
        <v>1</v>
      </c>
      <c r="B28" s="2">
        <v>0</v>
      </c>
    </row>
    <row r="29" spans="1:3" x14ac:dyDescent="0.25">
      <c r="A29" s="2">
        <v>2</v>
      </c>
      <c r="B29" s="2">
        <v>0</v>
      </c>
    </row>
    <row r="30" spans="1:3" x14ac:dyDescent="0.25">
      <c r="A30" s="2">
        <v>3</v>
      </c>
      <c r="B30" s="2">
        <v>0</v>
      </c>
    </row>
    <row r="31" spans="1:3" x14ac:dyDescent="0.25">
      <c r="A31" s="2">
        <v>4</v>
      </c>
      <c r="B31" s="2">
        <v>0</v>
      </c>
    </row>
    <row r="32" spans="1:3" x14ac:dyDescent="0.25">
      <c r="A32" s="2">
        <v>5</v>
      </c>
      <c r="B32" s="2">
        <v>0</v>
      </c>
    </row>
    <row r="33" spans="1:6" x14ac:dyDescent="0.25">
      <c r="A33" s="2">
        <v>6</v>
      </c>
      <c r="B33" s="2">
        <v>0</v>
      </c>
    </row>
    <row r="34" spans="1:6" x14ac:dyDescent="0.25">
      <c r="A34" s="2">
        <v>7</v>
      </c>
      <c r="B34" s="2">
        <v>0</v>
      </c>
    </row>
    <row r="35" spans="1:6" x14ac:dyDescent="0.25">
      <c r="A35" s="2">
        <v>8</v>
      </c>
      <c r="B35" s="2">
        <v>0</v>
      </c>
      <c r="F35" s="5">
        <f>+(B20/B22)^ (1/5)-1</f>
        <v>0.26247696000000031</v>
      </c>
    </row>
    <row r="36" spans="1:6" x14ac:dyDescent="0.25">
      <c r="A36" s="2">
        <v>9</v>
      </c>
      <c r="B36" s="2">
        <v>0</v>
      </c>
    </row>
    <row r="37" spans="1:6" x14ac:dyDescent="0.25">
      <c r="A37" s="2">
        <v>10</v>
      </c>
      <c r="B37" s="2">
        <v>0</v>
      </c>
    </row>
    <row r="38" spans="1:6" x14ac:dyDescent="0.25">
      <c r="A38" s="2">
        <v>11</v>
      </c>
      <c r="B38" s="2">
        <v>0</v>
      </c>
    </row>
    <row r="39" spans="1:6" x14ac:dyDescent="0.25">
      <c r="A39" s="2">
        <v>12</v>
      </c>
      <c r="B39" s="2">
        <v>0</v>
      </c>
    </row>
    <row r="40" spans="1:6" x14ac:dyDescent="0.25">
      <c r="A40" s="2">
        <v>13</v>
      </c>
      <c r="B40" s="2">
        <v>0</v>
      </c>
    </row>
    <row r="41" spans="1:6" x14ac:dyDescent="0.25">
      <c r="A41" s="2">
        <v>14</v>
      </c>
      <c r="B41" s="2">
        <v>0</v>
      </c>
    </row>
    <row r="42" spans="1:6" x14ac:dyDescent="0.25">
      <c r="A42" s="2">
        <v>15</v>
      </c>
      <c r="B42" s="2">
        <v>0</v>
      </c>
    </row>
    <row r="43" spans="1:6" x14ac:dyDescent="0.25">
      <c r="A43" s="2">
        <v>16</v>
      </c>
      <c r="B43" s="2">
        <v>0</v>
      </c>
    </row>
    <row r="44" spans="1:6" x14ac:dyDescent="0.25">
      <c r="A44" s="2">
        <v>17</v>
      </c>
      <c r="B44" s="2">
        <v>0</v>
      </c>
    </row>
    <row r="45" spans="1:6" x14ac:dyDescent="0.25">
      <c r="A45" s="2">
        <v>18</v>
      </c>
      <c r="B45" s="2">
        <v>0</v>
      </c>
    </row>
    <row r="46" spans="1:6" x14ac:dyDescent="0.25">
      <c r="A46" s="2">
        <v>19</v>
      </c>
      <c r="B46" s="2">
        <v>0</v>
      </c>
      <c r="D46" s="19"/>
    </row>
    <row r="47" spans="1:6" x14ac:dyDescent="0.25">
      <c r="A47" s="2">
        <v>20</v>
      </c>
      <c r="B47" s="2">
        <f>+B20</f>
        <v>1000</v>
      </c>
      <c r="D47" s="19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3A883-D8FE-4AAD-90D9-802CCF73603E}">
  <dimension ref="A18:F33"/>
  <sheetViews>
    <sheetView topLeftCell="A10" workbookViewId="0">
      <selection activeCell="K14" sqref="K14"/>
    </sheetView>
  </sheetViews>
  <sheetFormatPr baseColWidth="10" defaultRowHeight="15" x14ac:dyDescent="0.25"/>
  <sheetData>
    <row r="18" spans="1:6" x14ac:dyDescent="0.25">
      <c r="B18" t="s">
        <v>0</v>
      </c>
      <c r="C18">
        <v>3</v>
      </c>
      <c r="D18" t="s">
        <v>1</v>
      </c>
    </row>
    <row r="19" spans="1:6" x14ac:dyDescent="0.25">
      <c r="B19" t="s">
        <v>2</v>
      </c>
      <c r="C19">
        <v>1000</v>
      </c>
    </row>
    <row r="20" spans="1:6" x14ac:dyDescent="0.25">
      <c r="B20" t="s">
        <v>3</v>
      </c>
      <c r="C20" s="10"/>
    </row>
    <row r="21" spans="1:6" x14ac:dyDescent="0.25">
      <c r="B21" t="s">
        <v>14</v>
      </c>
      <c r="C21" s="11">
        <v>5.5E-2</v>
      </c>
      <c r="D21" t="s">
        <v>23</v>
      </c>
      <c r="E21" s="11">
        <f>+C21/2</f>
        <v>2.75E-2</v>
      </c>
    </row>
    <row r="23" spans="1:6" x14ac:dyDescent="0.25">
      <c r="B23" t="s">
        <v>5</v>
      </c>
      <c r="C23">
        <f>+(C20*C19)/2</f>
        <v>0</v>
      </c>
      <c r="D23" t="s">
        <v>6</v>
      </c>
    </row>
    <row r="25" spans="1:6" x14ac:dyDescent="0.25">
      <c r="A25" t="s">
        <v>7</v>
      </c>
      <c r="B25" s="2" t="s">
        <v>25</v>
      </c>
      <c r="C25" s="12" t="s">
        <v>8</v>
      </c>
      <c r="D25" s="12" t="s">
        <v>26</v>
      </c>
      <c r="E25" s="12" t="s">
        <v>27</v>
      </c>
      <c r="F25" s="12" t="s">
        <v>28</v>
      </c>
    </row>
    <row r="26" spans="1:6" x14ac:dyDescent="0.25">
      <c r="A26">
        <v>1</v>
      </c>
      <c r="B26" s="2">
        <v>1</v>
      </c>
      <c r="C26" s="12">
        <f>+$C$191</f>
        <v>0</v>
      </c>
      <c r="D26" s="13">
        <f>+(1+$C$21)^-A26</f>
        <v>0.94786729857819907</v>
      </c>
      <c r="E26" s="14">
        <f>+D26*C26</f>
        <v>0</v>
      </c>
      <c r="F26" s="2">
        <f>+B26*E26</f>
        <v>0</v>
      </c>
    </row>
    <row r="27" spans="1:6" x14ac:dyDescent="0.25">
      <c r="A27">
        <v>2</v>
      </c>
      <c r="B27" s="2">
        <v>2</v>
      </c>
      <c r="C27" s="12">
        <f t="shared" ref="C27:C30" si="0">+$C$191</f>
        <v>0</v>
      </c>
      <c r="D27" s="13">
        <f t="shared" ref="D27:D28" si="1">+(1+$C$21)^-A27</f>
        <v>0.89845241571393286</v>
      </c>
      <c r="E27" s="14">
        <f t="shared" ref="E27:E31" si="2">+D27*C27</f>
        <v>0</v>
      </c>
      <c r="F27" s="2">
        <f t="shared" ref="F27:F31" si="3">+B27*E27</f>
        <v>0</v>
      </c>
    </row>
    <row r="28" spans="1:6" x14ac:dyDescent="0.25">
      <c r="A28">
        <v>3</v>
      </c>
      <c r="B28" s="2">
        <v>3</v>
      </c>
      <c r="C28" s="12">
        <f>+C19</f>
        <v>1000</v>
      </c>
      <c r="D28" s="13">
        <f t="shared" si="1"/>
        <v>0.85161366418382267</v>
      </c>
      <c r="E28" s="14">
        <f t="shared" si="2"/>
        <v>851.61366418382272</v>
      </c>
      <c r="F28" s="2">
        <f t="shared" si="3"/>
        <v>2554.8409925514679</v>
      </c>
    </row>
    <row r="32" spans="1:6" x14ac:dyDescent="0.25">
      <c r="B32" s="16" t="s">
        <v>30</v>
      </c>
      <c r="C32" s="16">
        <f>+SUM(E26:E28)</f>
        <v>851.61366418382272</v>
      </c>
      <c r="E32" s="15" t="s">
        <v>29</v>
      </c>
      <c r="F32" s="15">
        <f>SUM(F26:F28)</f>
        <v>2554.8409925514679</v>
      </c>
    </row>
    <row r="33" spans="3:6" x14ac:dyDescent="0.25">
      <c r="C33" s="7">
        <f>+NPV(C21,C26:C28)</f>
        <v>851.61366418382261</v>
      </c>
      <c r="E33" s="15" t="s">
        <v>31</v>
      </c>
      <c r="F33" s="27">
        <f>+F32/C32</f>
        <v>2.9999999999999996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5A3FA-F200-4B39-947A-815438E5B21A}">
  <dimension ref="A19:F50"/>
  <sheetViews>
    <sheetView tabSelected="1" topLeftCell="A4" workbookViewId="0">
      <selection activeCell="L15" sqref="L15"/>
    </sheetView>
  </sheetViews>
  <sheetFormatPr baseColWidth="10" defaultRowHeight="15" x14ac:dyDescent="0.25"/>
  <sheetData>
    <row r="19" spans="1:6" x14ac:dyDescent="0.25">
      <c r="B19" t="s">
        <v>0</v>
      </c>
      <c r="C19">
        <v>10</v>
      </c>
      <c r="D19" t="s">
        <v>1</v>
      </c>
    </row>
    <row r="20" spans="1:6" x14ac:dyDescent="0.25">
      <c r="B20" t="s">
        <v>2</v>
      </c>
      <c r="C20">
        <v>1000</v>
      </c>
    </row>
    <row r="21" spans="1:6" x14ac:dyDescent="0.25">
      <c r="B21" t="s">
        <v>3</v>
      </c>
      <c r="C21" s="4">
        <v>0.08</v>
      </c>
    </row>
    <row r="22" spans="1:6" x14ac:dyDescent="0.25">
      <c r="B22" t="s">
        <v>4</v>
      </c>
      <c r="C22" s="1"/>
    </row>
    <row r="23" spans="1:6" x14ac:dyDescent="0.25">
      <c r="B23" t="s">
        <v>14</v>
      </c>
      <c r="C23" s="4">
        <v>0.12</v>
      </c>
      <c r="D23" t="s">
        <v>23</v>
      </c>
      <c r="E23">
        <f>+C23/2</f>
        <v>0.06</v>
      </c>
      <c r="F23" t="s">
        <v>15</v>
      </c>
    </row>
    <row r="24" spans="1:6" x14ac:dyDescent="0.25">
      <c r="B24" t="s">
        <v>5</v>
      </c>
      <c r="C24">
        <f>+(C21*C20)/2</f>
        <v>40</v>
      </c>
      <c r="D24" t="s">
        <v>6</v>
      </c>
    </row>
    <row r="26" spans="1:6" x14ac:dyDescent="0.25">
      <c r="B26" s="2" t="s">
        <v>7</v>
      </c>
      <c r="C26" s="2" t="s">
        <v>8</v>
      </c>
      <c r="D26" s="12" t="s">
        <v>26</v>
      </c>
      <c r="E26" s="12" t="s">
        <v>27</v>
      </c>
      <c r="F26" s="12" t="s">
        <v>28</v>
      </c>
    </row>
    <row r="27" spans="1:6" x14ac:dyDescent="0.25">
      <c r="B27" s="2">
        <v>0</v>
      </c>
      <c r="C27" s="3">
        <f>-C22</f>
        <v>0</v>
      </c>
      <c r="D27" s="13"/>
      <c r="E27" s="14"/>
      <c r="F27" s="2"/>
    </row>
    <row r="28" spans="1:6" x14ac:dyDescent="0.25">
      <c r="A28">
        <v>1</v>
      </c>
      <c r="B28" s="2">
        <v>0.5</v>
      </c>
      <c r="C28" s="2">
        <f>$C$24</f>
        <v>40</v>
      </c>
      <c r="D28" s="13">
        <f>+(1+$E$23)^-A28</f>
        <v>0.94339622641509424</v>
      </c>
      <c r="E28" s="14">
        <f>+D28*C28</f>
        <v>37.735849056603769</v>
      </c>
      <c r="F28" s="2">
        <f t="shared" ref="F28:F43" si="0">+B28*E28</f>
        <v>18.867924528301884</v>
      </c>
    </row>
    <row r="29" spans="1:6" x14ac:dyDescent="0.25">
      <c r="A29">
        <v>2</v>
      </c>
      <c r="B29" s="2">
        <v>1</v>
      </c>
      <c r="C29" s="2">
        <f t="shared" ref="C29:C47" si="1">$C$24</f>
        <v>40</v>
      </c>
      <c r="D29" s="13">
        <f t="shared" ref="D29:D43" si="2">+(1+$E$23)^-A29</f>
        <v>0.88999644001423983</v>
      </c>
      <c r="E29" s="14">
        <f t="shared" ref="E28:E43" si="3">+D29*C29</f>
        <v>35.599857600569592</v>
      </c>
      <c r="F29" s="2">
        <f t="shared" si="0"/>
        <v>35.599857600569592</v>
      </c>
    </row>
    <row r="30" spans="1:6" x14ac:dyDescent="0.25">
      <c r="A30">
        <v>3</v>
      </c>
      <c r="B30" s="2">
        <v>1.5</v>
      </c>
      <c r="C30" s="2">
        <f t="shared" si="1"/>
        <v>40</v>
      </c>
      <c r="D30" s="13">
        <f t="shared" si="2"/>
        <v>0.8396192830323016</v>
      </c>
      <c r="E30" s="14">
        <f t="shared" si="3"/>
        <v>33.584771321292067</v>
      </c>
      <c r="F30" s="2">
        <f t="shared" si="0"/>
        <v>50.3771569819381</v>
      </c>
    </row>
    <row r="31" spans="1:6" x14ac:dyDescent="0.25">
      <c r="A31">
        <v>4</v>
      </c>
      <c r="B31" s="2">
        <v>2</v>
      </c>
      <c r="C31" s="2">
        <f t="shared" si="1"/>
        <v>40</v>
      </c>
      <c r="D31" s="13">
        <f t="shared" si="2"/>
        <v>0.79209366323802044</v>
      </c>
      <c r="E31" s="14">
        <f t="shared" si="3"/>
        <v>31.683746529520818</v>
      </c>
      <c r="F31" s="2">
        <f t="shared" si="0"/>
        <v>63.367493059041635</v>
      </c>
    </row>
    <row r="32" spans="1:6" x14ac:dyDescent="0.25">
      <c r="A32">
        <v>5</v>
      </c>
      <c r="B32" s="2">
        <v>2.5</v>
      </c>
      <c r="C32" s="2">
        <f t="shared" si="1"/>
        <v>40</v>
      </c>
      <c r="D32" s="13">
        <f t="shared" si="2"/>
        <v>0.74725817286605689</v>
      </c>
      <c r="E32" s="14">
        <f t="shared" si="3"/>
        <v>29.890326914642277</v>
      </c>
      <c r="F32" s="2">
        <f t="shared" si="0"/>
        <v>74.72581728660569</v>
      </c>
    </row>
    <row r="33" spans="1:6" x14ac:dyDescent="0.25">
      <c r="A33">
        <v>6</v>
      </c>
      <c r="B33" s="2">
        <v>3</v>
      </c>
      <c r="C33" s="2">
        <f t="shared" si="1"/>
        <v>40</v>
      </c>
      <c r="D33" s="13">
        <f t="shared" si="2"/>
        <v>0.70496054043967626</v>
      </c>
      <c r="E33" s="14">
        <f t="shared" si="3"/>
        <v>28.198421617587051</v>
      </c>
      <c r="F33" s="2">
        <f t="shared" si="0"/>
        <v>84.595264852761147</v>
      </c>
    </row>
    <row r="34" spans="1:6" x14ac:dyDescent="0.25">
      <c r="A34">
        <v>7</v>
      </c>
      <c r="B34" s="2">
        <v>3.5</v>
      </c>
      <c r="C34" s="2">
        <f t="shared" si="1"/>
        <v>40</v>
      </c>
      <c r="D34" s="13">
        <f t="shared" si="2"/>
        <v>0.66505711362233599</v>
      </c>
      <c r="E34" s="14">
        <f t="shared" si="3"/>
        <v>26.60228454489344</v>
      </c>
      <c r="F34" s="2">
        <f t="shared" si="0"/>
        <v>93.107995907127034</v>
      </c>
    </row>
    <row r="35" spans="1:6" x14ac:dyDescent="0.25">
      <c r="A35">
        <v>8</v>
      </c>
      <c r="B35" s="2">
        <v>4</v>
      </c>
      <c r="C35" s="2">
        <f t="shared" si="1"/>
        <v>40</v>
      </c>
      <c r="D35" s="13">
        <f t="shared" si="2"/>
        <v>0.62741237134182648</v>
      </c>
      <c r="E35" s="14">
        <f t="shared" si="3"/>
        <v>25.096494853673057</v>
      </c>
      <c r="F35" s="2">
        <f t="shared" si="0"/>
        <v>100.38597941469223</v>
      </c>
    </row>
    <row r="36" spans="1:6" x14ac:dyDescent="0.25">
      <c r="A36">
        <v>9</v>
      </c>
      <c r="B36" s="2">
        <v>4.5</v>
      </c>
      <c r="C36" s="2">
        <f t="shared" si="1"/>
        <v>40</v>
      </c>
      <c r="D36" s="13">
        <f t="shared" si="2"/>
        <v>0.59189846353002495</v>
      </c>
      <c r="E36" s="14">
        <f t="shared" si="3"/>
        <v>23.675938541200999</v>
      </c>
      <c r="F36" s="2">
        <f t="shared" si="0"/>
        <v>106.54172343540449</v>
      </c>
    </row>
    <row r="37" spans="1:6" x14ac:dyDescent="0.25">
      <c r="A37">
        <v>10</v>
      </c>
      <c r="B37" s="2">
        <v>5</v>
      </c>
      <c r="C37" s="2">
        <f t="shared" si="1"/>
        <v>40</v>
      </c>
      <c r="D37" s="13">
        <f t="shared" si="2"/>
        <v>0.55839477691511785</v>
      </c>
      <c r="E37" s="14">
        <f t="shared" si="3"/>
        <v>22.335791076604714</v>
      </c>
      <c r="F37" s="2">
        <f t="shared" si="0"/>
        <v>111.67895538302358</v>
      </c>
    </row>
    <row r="38" spans="1:6" x14ac:dyDescent="0.25">
      <c r="A38">
        <v>11</v>
      </c>
      <c r="B38" s="2">
        <v>5.5</v>
      </c>
      <c r="C38" s="2">
        <f t="shared" si="1"/>
        <v>40</v>
      </c>
      <c r="D38" s="13">
        <f t="shared" si="2"/>
        <v>0.52678752539162055</v>
      </c>
      <c r="E38" s="14">
        <f t="shared" si="3"/>
        <v>21.071501015664822</v>
      </c>
      <c r="F38" s="2">
        <f t="shared" si="0"/>
        <v>115.89325558615653</v>
      </c>
    </row>
    <row r="39" spans="1:6" x14ac:dyDescent="0.25">
      <c r="A39">
        <v>12</v>
      </c>
      <c r="B39" s="2">
        <v>6</v>
      </c>
      <c r="C39" s="2">
        <f t="shared" si="1"/>
        <v>40</v>
      </c>
      <c r="D39" s="13">
        <f t="shared" si="2"/>
        <v>0.4969693635770005</v>
      </c>
      <c r="E39" s="14">
        <f t="shared" si="3"/>
        <v>19.87877454308002</v>
      </c>
      <c r="F39" s="2">
        <f t="shared" si="0"/>
        <v>119.27264725848012</v>
      </c>
    </row>
    <row r="40" spans="1:6" x14ac:dyDescent="0.25">
      <c r="A40">
        <v>13</v>
      </c>
      <c r="B40" s="2">
        <v>6.5</v>
      </c>
      <c r="C40" s="2">
        <f t="shared" si="1"/>
        <v>40</v>
      </c>
      <c r="D40" s="13">
        <f t="shared" si="2"/>
        <v>0.46883902224245327</v>
      </c>
      <c r="E40" s="14">
        <f t="shared" si="3"/>
        <v>18.753560889698132</v>
      </c>
      <c r="F40" s="2">
        <f t="shared" si="0"/>
        <v>121.89814578303786</v>
      </c>
    </row>
    <row r="41" spans="1:6" x14ac:dyDescent="0.25">
      <c r="A41">
        <v>14</v>
      </c>
      <c r="B41" s="2">
        <v>7</v>
      </c>
      <c r="C41" s="2">
        <f t="shared" si="1"/>
        <v>40</v>
      </c>
      <c r="D41" s="13">
        <f t="shared" si="2"/>
        <v>0.44230096437967292</v>
      </c>
      <c r="E41" s="14">
        <f t="shared" si="3"/>
        <v>17.692038575186917</v>
      </c>
      <c r="F41" s="2">
        <f t="shared" si="0"/>
        <v>123.84427002630842</v>
      </c>
    </row>
    <row r="42" spans="1:6" x14ac:dyDescent="0.25">
      <c r="A42">
        <v>15</v>
      </c>
      <c r="B42" s="2">
        <v>7.5</v>
      </c>
      <c r="C42" s="2">
        <f t="shared" si="1"/>
        <v>40</v>
      </c>
      <c r="D42" s="13">
        <f t="shared" si="2"/>
        <v>0.41726506073554037</v>
      </c>
      <c r="E42" s="14">
        <f t="shared" si="3"/>
        <v>16.690602429421617</v>
      </c>
      <c r="F42" s="2">
        <f t="shared" si="0"/>
        <v>125.17951822066212</v>
      </c>
    </row>
    <row r="43" spans="1:6" x14ac:dyDescent="0.25">
      <c r="A43">
        <v>16</v>
      </c>
      <c r="B43" s="2">
        <v>8</v>
      </c>
      <c r="C43" s="2">
        <f t="shared" si="1"/>
        <v>40</v>
      </c>
      <c r="D43" s="13">
        <f t="shared" si="2"/>
        <v>0.39364628371277405</v>
      </c>
      <c r="E43" s="14">
        <f t="shared" si="3"/>
        <v>15.745851348510962</v>
      </c>
      <c r="F43" s="2">
        <f t="shared" si="0"/>
        <v>125.9668107880877</v>
      </c>
    </row>
    <row r="44" spans="1:6" x14ac:dyDescent="0.25">
      <c r="A44">
        <v>17</v>
      </c>
      <c r="B44" s="2">
        <v>8.5</v>
      </c>
      <c r="C44" s="2">
        <f t="shared" si="1"/>
        <v>40</v>
      </c>
      <c r="D44" s="13">
        <f t="shared" ref="D44:D47" si="4">+(1+$E$23)^-A44</f>
        <v>0.37136441859695657</v>
      </c>
      <c r="E44" s="14">
        <f t="shared" ref="E44:E47" si="5">+D44*C44</f>
        <v>14.854576743878262</v>
      </c>
      <c r="F44" s="2">
        <f t="shared" ref="F44:F47" si="6">+B44*E44</f>
        <v>126.26390232296522</v>
      </c>
    </row>
    <row r="45" spans="1:6" x14ac:dyDescent="0.25">
      <c r="A45">
        <v>18</v>
      </c>
      <c r="B45" s="2">
        <v>9</v>
      </c>
      <c r="C45" s="2">
        <f t="shared" si="1"/>
        <v>40</v>
      </c>
      <c r="D45" s="13">
        <f t="shared" si="4"/>
        <v>0.35034379112920433</v>
      </c>
      <c r="E45" s="14">
        <f t="shared" si="5"/>
        <v>14.013751645168174</v>
      </c>
      <c r="F45" s="2">
        <f t="shared" si="6"/>
        <v>126.12376480651356</v>
      </c>
    </row>
    <row r="46" spans="1:6" x14ac:dyDescent="0.25">
      <c r="A46">
        <v>19</v>
      </c>
      <c r="B46" s="2">
        <v>9.5</v>
      </c>
      <c r="C46" s="2">
        <f t="shared" si="1"/>
        <v>40</v>
      </c>
      <c r="D46" s="13">
        <f t="shared" si="4"/>
        <v>0.3305130104992493</v>
      </c>
      <c r="E46" s="14">
        <f t="shared" si="5"/>
        <v>13.220520419969972</v>
      </c>
      <c r="F46" s="2">
        <f t="shared" si="6"/>
        <v>125.59494398971474</v>
      </c>
    </row>
    <row r="47" spans="1:6" x14ac:dyDescent="0.25">
      <c r="A47">
        <v>20</v>
      </c>
      <c r="B47" s="2">
        <v>10</v>
      </c>
      <c r="C47" s="2">
        <f>$C$24+C20</f>
        <v>1040</v>
      </c>
      <c r="D47" s="13">
        <f t="shared" si="4"/>
        <v>0.31180472688608429</v>
      </c>
      <c r="E47" s="14">
        <f t="shared" si="5"/>
        <v>324.27691596152766</v>
      </c>
      <c r="F47" s="2">
        <f t="shared" si="6"/>
        <v>3242.7691596152767</v>
      </c>
    </row>
    <row r="48" spans="1:6" x14ac:dyDescent="0.25">
      <c r="E48" s="15" t="s">
        <v>29</v>
      </c>
      <c r="F48" s="15">
        <f>SUM(F28:F47)</f>
        <v>5092.0545868466679</v>
      </c>
    </row>
    <row r="49" spans="2:6" x14ac:dyDescent="0.25">
      <c r="B49" s="16" t="s">
        <v>30</v>
      </c>
      <c r="C49" s="16">
        <f>+SUM(E28:E47)</f>
        <v>770.60157562869426</v>
      </c>
      <c r="E49" s="15" t="s">
        <v>31</v>
      </c>
      <c r="F49" s="22">
        <f>+F48/C49</f>
        <v>6.6078953740683986</v>
      </c>
    </row>
    <row r="50" spans="2:6" x14ac:dyDescent="0.25">
      <c r="C50" s="7">
        <f>+NPV(E23,C28:C47)</f>
        <v>770.60157562869426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Bonos</vt:lpstr>
      <vt:lpstr>1</vt:lpstr>
      <vt:lpstr>2</vt:lpstr>
      <vt:lpstr>3</vt:lpstr>
      <vt:lpstr>4</vt:lpstr>
      <vt:lpstr>5</vt:lpstr>
      <vt:lpstr>6</vt:lpstr>
      <vt:lpstr>7</vt:lpstr>
      <vt:lpstr>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Jesús David Díaz Blanco</dc:creator>
  <cp:lastModifiedBy>Jesús David Díaz Blanco</cp:lastModifiedBy>
  <dcterms:created xsi:type="dcterms:W3CDTF">2022-11-03T14:06:45Z</dcterms:created>
  <dcterms:modified xsi:type="dcterms:W3CDTF">2022-11-03T15:10:41Z</dcterms:modified>
</cp:coreProperties>
</file>