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xi\OneDrive\Desktop\Portafolio_2\Teaching_dash\app_admin\"/>
    </mc:Choice>
  </mc:AlternateContent>
  <xr:revisionPtr revIDLastSave="0" documentId="13_ncr:1_{B5B1C7A0-7B55-4AC9-8E2C-677BCD0DEE18}" xr6:coauthVersionLast="47" xr6:coauthVersionMax="47" xr10:uidLastSave="{00000000-0000-0000-0000-000000000000}"/>
  <bookViews>
    <workbookView xWindow="-120" yWindow="-120" windowWidth="20730" windowHeight="11160" xr2:uid="{D86F00CE-94A2-4FCD-8731-7F1D419D617E}"/>
  </bookViews>
  <sheets>
    <sheet name="Portafolio completo" sheetId="1" r:id="rId1"/>
    <sheet name="Portafolio por sector" sheetId="5" r:id="rId2"/>
    <sheet name="Hoja1" sheetId="4" r:id="rId3"/>
    <sheet name="Reporte Ejecutivo" sheetId="3" r:id="rId4"/>
  </sheets>
  <definedNames>
    <definedName name="_xlnm._FilterDatabase" localSheetId="0" hidden="1">'Portafolio completo'!$BS$1:$BS$75</definedName>
    <definedName name="_xlnm._FilterDatabase" localSheetId="1" hidden="1">'Portafolio por sector'!$A$2:$I$72</definedName>
    <definedName name="_xlnm._FilterDatabase" localSheetId="3" hidden="1">'Reporte Ejecutivo'!$A$4:$AU$66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73" i="5" l="1"/>
  <c r="F57" i="5"/>
  <c r="AZ14" i="1"/>
  <c r="AX42" i="1" l="1"/>
  <c r="N71" i="1" l="1"/>
  <c r="M52" i="1" l="1"/>
  <c r="M13" i="1" l="1"/>
  <c r="M16" i="1" l="1"/>
  <c r="M12" i="1" l="1"/>
  <c r="N5" i="1" l="1"/>
  <c r="O41" i="1" l="1"/>
  <c r="O35" i="1"/>
  <c r="O22" i="1"/>
  <c r="O10" i="1"/>
  <c r="O6" i="1"/>
  <c r="O5" i="1"/>
  <c r="O21" i="1"/>
  <c r="O20" i="1"/>
  <c r="X69" i="1"/>
  <c r="X13" i="1"/>
  <c r="AI13" i="1"/>
  <c r="AM16" i="1"/>
  <c r="AI16" i="1"/>
  <c r="O71" i="1" l="1"/>
  <c r="O67" i="1"/>
  <c r="O66" i="1" l="1"/>
  <c r="O59" i="1" l="1"/>
  <c r="O57" i="1"/>
  <c r="AI57" i="1" l="1"/>
  <c r="O55" i="1" l="1"/>
  <c r="O52" i="1" l="1"/>
  <c r="AM52" i="1"/>
  <c r="AI52" i="1"/>
  <c r="AI47" i="1" l="1"/>
  <c r="O45" i="1" l="1"/>
  <c r="O44" i="1" l="1"/>
  <c r="AI22" i="1" l="1"/>
  <c r="BA71" i="1"/>
  <c r="AY71" i="1"/>
  <c r="AW71" i="1"/>
  <c r="AU71" i="1"/>
  <c r="AR71" i="1"/>
  <c r="U71" i="1" s="1"/>
  <c r="AN71" i="1"/>
  <c r="AL71" i="1"/>
  <c r="AK71" i="1"/>
  <c r="AJ71" i="1"/>
  <c r="Z71" i="1"/>
  <c r="W71" i="1"/>
  <c r="R71" i="1"/>
  <c r="V71" i="1" s="1"/>
  <c r="Q71" i="1"/>
  <c r="I71" i="1"/>
  <c r="BB12" i="1" l="1"/>
  <c r="AM12" i="1" l="1"/>
  <c r="R3" i="1" l="1"/>
  <c r="AI3" i="1" l="1"/>
  <c r="AN3" i="1" s="1"/>
  <c r="BM70" i="1" l="1"/>
  <c r="BJ70" i="1"/>
  <c r="BA70" i="1"/>
  <c r="AY70" i="1"/>
  <c r="AW70" i="1"/>
  <c r="AU70" i="1"/>
  <c r="AN70" i="1"/>
  <c r="AL70" i="1"/>
  <c r="AK70" i="1"/>
  <c r="AJ70" i="1"/>
  <c r="Z70" i="1"/>
  <c r="I70" i="1"/>
  <c r="AT48" i="1" l="1"/>
  <c r="AT56" i="1" l="1"/>
  <c r="AT20" i="1" l="1"/>
  <c r="AT21" i="1" l="1"/>
  <c r="AU3" i="1" l="1"/>
  <c r="N66" i="1" l="1"/>
  <c r="Z4" i="1" l="1"/>
  <c r="BM69" i="1" l="1"/>
  <c r="BJ69" i="1"/>
  <c r="BA69" i="1"/>
  <c r="AY69" i="1"/>
  <c r="AW69" i="1"/>
  <c r="AU69" i="1"/>
  <c r="AL69" i="1"/>
  <c r="AK69" i="1"/>
  <c r="Z69" i="1"/>
  <c r="I69" i="1"/>
  <c r="AN69" i="1" l="1"/>
  <c r="AJ69" i="1"/>
  <c r="BA68" i="1" l="1"/>
  <c r="AY68" i="1"/>
  <c r="AW68" i="1"/>
  <c r="AU68" i="1"/>
  <c r="AR68" i="1"/>
  <c r="U68" i="1" s="1"/>
  <c r="AN68" i="1"/>
  <c r="AL68" i="1"/>
  <c r="AK68" i="1"/>
  <c r="AJ68" i="1"/>
  <c r="Z68" i="1"/>
  <c r="W68" i="1"/>
  <c r="R68" i="1"/>
  <c r="V68" i="1" s="1"/>
  <c r="Q68" i="1"/>
  <c r="N68" i="1"/>
  <c r="I68" i="1"/>
  <c r="BA67" i="1" l="1"/>
  <c r="AY67" i="1"/>
  <c r="AW67" i="1"/>
  <c r="AU67" i="1"/>
  <c r="AR67" i="1"/>
  <c r="U67" i="1" s="1"/>
  <c r="AN67" i="1"/>
  <c r="AL67" i="1"/>
  <c r="AK67" i="1"/>
  <c r="AJ67" i="1"/>
  <c r="Z67" i="1"/>
  <c r="W67" i="1"/>
  <c r="R67" i="1"/>
  <c r="V67" i="1" s="1"/>
  <c r="Q67" i="1"/>
  <c r="N67" i="1"/>
  <c r="I67" i="1"/>
  <c r="BA66" i="1"/>
  <c r="AY66" i="1"/>
  <c r="AW66" i="1"/>
  <c r="AU66" i="1"/>
  <c r="AR66" i="1"/>
  <c r="U66" i="1" s="1"/>
  <c r="AN66" i="1"/>
  <c r="AL66" i="1"/>
  <c r="AK66" i="1"/>
  <c r="AJ66" i="1"/>
  <c r="Z66" i="1"/>
  <c r="W66" i="1"/>
  <c r="R66" i="1"/>
  <c r="V66" i="1" s="1"/>
  <c r="Q66" i="1"/>
  <c r="I66" i="1"/>
  <c r="O32" i="1" l="1"/>
  <c r="AN65" i="1" l="1"/>
  <c r="BM65" i="1"/>
  <c r="BJ65" i="1"/>
  <c r="BA65" i="1"/>
  <c r="AY65" i="1"/>
  <c r="AW65" i="1"/>
  <c r="AU65" i="1"/>
  <c r="Z65" i="1"/>
  <c r="I65" i="1"/>
  <c r="AJ65" i="1" l="1"/>
  <c r="AK65" i="1"/>
  <c r="AL65" i="1"/>
  <c r="X57" i="1"/>
  <c r="X52" i="1" l="1"/>
  <c r="R47" i="1" l="1"/>
  <c r="X44" i="1" l="1"/>
  <c r="BB41" i="1"/>
  <c r="X16" i="1" l="1"/>
  <c r="R7" i="1" l="1"/>
  <c r="AL5" i="1" l="1"/>
  <c r="AL6" i="1"/>
  <c r="AH22" i="1" l="1"/>
  <c r="AG22" i="1"/>
  <c r="I64" i="1" l="1"/>
  <c r="BA64" i="1" l="1"/>
  <c r="AY64" i="1"/>
  <c r="AW64" i="1"/>
  <c r="AU64" i="1"/>
  <c r="AR64" i="1"/>
  <c r="U64" i="1" s="1"/>
  <c r="AN64" i="1"/>
  <c r="AL64" i="1"/>
  <c r="AK64" i="1"/>
  <c r="AJ64" i="1"/>
  <c r="Z64" i="1"/>
  <c r="W64" i="1"/>
  <c r="R64" i="1"/>
  <c r="V64" i="1" s="1"/>
  <c r="Q64" i="1"/>
  <c r="N64" i="1"/>
  <c r="AG4" i="1" l="1"/>
  <c r="AG10" i="1"/>
  <c r="AG5" i="1"/>
  <c r="AG44" i="1"/>
  <c r="AG59" i="1"/>
  <c r="AG47" i="1"/>
  <c r="AG46" i="1"/>
  <c r="AG26" i="1"/>
  <c r="AG9" i="1"/>
  <c r="AG43" i="1"/>
  <c r="AG45" i="1"/>
  <c r="AG55" i="1"/>
  <c r="AG57" i="1"/>
  <c r="AG7" i="1" l="1"/>
  <c r="AG3" i="1"/>
  <c r="AG25" i="1"/>
  <c r="AG52" i="1"/>
  <c r="AG38" i="1"/>
  <c r="AG35" i="1"/>
  <c r="AG41" i="1"/>
  <c r="R25" i="1" l="1"/>
  <c r="Q62" i="1"/>
  <c r="Q59" i="1"/>
  <c r="Q58" i="1"/>
  <c r="Q57" i="1"/>
  <c r="Q55" i="1"/>
  <c r="Q52" i="1"/>
  <c r="Q48" i="1"/>
  <c r="Q47" i="1"/>
  <c r="Q45" i="1"/>
  <c r="Q43" i="1"/>
  <c r="Q42" i="1"/>
  <c r="Q41" i="1"/>
  <c r="Q38" i="1"/>
  <c r="Q37" i="1"/>
  <c r="Q36" i="1"/>
  <c r="Q35" i="1"/>
  <c r="Q32" i="1"/>
  <c r="Q25" i="1"/>
  <c r="Q22" i="1"/>
  <c r="Q18" i="1"/>
  <c r="Q10" i="1"/>
  <c r="Q6" i="1"/>
  <c r="Q5" i="1"/>
  <c r="Q4" i="1"/>
  <c r="Q3" i="1"/>
  <c r="N62" i="1"/>
  <c r="N59" i="1"/>
  <c r="N58" i="1"/>
  <c r="N57" i="1"/>
  <c r="N55" i="1"/>
  <c r="N52" i="1"/>
  <c r="N48" i="1"/>
  <c r="N47" i="1"/>
  <c r="N45" i="1"/>
  <c r="N43" i="1"/>
  <c r="N42" i="1"/>
  <c r="N41" i="1"/>
  <c r="N38" i="1"/>
  <c r="N37" i="1"/>
  <c r="N36" i="1"/>
  <c r="N35" i="1"/>
  <c r="N32" i="1"/>
  <c r="N25" i="1"/>
  <c r="N22" i="1"/>
  <c r="N18" i="1"/>
  <c r="N10" i="1"/>
  <c r="R62" i="1"/>
  <c r="BA63" i="1"/>
  <c r="BA62" i="1"/>
  <c r="BA61"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AY63" i="1"/>
  <c r="AY62" i="1"/>
  <c r="AY61"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W63" i="1"/>
  <c r="AW62" i="1"/>
  <c r="AW61"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AW3" i="1"/>
  <c r="AN63" i="1"/>
  <c r="AN62" i="1"/>
  <c r="AN61" i="1"/>
  <c r="AN60" i="1"/>
  <c r="AN59" i="1"/>
  <c r="AN58" i="1"/>
  <c r="AN56" i="1"/>
  <c r="AN55" i="1"/>
  <c r="AN54" i="1"/>
  <c r="AN52" i="1"/>
  <c r="AN51" i="1"/>
  <c r="AN50" i="1"/>
  <c r="AN49" i="1"/>
  <c r="AN48" i="1"/>
  <c r="AN46" i="1"/>
  <c r="AN45" i="1"/>
  <c r="AN44" i="1"/>
  <c r="AN43" i="1"/>
  <c r="AN42" i="1"/>
  <c r="AN41" i="1"/>
  <c r="AN40" i="1"/>
  <c r="AN39" i="1"/>
  <c r="AN37" i="1"/>
  <c r="AN36" i="1"/>
  <c r="AN35" i="1"/>
  <c r="AN34" i="1"/>
  <c r="AN33" i="1"/>
  <c r="AN32" i="1"/>
  <c r="AN31" i="1"/>
  <c r="AN30" i="1"/>
  <c r="AN29" i="1"/>
  <c r="AN28" i="1"/>
  <c r="AN27" i="1"/>
  <c r="AN25" i="1"/>
  <c r="AN24" i="1"/>
  <c r="AN23" i="1"/>
  <c r="AN22" i="1"/>
  <c r="AN21" i="1"/>
  <c r="AN20" i="1"/>
  <c r="AN19" i="1"/>
  <c r="AN18" i="1"/>
  <c r="AN17" i="1"/>
  <c r="AN15" i="1"/>
  <c r="AN14" i="1"/>
  <c r="AN11" i="1"/>
  <c r="AN10" i="1"/>
  <c r="AN9" i="1"/>
  <c r="AN8" i="1"/>
  <c r="AN6" i="1"/>
  <c r="AN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2" i="1"/>
  <c r="AL63" i="1"/>
  <c r="AL62" i="1"/>
  <c r="AL61" i="1"/>
  <c r="AL60" i="1"/>
  <c r="AL59" i="1"/>
  <c r="AL58"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5" i="1"/>
  <c r="AL14" i="1"/>
  <c r="AL12" i="1"/>
  <c r="AL11" i="1"/>
  <c r="AL10" i="1"/>
  <c r="AL9" i="1"/>
  <c r="AL8" i="1"/>
  <c r="AL7" i="1"/>
  <c r="AL4" i="1"/>
  <c r="AK63" i="1"/>
  <c r="AK62" i="1"/>
  <c r="AK61" i="1"/>
  <c r="AK60" i="1"/>
  <c r="AK59" i="1"/>
  <c r="AK58"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5" i="1"/>
  <c r="AK14" i="1"/>
  <c r="AK12" i="1"/>
  <c r="AK11" i="1"/>
  <c r="AK10" i="1"/>
  <c r="AK9" i="1"/>
  <c r="AK8" i="1"/>
  <c r="AK7" i="1"/>
  <c r="AK6" i="1"/>
  <c r="AK5" i="1"/>
  <c r="AK4" i="1"/>
  <c r="AK2" i="1"/>
  <c r="G56" i="1"/>
  <c r="I63" i="1" l="1"/>
  <c r="I58" i="1"/>
  <c r="I56" i="1"/>
  <c r="I55" i="1"/>
  <c r="I53" i="1"/>
  <c r="I37" i="1"/>
  <c r="I36" i="1"/>
  <c r="I35" i="1"/>
  <c r="I27" i="1"/>
  <c r="I26" i="1"/>
  <c r="I10" i="1"/>
  <c r="I3" i="1"/>
  <c r="AJ63" i="1" l="1"/>
  <c r="AJ62" i="1"/>
  <c r="AJ61" i="1"/>
  <c r="AJ60" i="1"/>
  <c r="AJ59" i="1"/>
  <c r="AJ58"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5" i="1"/>
  <c r="AJ14" i="1"/>
  <c r="AJ12" i="1"/>
  <c r="AJ11" i="1"/>
  <c r="AJ10" i="1"/>
  <c r="AJ9" i="1"/>
  <c r="AJ8" i="1"/>
  <c r="AJ7" i="1"/>
  <c r="AJ57" i="1"/>
  <c r="AJ16" i="1"/>
  <c r="AJ13" i="1"/>
  <c r="Z3" i="1"/>
  <c r="AR62" i="1"/>
  <c r="U62" i="1" s="1"/>
  <c r="AU63" i="1"/>
  <c r="AU62" i="1"/>
  <c r="AU61" i="1"/>
  <c r="AU60" i="1"/>
  <c r="AU59" i="1"/>
  <c r="AU58" i="1"/>
  <c r="AU57" i="1"/>
  <c r="AU56" i="1"/>
  <c r="AU55" i="1"/>
  <c r="AU54" i="1"/>
  <c r="AU53" i="1"/>
  <c r="AU52" i="1"/>
  <c r="AU51" i="1"/>
  <c r="AU50" i="1"/>
  <c r="AU49" i="1"/>
  <c r="AU48" i="1"/>
  <c r="AU47" i="1"/>
  <c r="AU46" i="1"/>
  <c r="AU45" i="1"/>
  <c r="AU44" i="1"/>
  <c r="AU43" i="1"/>
  <c r="AU42" i="1"/>
  <c r="AU40" i="1"/>
  <c r="AU39" i="1"/>
  <c r="AU38" i="1"/>
  <c r="AU37" i="1"/>
  <c r="AU36" i="1"/>
  <c r="AU35" i="1"/>
  <c r="AU34" i="1"/>
  <c r="AU33" i="1"/>
  <c r="AU32" i="1"/>
  <c r="AU31" i="1"/>
  <c r="AU30" i="1"/>
  <c r="AU28" i="1"/>
  <c r="AU27" i="1"/>
  <c r="AU26" i="1"/>
  <c r="AU25" i="1"/>
  <c r="AU24" i="1"/>
  <c r="AU23" i="1"/>
  <c r="AU22" i="1"/>
  <c r="AU21" i="1"/>
  <c r="AU20" i="1"/>
  <c r="AU19" i="1"/>
  <c r="AU18" i="1"/>
  <c r="AU17" i="1"/>
  <c r="AU16" i="1"/>
  <c r="AU15" i="1"/>
  <c r="AU14" i="1"/>
  <c r="AU13" i="1"/>
  <c r="AU12" i="1"/>
  <c r="AU11" i="1"/>
  <c r="AU10" i="1"/>
  <c r="AU9" i="1"/>
  <c r="AU8" i="1"/>
  <c r="AU7" i="1"/>
  <c r="AU6" i="1"/>
  <c r="AU5" i="1"/>
  <c r="AU4" i="1"/>
  <c r="AU41" i="1"/>
  <c r="AT29" i="1"/>
  <c r="BJ63" i="1"/>
  <c r="BJ61" i="1"/>
  <c r="BJ56" i="1"/>
  <c r="BJ54" i="1"/>
  <c r="BJ51" i="1"/>
  <c r="BJ50" i="1"/>
  <c r="BJ49" i="1"/>
  <c r="BJ40" i="1"/>
  <c r="BJ39" i="1"/>
  <c r="BJ34" i="1"/>
  <c r="BJ31" i="1"/>
  <c r="BJ29" i="1"/>
  <c r="BJ28" i="1"/>
  <c r="BJ27" i="1"/>
  <c r="BJ26" i="1"/>
  <c r="BJ24" i="1"/>
  <c r="BJ23" i="1"/>
  <c r="BJ21" i="1"/>
  <c r="BJ20" i="1"/>
  <c r="BJ19" i="1"/>
  <c r="BJ17" i="1"/>
  <c r="BJ16" i="1"/>
  <c r="BJ15" i="1"/>
  <c r="BJ14" i="1"/>
  <c r="BJ13" i="1"/>
  <c r="BJ12" i="1"/>
  <c r="BJ11" i="1"/>
  <c r="BJ9" i="1"/>
  <c r="BJ2" i="1"/>
  <c r="I2" i="1"/>
  <c r="BM63" i="1"/>
  <c r="BM61" i="1"/>
  <c r="BM56" i="1"/>
  <c r="BM54" i="1"/>
  <c r="BM51" i="1"/>
  <c r="BM50" i="1"/>
  <c r="BM49" i="1"/>
  <c r="BM40" i="1"/>
  <c r="BM39" i="1"/>
  <c r="BM34" i="1"/>
  <c r="BM31" i="1"/>
  <c r="BM29" i="1"/>
  <c r="BM28" i="1"/>
  <c r="BM27" i="1"/>
  <c r="BM26" i="1"/>
  <c r="BM24" i="1"/>
  <c r="BM23" i="1"/>
  <c r="BM21" i="1"/>
  <c r="BM20" i="1"/>
  <c r="BM19" i="1"/>
  <c r="BM17" i="1"/>
  <c r="BM16" i="1"/>
  <c r="BM15" i="1"/>
  <c r="BM14" i="1"/>
  <c r="BM13" i="1"/>
  <c r="BM12" i="1"/>
  <c r="BM11" i="1"/>
  <c r="BM9" i="1"/>
  <c r="BM2" i="1"/>
  <c r="BA2" i="1"/>
  <c r="AY2" i="1"/>
  <c r="AW2" i="1"/>
  <c r="AL2" i="1"/>
  <c r="AJ2" i="1"/>
  <c r="W62" i="1"/>
  <c r="V62" i="1"/>
  <c r="I66" i="3"/>
  <c r="I64" i="3"/>
  <c r="I59" i="3"/>
  <c r="I57" i="3"/>
  <c r="I56" i="3"/>
  <c r="I54" i="3"/>
  <c r="I53" i="3"/>
  <c r="I52" i="3"/>
  <c r="I51" i="3"/>
  <c r="I50" i="3"/>
  <c r="I48" i="3"/>
  <c r="I47" i="3"/>
  <c r="I43" i="3"/>
  <c r="I42" i="3"/>
  <c r="I41" i="3"/>
  <c r="I37" i="3"/>
  <c r="I32" i="3"/>
  <c r="I29" i="3"/>
  <c r="I24" i="3"/>
  <c r="I23" i="3"/>
  <c r="I18" i="3"/>
  <c r="I17" i="3"/>
  <c r="I16" i="3"/>
  <c r="I15" i="3"/>
  <c r="I14" i="3"/>
  <c r="I13" i="3"/>
  <c r="I8" i="3"/>
  <c r="I7" i="3"/>
  <c r="AL13" i="1" l="1"/>
  <c r="AK13" i="1"/>
  <c r="AK16" i="1"/>
  <c r="AL16" i="1"/>
  <c r="AW59" i="1"/>
  <c r="BA59" i="1"/>
  <c r="AY59" i="1"/>
  <c r="AL57" i="1"/>
  <c r="AK57" i="1"/>
  <c r="AN57" i="1"/>
  <c r="AU29" i="1"/>
  <c r="BA60" i="1"/>
  <c r="AY60" i="1"/>
  <c r="AW60" i="1"/>
  <c r="AK3" i="1"/>
  <c r="AL3" i="1"/>
  <c r="AD16" i="3"/>
  <c r="AD8" i="3"/>
  <c r="AB64" i="3" l="1"/>
  <c r="P55" i="3" l="1"/>
  <c r="P37" i="3"/>
  <c r="O51" i="3"/>
  <c r="O29" i="3"/>
  <c r="N6" i="3" l="1"/>
  <c r="N8" i="3"/>
  <c r="N9" i="3"/>
  <c r="N10" i="3"/>
  <c r="N11" i="3"/>
  <c r="N12" i="3"/>
  <c r="N13"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8" i="3"/>
  <c r="N49" i="3"/>
  <c r="N50" i="3"/>
  <c r="N51" i="3"/>
  <c r="N52" i="3"/>
  <c r="N53" i="3"/>
  <c r="N54" i="3"/>
  <c r="N55" i="3"/>
  <c r="N56" i="3"/>
  <c r="N57" i="3"/>
  <c r="N58" i="3"/>
  <c r="N59" i="3"/>
  <c r="N60" i="3"/>
  <c r="N61" i="3"/>
  <c r="N62" i="3"/>
  <c r="N63" i="3"/>
  <c r="N64" i="3"/>
  <c r="N65" i="3"/>
  <c r="N5" i="3"/>
  <c r="K6" i="3"/>
  <c r="K8" i="3"/>
  <c r="K9" i="3"/>
  <c r="K10" i="3"/>
  <c r="K11" i="3"/>
  <c r="K12" i="3"/>
  <c r="K13"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8" i="3"/>
  <c r="K49" i="3"/>
  <c r="K50" i="3"/>
  <c r="K51" i="3"/>
  <c r="K52" i="3"/>
  <c r="K53" i="3"/>
  <c r="K54" i="3"/>
  <c r="K55" i="3"/>
  <c r="K56" i="3"/>
  <c r="K57" i="3"/>
  <c r="K58" i="3"/>
  <c r="K59" i="3"/>
  <c r="K60" i="3"/>
  <c r="K61" i="3"/>
  <c r="K62" i="3"/>
  <c r="K63" i="3"/>
  <c r="K64" i="3"/>
  <c r="K65" i="3"/>
  <c r="K5" i="3"/>
  <c r="AP7" i="3"/>
  <c r="AP8" i="3"/>
  <c r="AP15" i="3"/>
  <c r="AP17" i="3"/>
  <c r="AP20" i="3"/>
  <c r="AP26" i="3"/>
  <c r="AP35" i="3"/>
  <c r="AP38" i="3"/>
  <c r="AP48" i="3"/>
  <c r="AP51" i="3"/>
  <c r="AP59" i="3"/>
  <c r="AP60" i="3"/>
  <c r="AP66" i="3"/>
  <c r="AQ7" i="3"/>
  <c r="AQ8" i="3"/>
  <c r="AQ15" i="3"/>
  <c r="AQ17" i="3"/>
  <c r="AQ20" i="3"/>
  <c r="AQ26" i="3"/>
  <c r="AQ35" i="3"/>
  <c r="AQ38" i="3"/>
  <c r="AQ48" i="3"/>
  <c r="AQ51" i="3"/>
  <c r="AQ59" i="3"/>
  <c r="AQ60" i="3"/>
  <c r="AQ66" i="3"/>
  <c r="AD7" i="3" l="1"/>
  <c r="AN63" i="3" l="1"/>
  <c r="AN56" i="3"/>
  <c r="AN47" i="3"/>
  <c r="AN43" i="3"/>
  <c r="AN34" i="3"/>
  <c r="AN33" i="3"/>
  <c r="AN29" i="3"/>
  <c r="AN28" i="3"/>
  <c r="AN22" i="3"/>
  <c r="AN18" i="3"/>
  <c r="W13" i="3"/>
  <c r="G61" i="3"/>
  <c r="G60" i="3"/>
  <c r="G57" i="3"/>
  <c r="AP29" i="3" l="1"/>
  <c r="AQ29" i="3"/>
  <c r="AP47" i="3"/>
  <c r="AQ47" i="3"/>
  <c r="AP28" i="3"/>
  <c r="AQ28" i="3"/>
  <c r="AP18" i="3"/>
  <c r="AQ18" i="3"/>
  <c r="AQ56" i="3"/>
  <c r="AP56" i="3"/>
  <c r="AP43" i="3"/>
  <c r="AQ43" i="3"/>
  <c r="AP33" i="3"/>
  <c r="AQ33" i="3"/>
  <c r="AP22" i="3"/>
  <c r="AQ22" i="3"/>
  <c r="AP34" i="3"/>
  <c r="AQ34" i="3"/>
  <c r="AP63" i="3"/>
  <c r="AQ63" i="3"/>
  <c r="G47" i="3"/>
  <c r="G43" i="3" l="1"/>
  <c r="G29" i="3"/>
  <c r="G26" i="3"/>
  <c r="G22" i="3"/>
  <c r="G18" i="3"/>
  <c r="G7" i="3"/>
  <c r="P8" i="3"/>
  <c r="P15" i="3"/>
  <c r="P19" i="3"/>
  <c r="P29" i="3"/>
  <c r="P32" i="3"/>
  <c r="P34" i="3"/>
  <c r="P38" i="3"/>
  <c r="P51" i="3"/>
  <c r="P52" i="3"/>
  <c r="P59" i="3"/>
  <c r="P64" i="3"/>
  <c r="P65" i="3"/>
  <c r="AM42" i="3"/>
  <c r="AM37" i="3"/>
  <c r="AD11" i="3"/>
  <c r="AD18" i="3"/>
  <c r="AD19" i="3"/>
  <c r="AD23" i="3"/>
  <c r="AD24" i="3"/>
  <c r="AD32" i="3"/>
  <c r="AD37" i="3"/>
  <c r="AD43" i="3"/>
  <c r="AD47" i="3"/>
  <c r="AD48" i="3"/>
  <c r="AD52" i="3"/>
  <c r="AD53" i="3"/>
  <c r="AD54" i="3"/>
  <c r="AD57" i="3"/>
  <c r="AD59" i="3"/>
  <c r="AD66" i="3"/>
  <c r="AC64" i="3"/>
  <c r="AD64" i="3" s="1"/>
  <c r="X7" i="3"/>
  <c r="X8" i="3"/>
  <c r="X11" i="3"/>
  <c r="X15" i="3"/>
  <c r="X16" i="3"/>
  <c r="X17" i="3"/>
  <c r="X18" i="3"/>
  <c r="X19" i="3"/>
  <c r="X23" i="3"/>
  <c r="X24" i="3"/>
  <c r="X32" i="3"/>
  <c r="X37" i="3"/>
  <c r="X41" i="3"/>
  <c r="X42" i="3"/>
  <c r="X43" i="3"/>
  <c r="X47" i="3"/>
  <c r="X48" i="3"/>
  <c r="X50" i="3"/>
  <c r="X52" i="3"/>
  <c r="X53" i="3"/>
  <c r="X54" i="3"/>
  <c r="X57" i="3"/>
  <c r="X59" i="3"/>
  <c r="X64" i="3"/>
  <c r="X66" i="3"/>
  <c r="X13" i="3"/>
  <c r="I6" i="3"/>
  <c r="I9" i="3"/>
  <c r="I10" i="3"/>
  <c r="I20" i="3"/>
  <c r="I22" i="3"/>
  <c r="I26" i="3"/>
  <c r="I28" i="3"/>
  <c r="I31" i="3"/>
  <c r="I33" i="3"/>
  <c r="I34" i="3"/>
  <c r="I35" i="3"/>
  <c r="I38" i="3"/>
  <c r="I63" i="3"/>
  <c r="I5" i="3"/>
  <c r="H66" i="3"/>
  <c r="H47" i="3"/>
  <c r="H14" i="3"/>
  <c r="N47" i="3" l="1"/>
  <c r="K47" i="3"/>
  <c r="N14" i="3"/>
  <c r="K14" i="3"/>
  <c r="AP37" i="3"/>
  <c r="AQ37" i="3"/>
  <c r="N66" i="3"/>
  <c r="K66" i="3"/>
  <c r="K7" i="3"/>
  <c r="N7" i="3"/>
  <c r="H67" i="3"/>
  <c r="AD13" i="3"/>
  <c r="AN2" i="1" l="1"/>
  <c r="W7" i="1" l="1"/>
  <c r="Q7" i="1"/>
  <c r="N7" i="1"/>
  <c r="N6" i="1"/>
  <c r="N4" i="1"/>
  <c r="N3" i="1"/>
  <c r="K44" i="1"/>
  <c r="AJ4" i="1" l="1"/>
  <c r="AJ5" i="1"/>
  <c r="AJ6" i="1"/>
  <c r="O58" i="1" l="1"/>
  <c r="AN53" i="1" l="1"/>
  <c r="AN47" i="1" l="1"/>
  <c r="AN38" i="1" l="1"/>
  <c r="AN26" i="1" l="1"/>
  <c r="AN16" i="1" l="1"/>
  <c r="AN13" i="1" l="1"/>
  <c r="AN12" i="1" l="1"/>
  <c r="V7" i="1" l="1"/>
  <c r="AN7" i="1" l="1"/>
  <c r="AN5" i="1" l="1"/>
  <c r="AJ3" i="1" l="1"/>
  <c r="R55" i="1" l="1"/>
  <c r="AR60" i="1" l="1"/>
  <c r="W60" i="1" s="1"/>
  <c r="V60" i="1"/>
  <c r="R4" i="1" l="1"/>
  <c r="V4" i="1" l="1"/>
  <c r="W59" i="1"/>
  <c r="AR59" i="1"/>
  <c r="U59" i="1" s="1"/>
  <c r="R59" i="1"/>
  <c r="W58" i="1"/>
  <c r="V59" i="1" l="1"/>
  <c r="AR58" i="1"/>
  <c r="U58" i="1" s="1"/>
  <c r="R58" i="1"/>
  <c r="V58" i="1" s="1"/>
  <c r="W57" i="1"/>
  <c r="R57" i="1"/>
  <c r="V57" i="1" s="1"/>
  <c r="AR57" i="1"/>
  <c r="U57" i="1" s="1"/>
  <c r="AR3" i="1" l="1"/>
  <c r="R5" i="1"/>
  <c r="AR53" i="1"/>
  <c r="W53" i="1" s="1"/>
  <c r="L44" i="1"/>
  <c r="V53" i="1"/>
  <c r="AU2" i="1"/>
  <c r="AR4" i="1"/>
  <c r="AR5" i="1"/>
  <c r="W5" i="1" s="1"/>
  <c r="AR6" i="1"/>
  <c r="W6" i="1" s="1"/>
  <c r="AR7" i="1"/>
  <c r="AR10" i="1"/>
  <c r="U10" i="1" s="1"/>
  <c r="AR18" i="1"/>
  <c r="U18" i="1" s="1"/>
  <c r="AR22" i="1"/>
  <c r="U22" i="1" s="1"/>
  <c r="AR25" i="1"/>
  <c r="U25" i="1" s="1"/>
  <c r="AR32" i="1"/>
  <c r="U32" i="1" s="1"/>
  <c r="AR35" i="1"/>
  <c r="AR36" i="1"/>
  <c r="U36" i="1" s="1"/>
  <c r="AR37" i="1"/>
  <c r="AR38" i="1"/>
  <c r="U38" i="1" s="1"/>
  <c r="AR41" i="1"/>
  <c r="U41" i="1" s="1"/>
  <c r="AR42" i="1"/>
  <c r="AR43" i="1"/>
  <c r="U43" i="1" s="1"/>
  <c r="AR44" i="1"/>
  <c r="AR45" i="1"/>
  <c r="U45" i="1" s="1"/>
  <c r="AR46" i="1"/>
  <c r="AR47" i="1"/>
  <c r="U47" i="1" s="1"/>
  <c r="AR48" i="1"/>
  <c r="AR52" i="1"/>
  <c r="U52" i="1" s="1"/>
  <c r="AR55" i="1"/>
  <c r="U55" i="1" s="1"/>
  <c r="R22" i="1"/>
  <c r="V22" i="1" s="1"/>
  <c r="R32" i="1"/>
  <c r="V32" i="1" s="1"/>
  <c r="R35" i="1"/>
  <c r="V35" i="1" s="1"/>
  <c r="O36" i="1"/>
  <c r="R36" i="1" s="1"/>
  <c r="V36" i="1" s="1"/>
  <c r="O37" i="1"/>
  <c r="R37" i="1" s="1"/>
  <c r="R38" i="1"/>
  <c r="V38" i="1" s="1"/>
  <c r="R41" i="1"/>
  <c r="V41" i="1" s="1"/>
  <c r="R42" i="1"/>
  <c r="V42" i="1" s="1"/>
  <c r="R43" i="1"/>
  <c r="V43" i="1" s="1"/>
  <c r="R45" i="1"/>
  <c r="V45" i="1" s="1"/>
  <c r="V47" i="1"/>
  <c r="R52" i="1"/>
  <c r="V52" i="1" s="1"/>
  <c r="V55" i="1"/>
  <c r="W55" i="1"/>
  <c r="V46" i="1"/>
  <c r="V48" i="1"/>
  <c r="W52" i="1"/>
  <c r="W45" i="1"/>
  <c r="W36" i="1"/>
  <c r="W25" i="1"/>
  <c r="W22" i="1"/>
  <c r="W18" i="1"/>
  <c r="BT44" i="1"/>
  <c r="U44" i="1" l="1"/>
  <c r="V5" i="1"/>
  <c r="V37" i="1"/>
  <c r="U37" i="1"/>
  <c r="N44" i="1"/>
  <c r="Q44" i="1"/>
  <c r="W35" i="1"/>
  <c r="U35" i="1"/>
  <c r="W48" i="1"/>
  <c r="U48" i="1"/>
  <c r="W46" i="1"/>
  <c r="U46" i="1"/>
  <c r="W42" i="1"/>
  <c r="U42" i="1"/>
  <c r="U7" i="1"/>
  <c r="T7" i="1"/>
  <c r="W3" i="1"/>
  <c r="U4" i="1"/>
  <c r="U6" i="1"/>
  <c r="W41" i="1"/>
  <c r="W44" i="1"/>
  <c r="W10" i="1"/>
  <c r="R44" i="1"/>
  <c r="W4" i="1"/>
  <c r="W38" i="1"/>
  <c r="W47" i="1"/>
  <c r="R10" i="1"/>
  <c r="V10" i="1" s="1"/>
  <c r="W32" i="1"/>
  <c r="R18" i="1"/>
  <c r="V18" i="1" s="1"/>
  <c r="V3" i="1"/>
  <c r="U3" i="1"/>
  <c r="R6" i="1"/>
  <c r="V6" i="1" s="1"/>
  <c r="U5" i="1"/>
  <c r="W43" i="1"/>
  <c r="W37" i="1"/>
  <c r="V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 PADILLA</author>
  </authors>
  <commentList>
    <comment ref="L1" authorId="0" shapeId="0" xr:uid="{FA99E88A-DD94-45B6-A33C-F8DFEA4D4A8F}">
      <text>
        <r>
          <rPr>
            <b/>
            <sz val="9"/>
            <color indexed="81"/>
            <rFont val="Tahoma"/>
            <family val="2"/>
          </rPr>
          <t>FER PADILLA:</t>
        </r>
        <r>
          <rPr>
            <sz val="9"/>
            <color indexed="81"/>
            <rFont val="Tahoma"/>
            <family val="2"/>
          </rPr>
          <t xml:space="preserve">
preguntar si es total o de fuente de pago</t>
        </r>
      </text>
    </comment>
  </commentList>
</comments>
</file>

<file path=xl/sharedStrings.xml><?xml version="1.0" encoding="utf-8"?>
<sst xmlns="http://schemas.openxmlformats.org/spreadsheetml/2006/main" count="3520" uniqueCount="392">
  <si>
    <t xml:space="preserve"> FINANCIAMIENTO AUTORIZADO</t>
  </si>
  <si>
    <t>Cliente</t>
  </si>
  <si>
    <t>Moneda</t>
  </si>
  <si>
    <t>Línea Global</t>
  </si>
  <si>
    <t>Sublíneas</t>
  </si>
  <si>
    <t>Producto</t>
  </si>
  <si>
    <t>Admin. de ingresos</t>
  </si>
  <si>
    <t>Estatus de cesión</t>
  </si>
  <si>
    <t>Pagadores autorizados</t>
  </si>
  <si>
    <t>Monto del contrato</t>
  </si>
  <si>
    <t>Disposiciones operadas</t>
  </si>
  <si>
    <t>Monto dispuesto</t>
  </si>
  <si>
    <t>Amortizado</t>
  </si>
  <si>
    <t>Reserva intereses</t>
  </si>
  <si>
    <t>Core One Information Technology, s.a. de c.v.</t>
  </si>
  <si>
    <t>MXN</t>
  </si>
  <si>
    <t>Factoraje</t>
  </si>
  <si>
    <t>STP</t>
  </si>
  <si>
    <t>Confirmada</t>
  </si>
  <si>
    <t>HP,Six Sigma, Mas negocio, Infotec</t>
  </si>
  <si>
    <t>N/A</t>
  </si>
  <si>
    <t>Normal</t>
  </si>
  <si>
    <t>Vigente</t>
  </si>
  <si>
    <t>Limpieza Val s.a. de c.v. (grupo Vallejo)</t>
  </si>
  <si>
    <t>GAP / Fibra Danhos</t>
  </si>
  <si>
    <t>Reducida</t>
  </si>
  <si>
    <t>SEICSA</t>
  </si>
  <si>
    <t>Liverpool/Estafeta</t>
  </si>
  <si>
    <t>CxC</t>
  </si>
  <si>
    <t>n/a</t>
  </si>
  <si>
    <t>Detenida</t>
  </si>
  <si>
    <t>detenida</t>
  </si>
  <si>
    <t>SERVISEG</t>
  </si>
  <si>
    <t>GAP/OMA</t>
  </si>
  <si>
    <t>Roan</t>
  </si>
  <si>
    <t>confirmada / en proceso</t>
  </si>
  <si>
    <t>Femsa / PISA</t>
  </si>
  <si>
    <t>Mercadeo</t>
  </si>
  <si>
    <t>Fiso/STP</t>
  </si>
  <si>
    <t>Cheil, diafimex, Oriont.</t>
  </si>
  <si>
    <t>Trantor</t>
  </si>
  <si>
    <t>Cta. Ctrl.</t>
  </si>
  <si>
    <t>Banorte/Actinver</t>
  </si>
  <si>
    <t>SIPPSA</t>
  </si>
  <si>
    <t>Halliburton/ Schlumberger/ Petro SPM/ Wintershall</t>
  </si>
  <si>
    <t>NEEM</t>
  </si>
  <si>
    <t>Estée Lauder Cosméticos y ABC Aerolíneas, FAMSA</t>
  </si>
  <si>
    <t>Inyeccion y Espumado</t>
  </si>
  <si>
    <t>USD</t>
  </si>
  <si>
    <t>Jopp Automotive/ Novares/Lunketec/ Graamer</t>
  </si>
  <si>
    <t>Debraya/WW</t>
  </si>
  <si>
    <t>INBURSA</t>
  </si>
  <si>
    <t>World Wildlife, Radiomovil DIPSA, Embotelladora y Distribuidora GEPP y Electropura</t>
  </si>
  <si>
    <t>Ache MKT</t>
  </si>
  <si>
    <t>Liquidado</t>
  </si>
  <si>
    <t>Foostudio</t>
  </si>
  <si>
    <t>Grupo Martí</t>
  </si>
  <si>
    <t>General Datacom/Enterprise</t>
  </si>
  <si>
    <t>Consorcio Red UNO/Total Play/Operbes</t>
  </si>
  <si>
    <t>KLG</t>
  </si>
  <si>
    <t>Coopel y Hershey.</t>
  </si>
  <si>
    <t>Por confirmar</t>
  </si>
  <si>
    <t>Adidas / Moctezuma / Facebook/Hyundai/Malta/Inter/</t>
  </si>
  <si>
    <t>EON Igniting</t>
  </si>
  <si>
    <t>Fin. Indep / Nielsen / Si Vale / Estefanini / Prosa</t>
  </si>
  <si>
    <t>OMA</t>
  </si>
  <si>
    <t>Costco / Alianza</t>
  </si>
  <si>
    <t>Plasset Ingredients</t>
  </si>
  <si>
    <t xml:space="preserve">TIR Nutrition / Lallemand </t>
  </si>
  <si>
    <t>Spiral</t>
  </si>
  <si>
    <t>Conagra Foods/Interpublic/Herdez</t>
  </si>
  <si>
    <t>Integradora Vallarta</t>
  </si>
  <si>
    <t>Padres de Familia</t>
  </si>
  <si>
    <t>J&amp;B</t>
  </si>
  <si>
    <t>Xaxeni</t>
  </si>
  <si>
    <t>Fibra 1/ Farm. Ahorro / Costco</t>
  </si>
  <si>
    <t>JAESSA</t>
  </si>
  <si>
    <t>MORGAN</t>
  </si>
  <si>
    <t>Braskem</t>
  </si>
  <si>
    <t>Machinery</t>
  </si>
  <si>
    <t>Linamar/Valeo/Egicom/Lear</t>
  </si>
  <si>
    <t>Band of Insiders</t>
  </si>
  <si>
    <t>1.11X</t>
  </si>
  <si>
    <t>Flujos Fut.</t>
  </si>
  <si>
    <t>Flujos Cont.</t>
  </si>
  <si>
    <t>Flujos CxC</t>
  </si>
  <si>
    <t>Trame Transportes</t>
  </si>
  <si>
    <t>Consorcio de Marcas</t>
  </si>
  <si>
    <t>Nadro/Ubicyum/Fressenius</t>
  </si>
  <si>
    <t>DCO Supply</t>
  </si>
  <si>
    <t>Heartlink</t>
  </si>
  <si>
    <t>Ara Seguridad</t>
  </si>
  <si>
    <t>Fondeador</t>
  </si>
  <si>
    <t>Structura</t>
  </si>
  <si>
    <t>Hospitales Angeles/Cardiac &amp; Vascular/ Médica Diart.</t>
  </si>
  <si>
    <t>Ford / Matalúrgica del Cobre</t>
  </si>
  <si>
    <t>Carso / Mpio. Coatza. / Tomás Ruíz.</t>
  </si>
  <si>
    <t>Fimubac</t>
  </si>
  <si>
    <t>Nidec Automotive</t>
  </si>
  <si>
    <t>Carsa Estructuras y Pavimentos</t>
  </si>
  <si>
    <t>Contratos</t>
  </si>
  <si>
    <t>Ortohead</t>
  </si>
  <si>
    <t>Grupo Modelo/XPO/LICONSA</t>
  </si>
  <si>
    <t>Crista la Santa, Propimex, Coca Cola, Frabel. Busch/ Philips Morris/Diblo</t>
  </si>
  <si>
    <t>Transom</t>
  </si>
  <si>
    <t>BMW/Mingua/Wyetree/ABB/Cummins/Draexlmaier</t>
  </si>
  <si>
    <t>Chemour/Flex America/GE Grid/McDemott</t>
  </si>
  <si>
    <t>Comercializadora de Hidracarburos Noil</t>
  </si>
  <si>
    <t>Flo</t>
  </si>
  <si>
    <t>Nolana Auto Part &amp; Auto Sales</t>
  </si>
  <si>
    <t>Mangueras</t>
  </si>
  <si>
    <t>MOA Nicket/CMBI Peña/Farmacuba</t>
  </si>
  <si>
    <t>Bewell</t>
  </si>
  <si>
    <t>Copperl Corporation/Nueva Elektra</t>
  </si>
  <si>
    <t>America Energy Service</t>
  </si>
  <si>
    <t>Analista</t>
  </si>
  <si>
    <t>Jorge Mendoza</t>
  </si>
  <si>
    <t>Industrias de Asientos/TF Metal</t>
  </si>
  <si>
    <t>Prensas y Troqueles</t>
  </si>
  <si>
    <t>Fernando Cespedes</t>
  </si>
  <si>
    <t>Envases Universales/Condumex/Logtec/Manufacturera Mexicana/Arteche</t>
  </si>
  <si>
    <t>Refriclimas</t>
  </si>
  <si>
    <t>Connus</t>
  </si>
  <si>
    <t>Energética</t>
  </si>
  <si>
    <t>Bonnati</t>
  </si>
  <si>
    <t>Sport Wolds</t>
  </si>
  <si>
    <t>Mission Foods</t>
  </si>
  <si>
    <t>Retrasada</t>
  </si>
  <si>
    <t>Amortizacion del periodo</t>
  </si>
  <si>
    <t>Estatus Facturación</t>
  </si>
  <si>
    <t>Petrofac / Perenco</t>
  </si>
  <si>
    <t>Grupo Ferroviario Civil (Fercisa)</t>
  </si>
  <si>
    <t>SMX</t>
  </si>
  <si>
    <t>PHMC / hospital san javier</t>
  </si>
  <si>
    <t>Apalancamiento actual</t>
  </si>
  <si>
    <t>Aforo mínimo requerido</t>
  </si>
  <si>
    <t>Sin restricción</t>
  </si>
  <si>
    <t>STP/ Cta. Ctrl.</t>
  </si>
  <si>
    <t>Servicio de deuda del periodo</t>
  </si>
  <si>
    <t>AS Suminstros</t>
  </si>
  <si>
    <t>DOGO Informatique</t>
  </si>
  <si>
    <t>FIMESA</t>
  </si>
  <si>
    <t>Aforo promedio esperado</t>
  </si>
  <si>
    <t>Aforo real de cobranza</t>
  </si>
  <si>
    <t>aforo de CxC</t>
  </si>
  <si>
    <t>Cobranza mínima requerida</t>
  </si>
  <si>
    <t>Fact. X cobrar (CxC reales)</t>
  </si>
  <si>
    <t>Continental/Cmex Concretos/Orange Capital/Faudi</t>
  </si>
  <si>
    <t>Por definir</t>
  </si>
  <si>
    <t>Cimentaciones/ICA Flour/Samsung/IDINSA/Servifacil/Mexichem/Pimosa/Keller</t>
  </si>
  <si>
    <t>Sukarne/Grupo Bafar/Grupo BIS</t>
  </si>
  <si>
    <t>Estructura</t>
  </si>
  <si>
    <t>Facturación acumulada Ciclo de pago</t>
  </si>
  <si>
    <t>ciclo de pago (meses)</t>
  </si>
  <si>
    <t>Grupo Posadas/Promologistics/ DECODE/Global Reguard Solutions</t>
  </si>
  <si>
    <t>Adloazh</t>
  </si>
  <si>
    <t>ZTE Corporation / Estee Lauder Cosmeticos</t>
  </si>
  <si>
    <t>Reysan</t>
  </si>
  <si>
    <t>Tiendas Chedrahui/Leonali</t>
  </si>
  <si>
    <t>Apalancamiento autorizado</t>
  </si>
  <si>
    <t>Grupo Empresarial de Puentes y Estructuras (GEPESA)</t>
  </si>
  <si>
    <t>Fiso</t>
  </si>
  <si>
    <t>CAPUFE</t>
  </si>
  <si>
    <t>SEMSA</t>
  </si>
  <si>
    <t>Cyplus-IDESA</t>
  </si>
  <si>
    <t>MAYIBE/RANCHO EL MANANTIAL</t>
  </si>
  <si>
    <t>Cesión perfecionada/ STP</t>
  </si>
  <si>
    <t>2.6:1x</t>
  </si>
  <si>
    <t>VALKIPRO</t>
  </si>
  <si>
    <t>Televisa/IZZI/SKY/LIVERPOOL</t>
  </si>
  <si>
    <t>2X</t>
  </si>
  <si>
    <t>ZINA ANAID</t>
  </si>
  <si>
    <t>Gerdau/Deacero Recycling/Grass/Deacero</t>
  </si>
  <si>
    <t>2.6X</t>
  </si>
  <si>
    <t>BIDCOM</t>
  </si>
  <si>
    <t>Ardipu</t>
  </si>
  <si>
    <t>Apalancamiento máximo posible</t>
  </si>
  <si>
    <t>Facturación mínima</t>
  </si>
  <si>
    <t>Aforo de facturacion del periodo</t>
  </si>
  <si>
    <t>Indice de concentracion HHI autorizado (compañía)</t>
  </si>
  <si>
    <t>Indice de concentracion HHI real (compañía)</t>
  </si>
  <si>
    <t>Porcentaje de ventas controladas autorizado</t>
  </si>
  <si>
    <t>Porcentaje de ventas controladas real</t>
  </si>
  <si>
    <t>Facturacion total (compañía)</t>
  </si>
  <si>
    <t>% de apalancamiento (actual / autorizado)</t>
  </si>
  <si>
    <t>Saldo insoluto actual</t>
  </si>
  <si>
    <t>Monto con retraso</t>
  </si>
  <si>
    <t>Monto Vencido</t>
  </si>
  <si>
    <t>% vencido / saldo isoluto</t>
  </si>
  <si>
    <t>% retrasado / saldo isoluto</t>
  </si>
  <si>
    <t>Estaus de pagarés</t>
  </si>
  <si>
    <t>% Saldo insoluto / monto de línea total</t>
  </si>
  <si>
    <t>% de pagadores contorlados</t>
  </si>
  <si>
    <t>Consultas acumuladas a la fecha (año en curso)</t>
  </si>
  <si>
    <t>Aforo mínimo de garantía</t>
  </si>
  <si>
    <t>Aforo real de garantía</t>
  </si>
  <si>
    <t>Monto de garantía</t>
  </si>
  <si>
    <t>Vancimiento de pagaré</t>
  </si>
  <si>
    <t>Vencimiento pago mensual</t>
  </si>
  <si>
    <t>Estatus pago mensual</t>
  </si>
  <si>
    <t>Dias de retraso pago mensual</t>
  </si>
  <si>
    <t>Dias de retraso Pagaré</t>
  </si>
  <si>
    <t>días para elegibilidad mensualidad</t>
  </si>
  <si>
    <t>días para elegibilidad Pagaré</t>
  </si>
  <si>
    <t>litigios nuevos relevantes</t>
  </si>
  <si>
    <t>Incripciones nuevas en el RUG</t>
  </si>
  <si>
    <t>Pagadores en prenda</t>
  </si>
  <si>
    <t>Notificaciones de incumplimiento</t>
  </si>
  <si>
    <t>Facturación mensual esperada</t>
  </si>
  <si>
    <r>
      <t>Facturación efectiva</t>
    </r>
    <r>
      <rPr>
        <sz val="10"/>
        <color theme="1"/>
        <rFont val="Calibri"/>
        <family val="2"/>
        <scheme val="minor"/>
      </rPr>
      <t xml:space="preserve"> (Facturación mensual real/Facturación mensual esperada)</t>
    </r>
  </si>
  <si>
    <r>
      <t xml:space="preserve">cobranza efectiva </t>
    </r>
    <r>
      <rPr>
        <sz val="10"/>
        <color theme="1"/>
        <rFont val="Calibri"/>
        <family val="2"/>
        <scheme val="minor"/>
      </rPr>
      <t>(Cobranza mensual real/Facturación mensual esperada)</t>
    </r>
  </si>
  <si>
    <t>Facturación mensual real</t>
  </si>
  <si>
    <t>% Monto en retraso / saldo isoluto</t>
  </si>
  <si>
    <t>% Monto vencido / saldo isoluto</t>
  </si>
  <si>
    <t>Valor de la garantía</t>
  </si>
  <si>
    <t>Estatus del Crédito</t>
  </si>
  <si>
    <t>Ciclo de pago (meses)</t>
  </si>
  <si>
    <t>Cobranza observada en el ciclo de pago</t>
  </si>
  <si>
    <r>
      <t xml:space="preserve">Indice de concentracion HHI </t>
    </r>
    <r>
      <rPr>
        <b/>
        <u/>
        <sz val="10"/>
        <color theme="1"/>
        <rFont val="Calibri"/>
        <family val="2"/>
        <scheme val="minor"/>
      </rPr>
      <t>autorizado</t>
    </r>
    <r>
      <rPr>
        <b/>
        <sz val="10"/>
        <color theme="1"/>
        <rFont val="Calibri"/>
        <family val="2"/>
        <scheme val="minor"/>
      </rPr>
      <t xml:space="preserve"> (compañía)</t>
    </r>
  </si>
  <si>
    <r>
      <t xml:space="preserve">Indice de concentracion HHI </t>
    </r>
    <r>
      <rPr>
        <b/>
        <u/>
        <sz val="10"/>
        <color theme="1"/>
        <rFont val="Calibri"/>
        <family val="2"/>
        <scheme val="minor"/>
      </rPr>
      <t>real</t>
    </r>
    <r>
      <rPr>
        <b/>
        <sz val="10"/>
        <color theme="1"/>
        <rFont val="Calibri"/>
        <family val="2"/>
        <scheme val="minor"/>
      </rPr>
      <t xml:space="preserve"> (compañía)</t>
    </r>
  </si>
  <si>
    <r>
      <t xml:space="preserve">Indice de concentracion HHI </t>
    </r>
    <r>
      <rPr>
        <b/>
        <u/>
        <sz val="10"/>
        <color theme="1"/>
        <rFont val="Calibri"/>
        <family val="2"/>
        <scheme val="minor"/>
      </rPr>
      <t>autorizado</t>
    </r>
    <r>
      <rPr>
        <b/>
        <sz val="10"/>
        <color theme="1"/>
        <rFont val="Calibri"/>
        <family val="2"/>
        <scheme val="minor"/>
      </rPr>
      <t xml:space="preserve"> (pagadores)</t>
    </r>
  </si>
  <si>
    <r>
      <t xml:space="preserve">Indice de concentracion HHI </t>
    </r>
    <r>
      <rPr>
        <b/>
        <u/>
        <sz val="10"/>
        <color theme="1"/>
        <rFont val="Calibri"/>
        <family val="2"/>
        <scheme val="minor"/>
      </rPr>
      <t>real</t>
    </r>
    <r>
      <rPr>
        <b/>
        <sz val="10"/>
        <color theme="1"/>
        <rFont val="Calibri"/>
        <family val="2"/>
        <scheme val="minor"/>
      </rPr>
      <t xml:space="preserve"> (pagadores)</t>
    </r>
  </si>
  <si>
    <r>
      <t xml:space="preserve">Porcentaje de ventas controladas </t>
    </r>
    <r>
      <rPr>
        <b/>
        <u/>
        <sz val="10"/>
        <color theme="1"/>
        <rFont val="Calibri"/>
        <family val="2"/>
        <scheme val="minor"/>
      </rPr>
      <t>autorizado</t>
    </r>
  </si>
  <si>
    <r>
      <t xml:space="preserve">Porcentaje de ventas controladas </t>
    </r>
    <r>
      <rPr>
        <b/>
        <u/>
        <sz val="10"/>
        <color theme="1"/>
        <rFont val="Calibri"/>
        <family val="2"/>
        <scheme val="minor"/>
      </rPr>
      <t>real</t>
    </r>
  </si>
  <si>
    <r>
      <t xml:space="preserve">%  Apalancamiento </t>
    </r>
    <r>
      <rPr>
        <b/>
        <u/>
        <sz val="10"/>
        <color theme="1"/>
        <rFont val="Calibri"/>
        <family val="2"/>
        <scheme val="minor"/>
      </rPr>
      <t>autorizado</t>
    </r>
  </si>
  <si>
    <r>
      <t xml:space="preserve">% Apalancamiento </t>
    </r>
    <r>
      <rPr>
        <b/>
        <u/>
        <sz val="10"/>
        <color theme="1"/>
        <rFont val="Calibri"/>
        <family val="2"/>
        <scheme val="minor"/>
      </rPr>
      <t>actual</t>
    </r>
  </si>
  <si>
    <t>Legal</t>
  </si>
  <si>
    <r>
      <t>Facturación efectiva</t>
    </r>
    <r>
      <rPr>
        <sz val="10"/>
        <color theme="1"/>
        <rFont val="Calibri"/>
        <family val="2"/>
        <scheme val="minor"/>
      </rPr>
      <t xml:space="preserve"> </t>
    </r>
    <r>
      <rPr>
        <sz val="9"/>
        <color theme="1"/>
        <rFont val="Calibri"/>
        <family val="2"/>
        <scheme val="minor"/>
      </rPr>
      <t>(Facturación mensual real/Facturación mensual esperada)</t>
    </r>
  </si>
  <si>
    <r>
      <t xml:space="preserve">cobranza efectiva </t>
    </r>
    <r>
      <rPr>
        <sz val="9"/>
        <color theme="1"/>
        <rFont val="Calibri"/>
        <family val="2"/>
        <scheme val="minor"/>
      </rPr>
      <t>(Cobranza mensual real/Facturación mensual esperada</t>
    </r>
    <r>
      <rPr>
        <sz val="10"/>
        <color theme="1"/>
        <rFont val="Calibri"/>
        <family val="2"/>
        <scheme val="minor"/>
      </rPr>
      <t>)</t>
    </r>
  </si>
  <si>
    <t>Aforo real de Facturación</t>
  </si>
  <si>
    <t>Saldo en retraso</t>
  </si>
  <si>
    <t>Días de retraso</t>
  </si>
  <si>
    <t>% de Créditos en retraso/Apalancamiento actual</t>
  </si>
  <si>
    <t>% de Créditos en retraso/Ventas anualizadas</t>
  </si>
  <si>
    <t>% Saldo insoluto actual/ monto de línea total</t>
  </si>
  <si>
    <t xml:space="preserve"> % Saldo Insoluto actual/Valor de la garantía</t>
  </si>
  <si>
    <r>
      <t xml:space="preserve">Estatus de Cobranza </t>
    </r>
    <r>
      <rPr>
        <sz val="10"/>
        <color theme="1"/>
        <rFont val="Calibri"/>
        <family val="2"/>
        <scheme val="minor"/>
      </rPr>
      <t>(</t>
    </r>
    <r>
      <rPr>
        <i/>
        <sz val="10"/>
        <color theme="1"/>
        <rFont val="Calibri"/>
        <family val="2"/>
        <scheme val="minor"/>
      </rPr>
      <t>Combo</t>
    </r>
    <r>
      <rPr>
        <sz val="10"/>
        <color theme="1"/>
        <rFont val="Calibri"/>
        <family val="2"/>
        <scheme val="minor"/>
      </rPr>
      <t>: Normal, Reducida, Retrasada)</t>
    </r>
  </si>
  <si>
    <t>Cobranza mensual real</t>
  </si>
  <si>
    <r>
      <t xml:space="preserve">Estatus de Facturación </t>
    </r>
    <r>
      <rPr>
        <sz val="9"/>
        <color theme="1"/>
        <rFont val="Calibri"/>
        <family val="2"/>
        <scheme val="minor"/>
      </rPr>
      <t>(</t>
    </r>
    <r>
      <rPr>
        <i/>
        <sz val="9"/>
        <color theme="1"/>
        <rFont val="Calibri"/>
        <family val="2"/>
        <scheme val="minor"/>
      </rPr>
      <t>Combo:</t>
    </r>
    <r>
      <rPr>
        <sz val="9"/>
        <color theme="1"/>
        <rFont val="Calibri"/>
        <family val="2"/>
        <scheme val="minor"/>
      </rPr>
      <t xml:space="preserve"> Normal, Reducida, Retrasada, Detenida)</t>
    </r>
  </si>
  <si>
    <r>
      <t xml:space="preserve">Porcentaje de Pagadores (cantidad) cuyas cuentas controladas </t>
    </r>
    <r>
      <rPr>
        <sz val="10"/>
        <color theme="1"/>
        <rFont val="Calibri"/>
        <family val="2"/>
        <scheme val="minor"/>
      </rPr>
      <t>(0-100%)</t>
    </r>
  </si>
  <si>
    <t>Facturación (pagadores)</t>
  </si>
  <si>
    <t>Cobranza (Fuente de Pago)</t>
  </si>
  <si>
    <t>Aforos (Fuente de Pago)</t>
  </si>
  <si>
    <t>Concentración (Compñia y Fuente de Pago)</t>
  </si>
  <si>
    <t>Buró de crédito (Compañia)</t>
  </si>
  <si>
    <t>Días de retraso o vencido</t>
  </si>
  <si>
    <t>Condoga</t>
  </si>
  <si>
    <t>Mac Tabasco</t>
  </si>
  <si>
    <t>Braskem/Celanese/Innophos</t>
  </si>
  <si>
    <t>Desarrolladora inmobiliaria/Pizzas Tamaulipas/Energeticos Valle</t>
  </si>
  <si>
    <t>Aeropuertos y Servicios Auxiliares/Hokchi</t>
  </si>
  <si>
    <t>Productos Ganaderos Gusi/Rancho El Junal</t>
  </si>
  <si>
    <t>6:66x</t>
  </si>
  <si>
    <t>Puse 100 en los que no tienen pagadores</t>
  </si>
  <si>
    <t>core one</t>
  </si>
  <si>
    <t>DCO</t>
  </si>
  <si>
    <t>eon</t>
  </si>
  <si>
    <t>band</t>
  </si>
  <si>
    <t>grupo ferrioviario</t>
  </si>
  <si>
    <t>klg</t>
  </si>
  <si>
    <t>morgan</t>
  </si>
  <si>
    <t>neem</t>
  </si>
  <si>
    <t>usé saldo vencido</t>
  </si>
  <si>
    <t>menor a 90 dias</t>
  </si>
  <si>
    <t>mayor 90</t>
  </si>
  <si>
    <t>1.4:1</t>
  </si>
  <si>
    <t>mínimo 1:1 X sobre línea global</t>
  </si>
  <si>
    <t>1.5:1</t>
  </si>
  <si>
    <t>.35:1</t>
  </si>
  <si>
    <t>1.7:1</t>
  </si>
  <si>
    <t>NO</t>
  </si>
  <si>
    <t>Varios nuevos, 14 en total</t>
  </si>
  <si>
    <t>Mercado Libre</t>
  </si>
  <si>
    <t>Tiendas Chedrahui</t>
  </si>
  <si>
    <t>Rancho Junal y Persona Fisica</t>
  </si>
  <si>
    <t>Braskem / Celanese / Ihophos</t>
  </si>
  <si>
    <r>
      <t xml:space="preserve">cobranza mensual real </t>
    </r>
    <r>
      <rPr>
        <sz val="10"/>
        <color theme="1"/>
        <rFont val="Calibri"/>
        <family val="2"/>
        <scheme val="minor"/>
      </rPr>
      <t>(mes inmediato anterior)</t>
    </r>
  </si>
  <si>
    <t>GAP / Fibra Danhos / Elektra</t>
  </si>
  <si>
    <t>Banorte/Actinver/Afirme</t>
  </si>
  <si>
    <t>LATAM</t>
  </si>
  <si>
    <t>Domiciliación</t>
  </si>
  <si>
    <t>1X</t>
  </si>
  <si>
    <t>Corriente</t>
  </si>
  <si>
    <t>liquidado</t>
  </si>
  <si>
    <t>Vencido</t>
  </si>
  <si>
    <t>Factoraje/Flujos</t>
  </si>
  <si>
    <t>MNEMO</t>
  </si>
  <si>
    <t>GNP Seguros/AT&amp;T/Axa Seguros</t>
  </si>
  <si>
    <t>NA</t>
  </si>
  <si>
    <t>1.3X</t>
  </si>
  <si>
    <t>Cta. STP</t>
  </si>
  <si>
    <t>REPQUIM</t>
  </si>
  <si>
    <t>EMPIRE</t>
  </si>
  <si>
    <t>LAAL</t>
  </si>
  <si>
    <t>SPI</t>
  </si>
  <si>
    <t>ALTUM</t>
  </si>
  <si>
    <t>1.0x</t>
  </si>
  <si>
    <t>Printel/One Time/Chaprint/Line Print</t>
  </si>
  <si>
    <t>Flujos</t>
  </si>
  <si>
    <t>Limpieza Val s.a. de c.v. (Grupo Vallejo)</t>
  </si>
  <si>
    <t>Debraya/WW/Creacapital</t>
  </si>
  <si>
    <t>TP MEXICANA</t>
  </si>
  <si>
    <t>Perenco/Petroservicios/Petrolera</t>
  </si>
  <si>
    <t>Femsa / PISA /Bimbo</t>
  </si>
  <si>
    <t>STP/Domiciliación</t>
  </si>
  <si>
    <t>Cheil, diafimex, Oriont./PHD/Kinesso</t>
  </si>
  <si>
    <t>Cryoinfra/Cyplus/Energia Infra/Etileno</t>
  </si>
  <si>
    <t>HORUS</t>
  </si>
  <si>
    <t>Distribuidora Liverpoool/Suburbia/H&amp;M</t>
  </si>
  <si>
    <t>hay que mandar por correo la situacion y solitiar la excepcion para no notificar prenda de acuerdo a proceso.</t>
  </si>
  <si>
    <t>esta semana ya se va a notificar la prenda</t>
  </si>
  <si>
    <t>de nuevo otra llamada, hay que estar todos.</t>
  </si>
  <si>
    <t>tambien debe notofocar la prenda. Ya apareció e informó que tiene una carta de crédito que se la pagan en mayo y con ese recurso va a liquidar, se supone que la tercer semana debería de liquidar.</t>
  </si>
  <si>
    <t>Formato de domiciliación</t>
  </si>
  <si>
    <t>No</t>
  </si>
  <si>
    <t>Si</t>
  </si>
  <si>
    <t>ya hay cita para la proxima semana para que pague y se ponga al corriente y ver lo de las cuentas controladas.</t>
  </si>
  <si>
    <t>se tuvo llamada con el cliente y aceptaron la domi, quedaron de enviar informacion para presentar una nota para ver si se puede cambiar a DOMI el saldo actual. Raquel va a checar si ya enviaron la documentación.</t>
  </si>
  <si>
    <t>informo que se va a poner al corriente y se va a condicionar la condonacion de moratorios a que firma el acuerdo de domiciliacion</t>
  </si>
  <si>
    <t>estaba pagando bien pero acaba de informar que otros acreedores le embargaron las cuentas y que no nos pudo pagar por ese tema, pero está viendo de donde saca lana para pagarnos la mensualidad. Dennis y Grecia van a hablar con el cliente para dar seguimiento.</t>
  </si>
  <si>
    <t>ahora ya no contestan, no quieren pagar. No ha caido lana en la cuenta, al parecer ya la cambiaron. Hay que checar si hay recibos de pago para ver que no le hayan pagado por fuera. Se programara llamada de Grecia para dar calambre.</t>
  </si>
  <si>
    <t>se tiene que volver a soliciar el cambio de cuenta o que firme el acuerdo de Domi</t>
  </si>
  <si>
    <t>hay que checar las facturas, ya le pagaron por fuera, hay que solicitar el pago. Se está haciendo pendejo. Se va a plciar todo a capital</t>
  </si>
  <si>
    <t>Entre marzo y abril pagó 560K con lo que se pagaron intereses pendientes y poco capital atrasado,, debe parte de febrero, marzo y abril. el cliente se comprometió en  pagar algo y ver si puede dar una garantía ademas de ptros pagadores, no se va a parar la notificacion de la prenda y la garantía.</t>
  </si>
  <si>
    <t>se tuvo llamada con ellos y quedaron en pagar pero no ocurrió, Dennis va a hablar con Luis Miguel para presionar. Pagaron hoy 6 de mayo 2MM. Hay que avisar a Dennis antes de operar alguna disposicion de WW y/o Debraya. Hay que hacer una nota para ver operar un nuevo factorjae, la nota se actualiza BC, y listo.</t>
  </si>
  <si>
    <t>Servicios de Limpieza Corporativa</t>
  </si>
  <si>
    <t>Servicios de Seguridad (armada y Desarmada)</t>
  </si>
  <si>
    <t>Servicios de Seguridad (Desarmada)</t>
  </si>
  <si>
    <t>Servicios de IT</t>
  </si>
  <si>
    <t>Servicios de Seguridad (Desarmada y Transporte de personal)</t>
  </si>
  <si>
    <t>Maquila del sector automotriz</t>
  </si>
  <si>
    <t>Agencia de Marketing y Publicidad</t>
  </si>
  <si>
    <t>Servicios de IT /(camarias de seguridad)</t>
  </si>
  <si>
    <t>Servicios de IT /(Computo y Hardware Bancario))</t>
  </si>
  <si>
    <t>Educación</t>
  </si>
  <si>
    <t>Agroindustrial (Venta de Cebada)</t>
  </si>
  <si>
    <t>Contratista (obra metalmecanica y eléctrica)</t>
  </si>
  <si>
    <t>Proveedor de Equipo Médico</t>
  </si>
  <si>
    <t>Hidrocarburos</t>
  </si>
  <si>
    <t>Mangueras especializadas</t>
  </si>
  <si>
    <t>Comercio Articulos Deportivos</t>
  </si>
  <si>
    <t>Contratista (refrigeración)</t>
  </si>
  <si>
    <t>Paneles Solares (Industrial)</t>
  </si>
  <si>
    <t>Contratista (Ferroviario)</t>
  </si>
  <si>
    <t>Contratista (HVAC)</t>
  </si>
  <si>
    <t>Proveedor (Equipo de Seguridad)</t>
  </si>
  <si>
    <t>Transportista de carga</t>
  </si>
  <si>
    <t>Transportistas de carga</t>
  </si>
  <si>
    <t>Servicios de IT (seguridad en transporte)</t>
  </si>
  <si>
    <t>Contratista (Obra Civil Especializada)</t>
  </si>
  <si>
    <t>Agroindustrial (Procesado)</t>
  </si>
  <si>
    <t>Contratista (Obra Civil y Metalmecanica)</t>
  </si>
  <si>
    <t>Ganadería</t>
  </si>
  <si>
    <t>Chatarra</t>
  </si>
  <si>
    <t>Contratista  (Metalmecanica)</t>
  </si>
  <si>
    <t>Contratista  (Mantenimiento y Remodelaciones)</t>
  </si>
  <si>
    <t>Servicios IT (Ciberseguridad)</t>
  </si>
  <si>
    <t>Industria Textil (químicos)</t>
  </si>
  <si>
    <t>Contratista (Redes contra Incendios)</t>
  </si>
  <si>
    <t>Actividad</t>
  </si>
  <si>
    <t>Sector</t>
  </si>
  <si>
    <t>Servicios de Limpieza</t>
  </si>
  <si>
    <t>Seguridad</t>
  </si>
  <si>
    <t>Transporte</t>
  </si>
  <si>
    <t>Marketing y Publicidad</t>
  </si>
  <si>
    <t>Automotriz</t>
  </si>
  <si>
    <t>Servicios de IT (Aplicaciones &amp;Páginas Web)</t>
  </si>
  <si>
    <t>Agroindustrial</t>
  </si>
  <si>
    <t>Contratista</t>
  </si>
  <si>
    <t>Equipo Médico</t>
  </si>
  <si>
    <t>Embalaje Industrial (Madera)</t>
  </si>
  <si>
    <t>Embalaje Industrial</t>
  </si>
  <si>
    <t>Deportes</t>
  </si>
  <si>
    <t>Energías Limpias</t>
  </si>
  <si>
    <t>Servicios IT</t>
  </si>
  <si>
    <t>Servicio de Consultoria</t>
  </si>
  <si>
    <t>Comercialización de Impresoras y Consumibles</t>
  </si>
  <si>
    <t>Servicios para perforación (oil &amp; gas)</t>
  </si>
  <si>
    <t>Textil</t>
  </si>
  <si>
    <t>Consultoria</t>
  </si>
  <si>
    <t>Impresoras</t>
  </si>
  <si>
    <t>Oil &amp; Gas</t>
  </si>
  <si>
    <t>Perfil de riesgo</t>
  </si>
  <si>
    <t>Sin riesgo</t>
  </si>
  <si>
    <t>Riesgo moderado</t>
  </si>
  <si>
    <t>Riesgo alto</t>
  </si>
  <si>
    <t>Riesgo muy alto</t>
  </si>
  <si>
    <t>Apalancamiento / ventas (autorizado)</t>
  </si>
  <si>
    <t>Apalancamiento / ventas (reales)</t>
  </si>
  <si>
    <t>Saldo en retraso (buró de credito)</t>
  </si>
  <si>
    <t xml:space="preserve">Días de atraso (Buró de credito) </t>
  </si>
  <si>
    <t>% de Retraso / saldo actual en (Buró de credito)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</si>
</sst>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X"/>
    <numFmt numFmtId="165" formatCode="_-* #,##0_-;\-* #,##0_-;_-* &quot;-&quot;??_-;_-@_-"/>
    <numFmt numFmtId="166" formatCode="0.00\ \X"/>
    <numFmt numFmtId="167"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color rgb="FF0000CC"/>
      <name val="Calibri"/>
      <family val="2"/>
      <scheme val="minor"/>
    </font>
    <font>
      <sz val="9"/>
      <color indexed="81"/>
      <name val="Tahoma"/>
      <family val="2"/>
    </font>
    <font>
      <b/>
      <sz val="9"/>
      <color indexed="81"/>
      <name val="Tahoma"/>
      <family val="2"/>
    </font>
    <font>
      <sz val="11"/>
      <color rgb="FFFF0000"/>
      <name val="Calibri"/>
      <family val="2"/>
      <scheme val="minor"/>
    </font>
    <font>
      <sz val="10"/>
      <color rgb="FFFF0000"/>
      <name val="Calibri"/>
      <family val="2"/>
      <scheme val="minor"/>
    </font>
    <font>
      <b/>
      <u/>
      <sz val="10"/>
      <color theme="1"/>
      <name val="Calibri"/>
      <family val="2"/>
      <scheme val="minor"/>
    </font>
    <font>
      <sz val="9"/>
      <color theme="1"/>
      <name val="Calibri"/>
      <family val="2"/>
      <scheme val="minor"/>
    </font>
    <font>
      <i/>
      <sz val="10"/>
      <color theme="1"/>
      <name val="Calibri"/>
      <family val="2"/>
      <scheme val="minor"/>
    </font>
    <font>
      <i/>
      <sz val="9"/>
      <color theme="1"/>
      <name val="Calibri"/>
      <family val="2"/>
      <scheme val="minor"/>
    </font>
    <font>
      <sz val="10.5"/>
      <color rgb="FF000000"/>
      <name val="Calibri"/>
      <family val="2"/>
    </font>
    <font>
      <sz val="11"/>
      <color indexed="8"/>
      <name val="Calibri"/>
      <family val="2"/>
      <scheme val="minor"/>
    </font>
    <font>
      <sz val="10.5"/>
      <name val="Calibri"/>
      <family val="2"/>
      <scheme val="minor"/>
    </font>
    <font>
      <sz val="1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FFCC"/>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cellStyleXfs>
  <cellXfs count="179">
    <xf numFmtId="0" fontId="0" fillId="0" borderId="0" xfId="0"/>
    <xf numFmtId="0" fontId="0" fillId="0" borderId="4" xfId="0" applyBorder="1"/>
    <xf numFmtId="0" fontId="4" fillId="0" borderId="4" xfId="0" applyFont="1" applyFill="1" applyBorder="1" applyAlignment="1">
      <alignment horizontal="center" vertical="center"/>
    </xf>
    <xf numFmtId="3" fontId="4"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wrapText="1"/>
    </xf>
    <xf numFmtId="15" fontId="5"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vertical="center"/>
    </xf>
    <xf numFmtId="165" fontId="4" fillId="0" borderId="4" xfId="1" applyNumberFormat="1" applyFont="1" applyFill="1" applyBorder="1" applyAlignment="1">
      <alignment horizontal="center" vertical="center"/>
    </xf>
    <xf numFmtId="4" fontId="0" fillId="0" borderId="0" xfId="0" applyNumberFormat="1"/>
    <xf numFmtId="43" fontId="0" fillId="0" borderId="0" xfId="0" applyNumberFormat="1"/>
    <xf numFmtId="165" fontId="4" fillId="0" borderId="4" xfId="1" applyNumberFormat="1" applyFont="1" applyFill="1" applyBorder="1" applyAlignment="1">
      <alignment vertical="center"/>
    </xf>
    <xf numFmtId="3" fontId="4" fillId="0" borderId="4" xfId="1" applyNumberFormat="1" applyFont="1" applyFill="1" applyBorder="1" applyAlignment="1">
      <alignment horizontal="center" vertical="center"/>
    </xf>
    <xf numFmtId="3" fontId="4" fillId="0" borderId="4" xfId="1" applyNumberFormat="1" applyFont="1" applyFill="1" applyBorder="1" applyAlignment="1">
      <alignment vertical="center"/>
    </xf>
    <xf numFmtId="164" fontId="4" fillId="0" borderId="4" xfId="0" applyNumberFormat="1" applyFont="1" applyFill="1" applyBorder="1" applyAlignment="1">
      <alignment horizontal="center" vertical="center"/>
    </xf>
    <xf numFmtId="15" fontId="4" fillId="0" borderId="4" xfId="0" applyNumberFormat="1" applyFont="1" applyFill="1" applyBorder="1" applyAlignment="1">
      <alignment horizontal="center" vertical="center"/>
    </xf>
    <xf numFmtId="165" fontId="4" fillId="0" borderId="4" xfId="0" applyNumberFormat="1" applyFont="1" applyFill="1" applyBorder="1" applyAlignment="1">
      <alignment vertical="center"/>
    </xf>
    <xf numFmtId="15" fontId="4" fillId="0" borderId="4" xfId="0" applyNumberFormat="1" applyFont="1" applyFill="1" applyBorder="1" applyAlignment="1">
      <alignment horizontal="center" vertical="center" wrapText="1"/>
    </xf>
    <xf numFmtId="165" fontId="4" fillId="0" borderId="4" xfId="1" applyNumberFormat="1" applyFont="1" applyFill="1" applyBorder="1" applyAlignment="1">
      <alignment horizontal="right" vertical="center" indent="1"/>
    </xf>
    <xf numFmtId="15" fontId="5" fillId="0" borderId="4" xfId="0" applyNumberFormat="1" applyFont="1" applyFill="1" applyBorder="1" applyAlignment="1">
      <alignment horizontal="center" vertical="center" wrapText="1"/>
    </xf>
    <xf numFmtId="3" fontId="4" fillId="0" borderId="5" xfId="0" applyNumberFormat="1" applyFont="1" applyFill="1" applyBorder="1" applyAlignment="1">
      <alignment horizontal="center" vertical="center"/>
    </xf>
    <xf numFmtId="0" fontId="0" fillId="0" borderId="4" xfId="0" applyFill="1" applyBorder="1"/>
    <xf numFmtId="0" fontId="6" fillId="0" borderId="4" xfId="0" applyFont="1" applyFill="1" applyBorder="1" applyAlignment="1">
      <alignment horizontal="center" vertical="center"/>
    </xf>
    <xf numFmtId="3" fontId="4" fillId="0" borderId="4" xfId="0" applyNumberFormat="1" applyFont="1" applyFill="1" applyBorder="1" applyAlignment="1">
      <alignment horizontal="center" vertical="center" wrapText="1"/>
    </xf>
    <xf numFmtId="9" fontId="4" fillId="0" borderId="4" xfId="2" applyFont="1" applyFill="1" applyBorder="1" applyAlignment="1">
      <alignment horizontal="center" vertical="center"/>
    </xf>
    <xf numFmtId="3" fontId="5" fillId="0" borderId="4" xfId="0" applyNumberFormat="1"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vertical="center"/>
    </xf>
    <xf numFmtId="3" fontId="4" fillId="0" borderId="4" xfId="0" applyNumberFormat="1" applyFont="1" applyBorder="1" applyAlignment="1">
      <alignment horizontal="right" vertical="center" indent="1"/>
    </xf>
    <xf numFmtId="3" fontId="4" fillId="0" borderId="4" xfId="0" applyNumberFormat="1" applyFont="1" applyBorder="1" applyAlignment="1">
      <alignment horizontal="center" vertical="center"/>
    </xf>
    <xf numFmtId="3" fontId="4" fillId="0" borderId="4" xfId="0" applyNumberFormat="1" applyFont="1" applyBorder="1" applyAlignment="1">
      <alignment vertical="center" wrapText="1"/>
    </xf>
    <xf numFmtId="3" fontId="4" fillId="0" borderId="4" xfId="0" applyNumberFormat="1" applyFont="1" applyBorder="1" applyAlignment="1">
      <alignment horizontal="center" vertical="center" wrapText="1"/>
    </xf>
    <xf numFmtId="43" fontId="4" fillId="0" borderId="4" xfId="1" applyFont="1" applyFill="1" applyBorder="1" applyAlignment="1">
      <alignment horizontal="center" vertical="center"/>
    </xf>
    <xf numFmtId="43" fontId="4" fillId="0" borderId="4" xfId="1" applyFont="1" applyFill="1" applyBorder="1" applyAlignment="1">
      <alignment vertical="center"/>
    </xf>
    <xf numFmtId="165" fontId="0" fillId="0" borderId="4" xfId="1" applyNumberFormat="1" applyFont="1" applyFill="1" applyBorder="1" applyAlignment="1">
      <alignment vertical="center"/>
    </xf>
    <xf numFmtId="0" fontId="0" fillId="0" borderId="0" xfId="0" applyFill="1"/>
    <xf numFmtId="3" fontId="4" fillId="0" borderId="0" xfId="0" applyNumberFormat="1" applyFont="1" applyFill="1" applyBorder="1" applyAlignment="1">
      <alignment horizontal="center" vertical="center"/>
    </xf>
    <xf numFmtId="3" fontId="4" fillId="0" borderId="4" xfId="0" applyNumberFormat="1" applyFont="1" applyFill="1" applyBorder="1" applyAlignment="1">
      <alignment horizontal="right" vertical="center"/>
    </xf>
    <xf numFmtId="166"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165" fontId="4" fillId="0" borderId="5" xfId="1" applyNumberFormat="1" applyFont="1" applyFill="1" applyBorder="1" applyAlignment="1">
      <alignment horizontal="center" vertical="center"/>
    </xf>
    <xf numFmtId="165" fontId="0" fillId="0" borderId="5" xfId="1" applyNumberFormat="1" applyFont="1" applyFill="1" applyBorder="1" applyAlignment="1">
      <alignment vertical="center"/>
    </xf>
    <xf numFmtId="165" fontId="0" fillId="0" borderId="4" xfId="1" applyNumberFormat="1"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xf numFmtId="0" fontId="0" fillId="0" borderId="4" xfId="0" applyBorder="1" applyAlignment="1">
      <alignment vertical="center"/>
    </xf>
    <xf numFmtId="9" fontId="0" fillId="0" borderId="4" xfId="2" applyFont="1" applyFill="1" applyBorder="1" applyAlignment="1">
      <alignment vertical="center"/>
    </xf>
    <xf numFmtId="0" fontId="4" fillId="0" borderId="5" xfId="0" applyFont="1" applyFill="1" applyBorder="1" applyAlignment="1">
      <alignment vertical="center" wrapText="1"/>
    </xf>
    <xf numFmtId="0" fontId="4" fillId="0" borderId="5" xfId="0" applyFont="1" applyFill="1" applyBorder="1" applyAlignment="1">
      <alignment horizontal="center" vertical="center"/>
    </xf>
    <xf numFmtId="3" fontId="4" fillId="0" borderId="5" xfId="0" applyNumberFormat="1" applyFont="1" applyBorder="1" applyAlignment="1">
      <alignment horizontal="center" vertical="center"/>
    </xf>
    <xf numFmtId="3" fontId="4" fillId="0" borderId="5" xfId="0" applyNumberFormat="1" applyFont="1" applyFill="1" applyBorder="1" applyAlignment="1">
      <alignment horizontal="center" vertical="center" wrapText="1"/>
    </xf>
    <xf numFmtId="9" fontId="0" fillId="0" borderId="5" xfId="2" applyFont="1" applyFill="1" applyBorder="1" applyAlignment="1">
      <alignment vertical="center"/>
    </xf>
    <xf numFmtId="3" fontId="4" fillId="0" borderId="5" xfId="0" applyNumberFormat="1" applyFont="1" applyFill="1" applyBorder="1" applyAlignment="1">
      <alignment vertical="center"/>
    </xf>
    <xf numFmtId="15" fontId="5" fillId="0" borderId="5" xfId="0" applyNumberFormat="1" applyFont="1" applyFill="1" applyBorder="1" applyAlignment="1">
      <alignment horizontal="center" vertical="center"/>
    </xf>
    <xf numFmtId="15" fontId="4" fillId="0" borderId="5" xfId="0" applyNumberFormat="1" applyFont="1" applyFill="1" applyBorder="1" applyAlignment="1">
      <alignment horizontal="center" vertical="center"/>
    </xf>
    <xf numFmtId="0" fontId="3" fillId="2" borderId="6" xfId="0" applyFont="1" applyFill="1" applyBorder="1" applyAlignment="1">
      <alignment horizontal="center" vertical="center" wrapText="1"/>
    </xf>
    <xf numFmtId="165" fontId="5" fillId="0" borderId="4" xfId="1" applyNumberFormat="1" applyFont="1" applyFill="1" applyBorder="1" applyAlignment="1">
      <alignment horizontal="center" vertical="center"/>
    </xf>
    <xf numFmtId="0" fontId="3" fillId="2" borderId="6" xfId="0" applyFont="1" applyFill="1" applyBorder="1" applyAlignment="1">
      <alignment horizontal="left" vertical="center" wrapText="1"/>
    </xf>
    <xf numFmtId="0" fontId="9" fillId="0" borderId="0" xfId="0" applyFont="1"/>
    <xf numFmtId="3" fontId="10" fillId="0" borderId="0" xfId="0" applyNumberFormat="1" applyFont="1" applyFill="1" applyBorder="1" applyAlignment="1">
      <alignment horizontal="center" vertical="center"/>
    </xf>
    <xf numFmtId="0" fontId="0" fillId="2" borderId="6" xfId="0" applyFill="1" applyBorder="1"/>
    <xf numFmtId="165" fontId="4" fillId="0" borderId="5" xfId="1" applyNumberFormat="1" applyFont="1" applyBorder="1" applyAlignment="1">
      <alignment horizontal="center" vertical="center"/>
    </xf>
    <xf numFmtId="165" fontId="4" fillId="0" borderId="4" xfId="1" applyNumberFormat="1" applyFont="1" applyBorder="1" applyAlignment="1">
      <alignment horizontal="center" vertical="center"/>
    </xf>
    <xf numFmtId="165" fontId="0" fillId="0" borderId="0" xfId="1" applyNumberFormat="1" applyFont="1"/>
    <xf numFmtId="9" fontId="4" fillId="0" borderId="5" xfId="2" applyFont="1" applyFill="1" applyBorder="1" applyAlignment="1">
      <alignment horizontal="center" vertical="center"/>
    </xf>
    <xf numFmtId="9" fontId="0" fillId="0" borderId="0" xfId="2" applyFont="1"/>
    <xf numFmtId="9" fontId="4" fillId="0" borderId="0" xfId="2" applyFont="1" applyFill="1" applyBorder="1" applyAlignment="1">
      <alignment horizontal="center" vertical="center"/>
    </xf>
    <xf numFmtId="0" fontId="4" fillId="0" borderId="4" xfId="0" applyFont="1" applyBorder="1" applyAlignment="1">
      <alignment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6" fontId="4" fillId="0" borderId="4" xfId="0" applyNumberFormat="1" applyFont="1" applyBorder="1" applyAlignment="1">
      <alignment horizontal="center" vertical="center"/>
    </xf>
    <xf numFmtId="0" fontId="4" fillId="0" borderId="4" xfId="0" applyFont="1" applyBorder="1" applyAlignment="1">
      <alignment vertical="center"/>
    </xf>
    <xf numFmtId="0" fontId="6" fillId="0" borderId="4" xfId="0" applyFont="1" applyBorder="1" applyAlignment="1">
      <alignment horizontal="center" vertical="center"/>
    </xf>
    <xf numFmtId="3" fontId="5" fillId="0" borderId="4" xfId="0" applyNumberFormat="1" applyFont="1" applyBorder="1" applyAlignment="1">
      <alignment horizontal="center" vertical="center"/>
    </xf>
    <xf numFmtId="165" fontId="4" fillId="0" borderId="4" xfId="0" applyNumberFormat="1" applyFont="1" applyBorder="1" applyAlignment="1">
      <alignment vertical="center"/>
    </xf>
    <xf numFmtId="3" fontId="4" fillId="0" borderId="5" xfId="0" applyNumberFormat="1" applyFont="1" applyBorder="1" applyAlignment="1">
      <alignment horizontal="right" vertical="center" indent="1"/>
    </xf>
    <xf numFmtId="43" fontId="4" fillId="0" borderId="4" xfId="1" applyFont="1" applyBorder="1" applyAlignment="1">
      <alignment vertical="center"/>
    </xf>
    <xf numFmtId="4" fontId="4" fillId="0" borderId="5" xfId="0" applyNumberFormat="1" applyFont="1" applyFill="1" applyBorder="1" applyAlignment="1">
      <alignment vertical="center"/>
    </xf>
    <xf numFmtId="167" fontId="4" fillId="0" borderId="5" xfId="0" applyNumberFormat="1" applyFont="1" applyFill="1" applyBorder="1" applyAlignment="1">
      <alignment horizontal="center" vertical="center"/>
    </xf>
    <xf numFmtId="167" fontId="4" fillId="0" borderId="5" xfId="0" applyNumberFormat="1" applyFont="1" applyBorder="1" applyAlignment="1">
      <alignment horizontal="center" vertical="center"/>
    </xf>
    <xf numFmtId="167" fontId="4" fillId="0" borderId="4" xfId="0" applyNumberFormat="1" applyFont="1" applyFill="1" applyBorder="1" applyAlignment="1">
      <alignment horizontal="center" vertical="center"/>
    </xf>
    <xf numFmtId="167" fontId="4" fillId="0" borderId="4" xfId="0" applyNumberFormat="1" applyFont="1" applyBorder="1" applyAlignment="1">
      <alignment horizontal="center" vertical="center"/>
    </xf>
    <xf numFmtId="3" fontId="4" fillId="0" borderId="4" xfId="0" applyNumberFormat="1" applyFont="1" applyBorder="1" applyAlignment="1">
      <alignment horizontal="right" vertical="center"/>
    </xf>
    <xf numFmtId="4" fontId="4" fillId="0" borderId="5" xfId="0" applyNumberFormat="1" applyFont="1" applyFill="1" applyBorder="1" applyAlignment="1">
      <alignment horizontal="center" vertical="center"/>
    </xf>
    <xf numFmtId="165" fontId="4" fillId="0" borderId="5" xfId="0" applyNumberFormat="1" applyFont="1" applyBorder="1" applyAlignment="1">
      <alignment vertical="center"/>
    </xf>
    <xf numFmtId="2" fontId="5" fillId="0" borderId="4"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3" fillId="12" borderId="6" xfId="0" applyFont="1" applyFill="1" applyBorder="1" applyAlignment="1">
      <alignment horizontal="center" vertical="center" wrapText="1"/>
    </xf>
    <xf numFmtId="43" fontId="0" fillId="0" borderId="5" xfId="1" applyNumberFormat="1" applyFont="1" applyFill="1" applyBorder="1" applyAlignment="1">
      <alignment vertical="center"/>
    </xf>
    <xf numFmtId="20" fontId="0" fillId="0" borderId="0" xfId="0" applyNumberFormat="1"/>
    <xf numFmtId="0" fontId="15" fillId="0" borderId="0" xfId="0" applyFont="1" applyAlignment="1">
      <alignment vertical="center"/>
    </xf>
    <xf numFmtId="0" fontId="15" fillId="0" borderId="7" xfId="0" applyFont="1" applyBorder="1" applyAlignment="1">
      <alignment vertical="center"/>
    </xf>
    <xf numFmtId="3" fontId="0" fillId="0" borderId="0" xfId="0" applyNumberFormat="1"/>
    <xf numFmtId="9" fontId="4" fillId="0" borderId="5" xfId="2" applyFont="1" applyFill="1" applyBorder="1" applyAlignment="1">
      <alignment vertical="center"/>
    </xf>
    <xf numFmtId="9" fontId="5" fillId="0" borderId="4" xfId="2" applyFont="1" applyFill="1" applyBorder="1" applyAlignment="1">
      <alignment horizontal="center" vertical="center"/>
    </xf>
    <xf numFmtId="43" fontId="4" fillId="0" borderId="5" xfId="1" applyFont="1" applyFill="1" applyBorder="1" applyAlignment="1">
      <alignment horizontal="center" vertical="center"/>
    </xf>
    <xf numFmtId="164" fontId="4" fillId="12" borderId="4" xfId="0" applyNumberFormat="1" applyFont="1" applyFill="1" applyBorder="1" applyAlignment="1">
      <alignment horizontal="center" vertical="center"/>
    </xf>
    <xf numFmtId="167" fontId="4" fillId="12" borderId="4" xfId="0" applyNumberFormat="1" applyFont="1" applyFill="1" applyBorder="1" applyAlignment="1">
      <alignment horizontal="center" vertical="center"/>
    </xf>
    <xf numFmtId="3" fontId="4" fillId="12" borderId="4" xfId="0" applyNumberFormat="1" applyFont="1" applyFill="1" applyBorder="1" applyAlignment="1">
      <alignment horizontal="center" vertical="center"/>
    </xf>
    <xf numFmtId="43" fontId="4" fillId="12" borderId="4" xfId="1" applyFont="1" applyFill="1" applyBorder="1" applyAlignment="1">
      <alignment horizontal="center" vertical="center"/>
    </xf>
    <xf numFmtId="15" fontId="5" fillId="0" borderId="4" xfId="0" applyNumberFormat="1" applyFont="1" applyBorder="1" applyAlignment="1">
      <alignment horizontal="center" vertical="center"/>
    </xf>
    <xf numFmtId="15" fontId="5" fillId="0" borderId="4" xfId="0" applyNumberFormat="1" applyFont="1" applyBorder="1" applyAlignment="1">
      <alignment horizontal="center" vertical="center" wrapText="1"/>
    </xf>
    <xf numFmtId="3" fontId="4" fillId="0" borderId="4" xfId="0" applyNumberFormat="1" applyFont="1" applyBorder="1" applyAlignment="1">
      <alignment vertical="center"/>
    </xf>
    <xf numFmtId="9" fontId="4" fillId="0" borderId="4" xfId="2" applyFont="1" applyBorder="1" applyAlignment="1">
      <alignment vertical="center"/>
    </xf>
    <xf numFmtId="43" fontId="5" fillId="0" borderId="5" xfId="1" applyFont="1" applyFill="1" applyBorder="1" applyAlignment="1">
      <alignment horizontal="center" vertical="center"/>
    </xf>
    <xf numFmtId="9" fontId="5" fillId="0" borderId="5" xfId="2" applyFont="1" applyFill="1" applyBorder="1" applyAlignment="1">
      <alignment horizontal="center" vertical="center"/>
    </xf>
    <xf numFmtId="15" fontId="5" fillId="0" borderId="5"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xf>
    <xf numFmtId="9" fontId="4" fillId="0" borderId="4" xfId="2" applyFont="1" applyBorder="1" applyAlignment="1">
      <alignment horizontal="center" vertical="center"/>
    </xf>
    <xf numFmtId="4" fontId="4" fillId="0" borderId="4" xfId="0" applyNumberFormat="1" applyFont="1" applyFill="1" applyBorder="1" applyAlignment="1">
      <alignment horizontal="center" vertical="center"/>
    </xf>
    <xf numFmtId="4" fontId="5" fillId="0" borderId="4" xfId="0" applyNumberFormat="1" applyFont="1" applyFill="1" applyBorder="1" applyAlignment="1">
      <alignment horizontal="center" vertical="center"/>
    </xf>
    <xf numFmtId="10" fontId="4" fillId="0" borderId="4" xfId="2" applyNumberFormat="1" applyFont="1" applyFill="1" applyBorder="1" applyAlignment="1">
      <alignment horizontal="center" vertical="center"/>
    </xf>
    <xf numFmtId="9" fontId="4" fillId="0" borderId="4" xfId="2" applyNumberFormat="1" applyFont="1" applyFill="1" applyBorder="1" applyAlignment="1">
      <alignment horizontal="center" vertical="center"/>
    </xf>
    <xf numFmtId="165" fontId="4" fillId="12" borderId="4" xfId="1" applyNumberFormat="1" applyFont="1" applyFill="1" applyBorder="1" applyAlignment="1">
      <alignment horizontal="center" vertical="center"/>
    </xf>
    <xf numFmtId="0" fontId="3" fillId="14" borderId="6" xfId="0" applyFont="1" applyFill="1" applyBorder="1" applyAlignment="1">
      <alignment horizontal="center" vertical="center" wrapText="1"/>
    </xf>
    <xf numFmtId="9" fontId="4" fillId="0" borderId="4" xfId="2" applyFont="1" applyFill="1" applyBorder="1" applyAlignment="1">
      <alignment vertical="center"/>
    </xf>
    <xf numFmtId="43" fontId="5" fillId="0" borderId="4" xfId="1" applyFont="1" applyFill="1" applyBorder="1" applyAlignment="1">
      <alignment horizontal="center" vertical="center"/>
    </xf>
    <xf numFmtId="165" fontId="0" fillId="15" borderId="4" xfId="1" applyNumberFormat="1" applyFont="1" applyFill="1" applyBorder="1" applyAlignment="1">
      <alignment vertical="center"/>
    </xf>
    <xf numFmtId="0" fontId="0" fillId="0" borderId="4" xfId="0" applyFill="1" applyBorder="1" applyAlignment="1">
      <alignment horizontal="left" vertical="center"/>
    </xf>
    <xf numFmtId="2" fontId="0" fillId="0" borderId="4" xfId="1" applyNumberFormat="1" applyFont="1" applyFill="1" applyBorder="1" applyAlignment="1">
      <alignment vertical="center"/>
    </xf>
    <xf numFmtId="43" fontId="0" fillId="0" borderId="4" xfId="1" applyNumberFormat="1" applyFont="1" applyFill="1" applyBorder="1" applyAlignment="1">
      <alignment vertical="center"/>
    </xf>
    <xf numFmtId="0" fontId="17" fillId="0" borderId="8" xfId="0" applyFont="1" applyBorder="1" applyAlignment="1">
      <alignment horizontal="left" vertical="center"/>
    </xf>
    <xf numFmtId="0" fontId="4" fillId="1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0" borderId="4" xfId="0" applyFont="1" applyFill="1" applyBorder="1" applyAlignment="1">
      <alignment horizontal="left" vertical="center"/>
    </xf>
    <xf numFmtId="0" fontId="4" fillId="13" borderId="4" xfId="0" applyFont="1" applyFill="1" applyBorder="1" applyAlignment="1">
      <alignment horizontal="left" vertical="center"/>
    </xf>
    <xf numFmtId="0" fontId="0" fillId="0" borderId="4" xfId="0" applyBorder="1" applyAlignment="1">
      <alignment horizontal="left" vertical="center"/>
    </xf>
    <xf numFmtId="0" fontId="0" fillId="13" borderId="4" xfId="0" applyFill="1" applyBorder="1" applyAlignment="1">
      <alignment horizontal="left" vertical="center"/>
    </xf>
    <xf numFmtId="0" fontId="0" fillId="12" borderId="4" xfId="0" applyFill="1" applyBorder="1" applyAlignment="1">
      <alignment horizontal="left" vertical="center"/>
    </xf>
    <xf numFmtId="0" fontId="0" fillId="14" borderId="4" xfId="0" applyFill="1" applyBorder="1" applyAlignment="1">
      <alignment horizontal="left" vertical="center"/>
    </xf>
    <xf numFmtId="3" fontId="4" fillId="0" borderId="4" xfId="1" applyNumberFormat="1" applyFont="1" applyFill="1" applyBorder="1" applyAlignment="1">
      <alignment horizontal="right" vertical="center"/>
    </xf>
    <xf numFmtId="0" fontId="0" fillId="0" borderId="0" xfId="0" applyFill="1" applyAlignment="1">
      <alignment horizontal="right"/>
    </xf>
    <xf numFmtId="0" fontId="0" fillId="0" borderId="0" xfId="0" applyAlignment="1">
      <alignment horizontal="right"/>
    </xf>
    <xf numFmtId="165" fontId="4" fillId="0" borderId="4" xfId="1" applyNumberFormat="1" applyFont="1" applyFill="1" applyBorder="1" applyAlignment="1">
      <alignment horizontal="right" vertical="center"/>
    </xf>
    <xf numFmtId="3" fontId="4" fillId="0" borderId="5" xfId="0" applyNumberFormat="1" applyFont="1" applyFill="1" applyBorder="1" applyAlignment="1">
      <alignment horizontal="right" vertical="center"/>
    </xf>
    <xf numFmtId="0" fontId="4" fillId="14" borderId="4" xfId="0" applyFont="1" applyFill="1" applyBorder="1" applyAlignment="1">
      <alignment horizontal="left" vertical="center" wrapText="1"/>
    </xf>
    <xf numFmtId="3" fontId="4" fillId="0" borderId="9" xfId="0" applyNumberFormat="1" applyFont="1" applyFill="1" applyBorder="1" applyAlignment="1">
      <alignment horizontal="center" vertical="center"/>
    </xf>
    <xf numFmtId="0" fontId="4" fillId="14" borderId="4" xfId="0" applyFont="1" applyFill="1" applyBorder="1" applyAlignment="1">
      <alignment horizontal="left" vertical="center"/>
    </xf>
    <xf numFmtId="0" fontId="18" fillId="12" borderId="4" xfId="0" applyFont="1" applyFill="1" applyBorder="1" applyAlignment="1">
      <alignment horizontal="left" vertical="center"/>
    </xf>
    <xf numFmtId="0" fontId="2" fillId="3" borderId="2" xfId="0" applyFont="1" applyFill="1" applyBorder="1" applyAlignment="1">
      <alignment horizontal="center" vertical="center"/>
    </xf>
    <xf numFmtId="0" fontId="3" fillId="2" borderId="0" xfId="0" applyFont="1" applyFill="1" applyBorder="1" applyAlignment="1">
      <alignment horizontal="center" vertical="center" wrapText="1"/>
    </xf>
    <xf numFmtId="15" fontId="5" fillId="0" borderId="0" xfId="0" applyNumberFormat="1" applyFont="1" applyFill="1" applyBorder="1" applyAlignment="1">
      <alignment horizontal="center" vertical="center"/>
    </xf>
    <xf numFmtId="0" fontId="4" fillId="0" borderId="0"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Border="1" applyAlignment="1">
      <alignment vertical="center"/>
    </xf>
    <xf numFmtId="0" fontId="4" fillId="0" borderId="9" xfId="0" applyFont="1" applyFill="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9" xfId="0" applyFill="1" applyBorder="1" applyAlignment="1">
      <alignment horizontal="left" vertical="center"/>
    </xf>
    <xf numFmtId="0" fontId="0" fillId="0" borderId="0" xfId="0" applyFill="1" applyBorder="1" applyAlignment="1">
      <alignment vertical="center"/>
    </xf>
    <xf numFmtId="0" fontId="0" fillId="0" borderId="9" xfId="0" applyFill="1" applyBorder="1" applyAlignment="1">
      <alignment vertical="center"/>
    </xf>
    <xf numFmtId="0" fontId="0" fillId="0" borderId="9" xfId="0" applyBorder="1" applyAlignment="1">
      <alignment vertical="center"/>
    </xf>
    <xf numFmtId="0" fontId="16" fillId="0" borderId="4" xfId="3" applyBorder="1"/>
    <xf numFmtId="0" fontId="16" fillId="0" borderId="4" xfId="3" applyFont="1" applyBorder="1"/>
    <xf numFmtId="0" fontId="2"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0" fillId="5" borderId="1"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10" borderId="1" xfId="0" applyFill="1" applyBorder="1" applyAlignment="1">
      <alignment horizontal="center"/>
    </xf>
    <xf numFmtId="0" fontId="0" fillId="10" borderId="2" xfId="0"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cellXfs>
  <cellStyles count="4">
    <cellStyle name="Millares" xfId="1" builtinId="3"/>
    <cellStyle name="Normal" xfId="0" builtinId="0"/>
    <cellStyle name="Normal 2" xfId="3" xr:uid="{C936D111-1A45-4571-B89A-E99F00047BA1}"/>
    <cellStyle name="Porcentaje" xfId="2" builtinId="5"/>
  </cellStyles>
  <dxfs count="229">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s>
  <tableStyles count="0" defaultTableStyle="TableStyleMedium2" defaultPivotStyle="PivotStyleLight16"/>
  <colors>
    <mruColors>
      <color rgb="FFFF0000"/>
      <color rgb="FF00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EF6C-9024-47FE-A35A-D7E73852A067}">
  <dimension ref="A1:BZ75"/>
  <sheetViews>
    <sheetView tabSelected="1" zoomScale="80" zoomScaleNormal="80" workbookViewId="0">
      <pane xSplit="1" ySplit="1" topLeftCell="BO58" activePane="bottomRight" state="frozen"/>
      <selection pane="topRight" activeCell="B1" sqref="B1"/>
      <selection pane="bottomLeft" activeCell="A4" sqref="A4"/>
      <selection pane="bottomRight" activeCell="BV61" sqref="BV61"/>
    </sheetView>
  </sheetViews>
  <sheetFormatPr baseColWidth="10" defaultColWidth="10.85546875" defaultRowHeight="15" x14ac:dyDescent="0.25"/>
  <cols>
    <col min="1" max="1" width="25.42578125" customWidth="1"/>
    <col min="2" max="2" width="11.7109375" customWidth="1"/>
    <col min="3" max="3" width="11.42578125" customWidth="1"/>
    <col min="4" max="4" width="12.42578125" customWidth="1"/>
    <col min="5" max="5" width="14.85546875" customWidth="1"/>
    <col min="6" max="7" width="11.42578125" customWidth="1"/>
    <col min="8" max="8" width="11.42578125" style="59" customWidth="1"/>
    <col min="9" max="10" width="11.42578125" customWidth="1"/>
    <col min="11" max="12" width="15.140625" customWidth="1"/>
    <col min="13" max="13" width="19.42578125" customWidth="1"/>
    <col min="14" max="14" width="25.85546875" customWidth="1"/>
    <col min="15" max="17" width="15.140625" customWidth="1"/>
    <col min="18" max="18" width="18" customWidth="1"/>
    <col min="19" max="20" width="15.140625" customWidth="1"/>
    <col min="21" max="21" width="11.42578125" customWidth="1"/>
    <col min="22" max="22" width="12.28515625" customWidth="1"/>
    <col min="23" max="23" width="15.7109375" style="59" customWidth="1"/>
    <col min="24" max="32" width="15.7109375" customWidth="1"/>
    <col min="33" max="33" width="13.5703125" customWidth="1"/>
    <col min="34" max="36" width="17.7109375" customWidth="1"/>
    <col min="37" max="38" width="19.85546875" customWidth="1"/>
    <col min="39" max="39" width="23" customWidth="1"/>
    <col min="40" max="40" width="19.85546875" customWidth="1"/>
    <col min="41" max="42" width="13.5703125" customWidth="1"/>
    <col min="43" max="43" width="15.5703125" customWidth="1"/>
    <col min="44" max="44" width="13.42578125" customWidth="1"/>
    <col min="45" max="45" width="14.140625" customWidth="1"/>
    <col min="46" max="46" width="14.7109375" customWidth="1"/>
    <col min="47" max="47" width="15.140625" customWidth="1"/>
    <col min="48" max="48" width="15.85546875" customWidth="1"/>
    <col min="49" max="49" width="12.5703125" customWidth="1"/>
    <col min="50" max="50" width="16" bestFit="1" customWidth="1"/>
    <col min="51" max="51" width="11.42578125" customWidth="1"/>
    <col min="52" max="52" width="15.85546875" customWidth="1"/>
    <col min="53" max="53" width="11.42578125" customWidth="1"/>
    <col min="54" max="54" width="12.5703125" style="134" customWidth="1"/>
    <col min="55" max="58" width="12.5703125" style="45" customWidth="1"/>
    <col min="59" max="62" width="11.42578125" customWidth="1"/>
    <col min="63" max="65" width="11.42578125" style="36" customWidth="1"/>
    <col min="66" max="66" width="15.28515625" style="36" customWidth="1"/>
    <col min="67" max="67" width="14.140625" customWidth="1"/>
    <col min="68" max="68" width="10.85546875" customWidth="1"/>
    <col min="69" max="69" width="19" customWidth="1"/>
    <col min="70" max="70" width="14.42578125" customWidth="1"/>
    <col min="71" max="71" width="13.7109375" customWidth="1"/>
    <col min="72" max="72" width="16.140625" customWidth="1"/>
    <col min="73" max="73" width="13.7109375" customWidth="1"/>
    <col min="74" max="75" width="47.7109375" customWidth="1"/>
    <col min="76" max="76" width="34.28515625" customWidth="1"/>
    <col min="77" max="77" width="27.140625" customWidth="1"/>
    <col min="78" max="78" width="11.42578125" style="36" customWidth="1"/>
    <col min="83" max="83" width="11.5703125" customWidth="1"/>
  </cols>
  <sheetData>
    <row r="1" spans="1:78" ht="84" customHeight="1" thickBot="1" x14ac:dyDescent="0.3">
      <c r="A1" s="56" t="s">
        <v>1</v>
      </c>
      <c r="B1" s="56" t="s">
        <v>382</v>
      </c>
      <c r="C1" s="88" t="s">
        <v>2</v>
      </c>
      <c r="D1" s="88" t="s">
        <v>3</v>
      </c>
      <c r="E1" s="88" t="s">
        <v>4</v>
      </c>
      <c r="F1" s="88" t="s">
        <v>5</v>
      </c>
      <c r="G1" s="88" t="s">
        <v>196</v>
      </c>
      <c r="H1" s="56" t="s">
        <v>194</v>
      </c>
      <c r="I1" s="56" t="s">
        <v>195</v>
      </c>
      <c r="J1" s="56" t="s">
        <v>313</v>
      </c>
      <c r="K1" s="56" t="s">
        <v>177</v>
      </c>
      <c r="L1" s="56" t="s">
        <v>208</v>
      </c>
      <c r="M1" s="56" t="s">
        <v>211</v>
      </c>
      <c r="N1" s="88" t="s">
        <v>209</v>
      </c>
      <c r="O1" s="56" t="s">
        <v>152</v>
      </c>
      <c r="P1" s="56" t="s">
        <v>276</v>
      </c>
      <c r="Q1" s="88" t="s">
        <v>210</v>
      </c>
      <c r="R1" s="56" t="s">
        <v>146</v>
      </c>
      <c r="S1" s="56" t="s">
        <v>135</v>
      </c>
      <c r="T1" s="56" t="s">
        <v>142</v>
      </c>
      <c r="U1" s="56" t="s">
        <v>143</v>
      </c>
      <c r="V1" s="56" t="s">
        <v>144</v>
      </c>
      <c r="W1" s="56" t="s">
        <v>178</v>
      </c>
      <c r="X1" s="56" t="s">
        <v>183</v>
      </c>
      <c r="Y1" s="115" t="s">
        <v>181</v>
      </c>
      <c r="Z1" s="56" t="s">
        <v>182</v>
      </c>
      <c r="AA1" s="115" t="s">
        <v>179</v>
      </c>
      <c r="AB1" s="115" t="s">
        <v>180</v>
      </c>
      <c r="AC1" s="115" t="s">
        <v>220</v>
      </c>
      <c r="AD1" s="115" t="s">
        <v>221</v>
      </c>
      <c r="AE1" s="56" t="s">
        <v>8</v>
      </c>
      <c r="AF1" s="56" t="s">
        <v>192</v>
      </c>
      <c r="AG1" s="56" t="s">
        <v>176</v>
      </c>
      <c r="AH1" s="88" t="s">
        <v>159</v>
      </c>
      <c r="AI1" s="88" t="s">
        <v>134</v>
      </c>
      <c r="AJ1" s="88" t="s">
        <v>184</v>
      </c>
      <c r="AK1" s="88" t="s">
        <v>387</v>
      </c>
      <c r="AL1" s="88" t="s">
        <v>388</v>
      </c>
      <c r="AM1" s="88" t="s">
        <v>389</v>
      </c>
      <c r="AN1" s="88" t="s">
        <v>391</v>
      </c>
      <c r="AO1" s="88" t="s">
        <v>390</v>
      </c>
      <c r="AP1" s="115" t="s">
        <v>193</v>
      </c>
      <c r="AQ1" s="56" t="s">
        <v>128</v>
      </c>
      <c r="AR1" s="56" t="s">
        <v>138</v>
      </c>
      <c r="AS1" s="56" t="s">
        <v>10</v>
      </c>
      <c r="AT1" s="56" t="s">
        <v>11</v>
      </c>
      <c r="AU1" s="56" t="s">
        <v>12</v>
      </c>
      <c r="AV1" s="88" t="s">
        <v>185</v>
      </c>
      <c r="AW1" s="88" t="s">
        <v>191</v>
      </c>
      <c r="AX1" s="88" t="s">
        <v>186</v>
      </c>
      <c r="AY1" s="88" t="s">
        <v>189</v>
      </c>
      <c r="AZ1" s="88" t="s">
        <v>187</v>
      </c>
      <c r="BA1" s="88" t="s">
        <v>188</v>
      </c>
      <c r="BB1" s="56" t="s">
        <v>13</v>
      </c>
      <c r="BC1" s="56" t="s">
        <v>198</v>
      </c>
      <c r="BD1" s="56" t="s">
        <v>199</v>
      </c>
      <c r="BE1" s="56" t="s">
        <v>200</v>
      </c>
      <c r="BF1" s="56" t="s">
        <v>202</v>
      </c>
      <c r="BG1" s="56" t="s">
        <v>197</v>
      </c>
      <c r="BH1" s="88" t="s">
        <v>190</v>
      </c>
      <c r="BI1" s="88" t="s">
        <v>201</v>
      </c>
      <c r="BJ1" s="56" t="s">
        <v>203</v>
      </c>
      <c r="BK1" s="56" t="s">
        <v>204</v>
      </c>
      <c r="BL1" s="56" t="s">
        <v>205</v>
      </c>
      <c r="BM1" s="88" t="s">
        <v>206</v>
      </c>
      <c r="BN1" s="56" t="s">
        <v>207</v>
      </c>
      <c r="BO1" s="88" t="s">
        <v>92</v>
      </c>
      <c r="BP1" s="56" t="s">
        <v>153</v>
      </c>
      <c r="BQ1" s="88" t="s">
        <v>6</v>
      </c>
      <c r="BR1" s="56" t="s">
        <v>9</v>
      </c>
      <c r="BS1" s="88" t="s">
        <v>7</v>
      </c>
      <c r="BT1" s="56" t="s">
        <v>145</v>
      </c>
      <c r="BU1" s="88" t="s">
        <v>129</v>
      </c>
      <c r="BV1" s="88" t="s">
        <v>359</v>
      </c>
      <c r="BW1" s="88" t="s">
        <v>360</v>
      </c>
      <c r="BX1" s="56" t="s">
        <v>115</v>
      </c>
      <c r="BY1" s="142"/>
    </row>
    <row r="2" spans="1:78" ht="38.25" x14ac:dyDescent="0.25">
      <c r="A2" s="48" t="s">
        <v>14</v>
      </c>
      <c r="B2" s="124" t="s">
        <v>383</v>
      </c>
      <c r="C2" s="49" t="s">
        <v>15</v>
      </c>
      <c r="D2" s="21">
        <v>10000000</v>
      </c>
      <c r="E2" s="21">
        <v>5000000</v>
      </c>
      <c r="F2" s="21" t="s">
        <v>16</v>
      </c>
      <c r="G2" s="21">
        <v>16000000</v>
      </c>
      <c r="H2" s="110">
        <v>1</v>
      </c>
      <c r="I2" s="110">
        <f>+G2/E2</f>
        <v>3.2</v>
      </c>
      <c r="J2" s="84"/>
      <c r="K2" s="21" t="s">
        <v>20</v>
      </c>
      <c r="L2" s="21" t="s">
        <v>20</v>
      </c>
      <c r="M2" s="21" t="s">
        <v>20</v>
      </c>
      <c r="N2" s="21" t="s">
        <v>20</v>
      </c>
      <c r="O2" s="21" t="s">
        <v>20</v>
      </c>
      <c r="P2" s="21" t="s">
        <v>20</v>
      </c>
      <c r="Q2" s="21" t="s">
        <v>20</v>
      </c>
      <c r="R2" s="21" t="s">
        <v>20</v>
      </c>
      <c r="S2" s="70" t="s">
        <v>82</v>
      </c>
      <c r="T2" s="71">
        <v>1.19</v>
      </c>
      <c r="U2" s="50" t="s">
        <v>20</v>
      </c>
      <c r="V2" s="50" t="s">
        <v>20</v>
      </c>
      <c r="W2" s="50" t="s">
        <v>20</v>
      </c>
      <c r="X2" s="50" t="s">
        <v>20</v>
      </c>
      <c r="Y2" s="21"/>
      <c r="Z2" s="109" t="e">
        <f t="shared" ref="Z2:Z63" si="0">+P2/M2</f>
        <v>#VALUE!</v>
      </c>
      <c r="AA2" s="21"/>
      <c r="AB2" s="21"/>
      <c r="AC2" s="21"/>
      <c r="AD2" s="21"/>
      <c r="AE2" s="51" t="s">
        <v>19</v>
      </c>
      <c r="AF2" s="25">
        <v>0.25</v>
      </c>
      <c r="AG2" s="42">
        <v>10000000</v>
      </c>
      <c r="AH2" s="42">
        <v>10000000</v>
      </c>
      <c r="AI2" s="35">
        <v>3413892</v>
      </c>
      <c r="AJ2" s="52">
        <f t="shared" ref="AJ2:AJ7" si="1">+AI2/AH2</f>
        <v>0.3413892</v>
      </c>
      <c r="AK2" s="52">
        <f>+AI2/AG2</f>
        <v>0.3413892</v>
      </c>
      <c r="AL2" s="42" t="e">
        <f>+AI2/X2</f>
        <v>#VALUE!</v>
      </c>
      <c r="AM2" s="42">
        <v>3950061</v>
      </c>
      <c r="AN2" s="52">
        <f>+AM2/AI2</f>
        <v>1.1570550562232198</v>
      </c>
      <c r="AO2" s="42">
        <v>180</v>
      </c>
      <c r="AP2" s="43"/>
      <c r="AQ2" s="21" t="s">
        <v>20</v>
      </c>
      <c r="AR2" s="50" t="s">
        <v>20</v>
      </c>
      <c r="AS2" s="30">
        <v>23</v>
      </c>
      <c r="AT2" s="30">
        <v>10174798.061319519</v>
      </c>
      <c r="AU2" s="21">
        <f>AT2-AV2</f>
        <v>10174798.061319519</v>
      </c>
      <c r="AV2" s="34">
        <v>0</v>
      </c>
      <c r="AW2" s="104">
        <f>+AV2/E2</f>
        <v>0</v>
      </c>
      <c r="AX2" s="105">
        <v>0</v>
      </c>
      <c r="AY2" s="106" t="e">
        <f>+AX2/AV2</f>
        <v>#DIV/0!</v>
      </c>
      <c r="AZ2" s="105">
        <v>0</v>
      </c>
      <c r="BA2" s="106" t="e">
        <f>+AZ2/AV2</f>
        <v>#DIV/0!</v>
      </c>
      <c r="BB2" s="12">
        <v>0</v>
      </c>
      <c r="BC2" s="41" t="s">
        <v>20</v>
      </c>
      <c r="BD2" s="41" t="s">
        <v>20</v>
      </c>
      <c r="BE2" s="41" t="s">
        <v>20</v>
      </c>
      <c r="BF2" s="41" t="s">
        <v>20</v>
      </c>
      <c r="BG2" s="55">
        <v>44834</v>
      </c>
      <c r="BH2" s="5" t="s">
        <v>22</v>
      </c>
      <c r="BI2" s="5" t="s">
        <v>20</v>
      </c>
      <c r="BJ2" s="54" t="e">
        <f>90-BI2</f>
        <v>#VALUE!</v>
      </c>
      <c r="BK2" s="101" t="s">
        <v>270</v>
      </c>
      <c r="BL2" s="101" t="s">
        <v>270</v>
      </c>
      <c r="BM2" s="107" t="str">
        <f>+AE2</f>
        <v>HP,Six Sigma, Mas negocio, Infotec</v>
      </c>
      <c r="BN2" s="101" t="s">
        <v>270</v>
      </c>
      <c r="BO2" s="54" t="s">
        <v>97</v>
      </c>
      <c r="BP2" s="24">
        <v>2</v>
      </c>
      <c r="BQ2" s="54" t="s">
        <v>17</v>
      </c>
      <c r="BR2" s="54" t="s">
        <v>20</v>
      </c>
      <c r="BS2" s="54" t="s">
        <v>18</v>
      </c>
      <c r="BT2" s="54" t="s">
        <v>20</v>
      </c>
      <c r="BU2" s="54" t="s">
        <v>31</v>
      </c>
      <c r="BV2" s="54"/>
      <c r="BW2" s="54"/>
      <c r="BX2" s="54" t="s">
        <v>116</v>
      </c>
      <c r="BY2" s="143"/>
    </row>
    <row r="3" spans="1:78" ht="32.25" customHeight="1" x14ac:dyDescent="0.25">
      <c r="A3" s="124" t="s">
        <v>299</v>
      </c>
      <c r="B3" s="124" t="s">
        <v>383</v>
      </c>
      <c r="C3" s="2" t="s">
        <v>15</v>
      </c>
      <c r="D3" s="9">
        <v>10000000</v>
      </c>
      <c r="E3" s="9">
        <v>10000000</v>
      </c>
      <c r="F3" s="30" t="s">
        <v>298</v>
      </c>
      <c r="G3" s="3">
        <v>43400000</v>
      </c>
      <c r="H3" s="110">
        <v>2</v>
      </c>
      <c r="I3" s="110">
        <f>+(G3/E3)</f>
        <v>4.34</v>
      </c>
      <c r="J3" s="110" t="s">
        <v>314</v>
      </c>
      <c r="K3" s="9">
        <v>2000000</v>
      </c>
      <c r="L3" s="9">
        <v>7323297</v>
      </c>
      <c r="M3" s="9">
        <v>6781906.0800000001</v>
      </c>
      <c r="N3" s="25">
        <f>+M3/L3</f>
        <v>0.92607278934611015</v>
      </c>
      <c r="O3" s="9">
        <v>6781906.0800000001</v>
      </c>
      <c r="P3" s="9">
        <v>7030358.3099999996</v>
      </c>
      <c r="Q3" s="25">
        <f t="shared" ref="Q3:Q6" si="2">+P3/L3</f>
        <v>0.9599990700909713</v>
      </c>
      <c r="R3" s="33">
        <f>O3+M3-P3</f>
        <v>6533453.8500000006</v>
      </c>
      <c r="S3" s="15">
        <v>2</v>
      </c>
      <c r="T3" s="15">
        <v>2.5</v>
      </c>
      <c r="U3" s="15">
        <f>P3/AR3</f>
        <v>6.1043900918034373</v>
      </c>
      <c r="V3" s="15">
        <f>R3/AV3</f>
        <v>0.62151746565173915</v>
      </c>
      <c r="W3" s="15">
        <f>M3/AR3</f>
        <v>5.8886614953048522</v>
      </c>
      <c r="X3" s="9">
        <v>93399859.399999991</v>
      </c>
      <c r="Y3" s="15"/>
      <c r="Z3" s="109">
        <f t="shared" si="0"/>
        <v>1.036634572503546</v>
      </c>
      <c r="AA3" s="15"/>
      <c r="AB3" s="15"/>
      <c r="AC3" s="15"/>
      <c r="AD3" s="15"/>
      <c r="AE3" s="24" t="s">
        <v>277</v>
      </c>
      <c r="AF3" s="25">
        <v>0.66</v>
      </c>
      <c r="AG3" s="35">
        <f>+X3*0.3</f>
        <v>28019957.819999997</v>
      </c>
      <c r="AH3" s="35">
        <v>25000000</v>
      </c>
      <c r="AI3" s="35">
        <f>401033+16282632</f>
        <v>16683665</v>
      </c>
      <c r="AJ3" s="47">
        <f t="shared" si="1"/>
        <v>0.66734660000000001</v>
      </c>
      <c r="AK3" s="52">
        <f t="shared" ref="AK3:AK63" si="3">+AI3/AG3</f>
        <v>0.59542077497674128</v>
      </c>
      <c r="AL3" s="89">
        <f t="shared" ref="AL3:AL63" si="4">+AI3/X3</f>
        <v>0.17862623249302237</v>
      </c>
      <c r="AM3" s="35">
        <v>8803887</v>
      </c>
      <c r="AN3" s="52">
        <f t="shared" ref="AN3:AN63" si="5">+AM3/AI3</f>
        <v>0.5276950238451803</v>
      </c>
      <c r="AO3" s="35">
        <v>999</v>
      </c>
      <c r="AP3" s="43"/>
      <c r="AQ3" s="9">
        <v>941446.9</v>
      </c>
      <c r="AR3" s="9">
        <f>AQ3+ROUND(AV3*(24%)/360*30,2)</f>
        <v>1151688.8999999999</v>
      </c>
      <c r="AS3" s="30">
        <v>35</v>
      </c>
      <c r="AT3" s="30">
        <v>92359741.34359315</v>
      </c>
      <c r="AU3" s="3">
        <f>AT3-AV3</f>
        <v>81847641.183786929</v>
      </c>
      <c r="AV3" s="103">
        <v>10512100.159806214</v>
      </c>
      <c r="AW3" s="104">
        <f t="shared" ref="AW3:AW63" si="6">+AV3/E3</f>
        <v>1.0512100159806215</v>
      </c>
      <c r="AX3" s="105">
        <v>0</v>
      </c>
      <c r="AY3" s="106">
        <f t="shared" ref="AY3:AY63" si="7">+AX3/AV3</f>
        <v>0</v>
      </c>
      <c r="AZ3" s="105">
        <v>0</v>
      </c>
      <c r="BA3" s="106">
        <f t="shared" ref="BA3:BA63" si="8">+AZ3/AV3</f>
        <v>0</v>
      </c>
      <c r="BB3" s="38">
        <v>461789.58</v>
      </c>
      <c r="BC3" s="6"/>
      <c r="BD3" s="6"/>
      <c r="BE3" s="6"/>
      <c r="BF3" s="6"/>
      <c r="BG3" s="55">
        <v>44985</v>
      </c>
      <c r="BH3" s="5" t="s">
        <v>22</v>
      </c>
      <c r="BI3" s="5"/>
      <c r="BJ3" s="5"/>
      <c r="BK3" s="5"/>
      <c r="BL3" s="5"/>
      <c r="BM3" s="5"/>
      <c r="BN3" s="5"/>
      <c r="BO3" s="5" t="s">
        <v>97</v>
      </c>
      <c r="BP3" s="24">
        <v>2</v>
      </c>
      <c r="BQ3" s="3" t="s">
        <v>17</v>
      </c>
      <c r="BR3" s="3">
        <v>99862884.9472</v>
      </c>
      <c r="BS3" s="54" t="s">
        <v>18</v>
      </c>
      <c r="BT3" s="33">
        <v>2000000</v>
      </c>
      <c r="BU3" s="3" t="s">
        <v>25</v>
      </c>
      <c r="BV3" s="3" t="s">
        <v>325</v>
      </c>
      <c r="BW3" s="3" t="s">
        <v>361</v>
      </c>
      <c r="BX3" s="7" t="s">
        <v>116</v>
      </c>
      <c r="BY3" s="144"/>
    </row>
    <row r="4" spans="1:78" ht="25.5" x14ac:dyDescent="0.25">
      <c r="A4" s="123" t="s">
        <v>26</v>
      </c>
      <c r="B4" s="154" t="s">
        <v>384</v>
      </c>
      <c r="C4" s="2" t="s">
        <v>15</v>
      </c>
      <c r="D4" s="9">
        <v>10000000</v>
      </c>
      <c r="E4" s="9">
        <v>10000000</v>
      </c>
      <c r="F4" s="30" t="s">
        <v>298</v>
      </c>
      <c r="G4" s="26" t="s">
        <v>20</v>
      </c>
      <c r="H4" s="111" t="s">
        <v>20</v>
      </c>
      <c r="I4" s="111" t="s">
        <v>20</v>
      </c>
      <c r="J4" s="110" t="s">
        <v>314</v>
      </c>
      <c r="K4" s="9">
        <v>2000000</v>
      </c>
      <c r="L4" s="9">
        <v>2749665</v>
      </c>
      <c r="M4" s="9">
        <v>1742000</v>
      </c>
      <c r="N4" s="25">
        <f>+M4/L4</f>
        <v>0.63353172113693845</v>
      </c>
      <c r="O4" s="9">
        <v>17655629.25</v>
      </c>
      <c r="P4" s="9">
        <v>1742000</v>
      </c>
      <c r="Q4" s="25">
        <f t="shared" si="2"/>
        <v>0.63353172113693845</v>
      </c>
      <c r="R4" s="33">
        <f>O4+M4-P4</f>
        <v>17655629.25</v>
      </c>
      <c r="S4" s="15">
        <v>2</v>
      </c>
      <c r="T4" s="15">
        <v>3.4</v>
      </c>
      <c r="U4" s="15">
        <f>P4/AR4</f>
        <v>1.2958525754794699</v>
      </c>
      <c r="V4" s="15">
        <f>R4/AV4</f>
        <v>2.0607316136718583</v>
      </c>
      <c r="W4" s="15">
        <f>M4/AR4</f>
        <v>1.2958525754794699</v>
      </c>
      <c r="X4" s="9">
        <v>1145538006.2299998</v>
      </c>
      <c r="Y4" s="15"/>
      <c r="Z4" s="109">
        <f>+P4/M4</f>
        <v>1</v>
      </c>
      <c r="AA4" s="15"/>
      <c r="AB4" s="15"/>
      <c r="AC4" s="15"/>
      <c r="AD4" s="15"/>
      <c r="AE4" s="24" t="s">
        <v>271</v>
      </c>
      <c r="AF4" s="25">
        <v>7.1428571428571425E-2</v>
      </c>
      <c r="AG4" s="35">
        <f>+X4*0.3</f>
        <v>343661401.8689999</v>
      </c>
      <c r="AH4" s="35">
        <v>31000000</v>
      </c>
      <c r="AI4" s="35">
        <v>43191486</v>
      </c>
      <c r="AJ4" s="47">
        <f t="shared" si="1"/>
        <v>1.3932737419354839</v>
      </c>
      <c r="AK4" s="47">
        <f t="shared" si="3"/>
        <v>0.12568035212887871</v>
      </c>
      <c r="AL4" s="121">
        <f t="shared" si="4"/>
        <v>3.7704105638663603E-2</v>
      </c>
      <c r="AM4" s="35">
        <v>752305</v>
      </c>
      <c r="AN4" s="47">
        <f t="shared" si="5"/>
        <v>1.7417900370457269E-2</v>
      </c>
      <c r="AO4" s="35">
        <v>177</v>
      </c>
      <c r="AP4" s="43"/>
      <c r="AQ4" s="9">
        <v>1147232.75</v>
      </c>
      <c r="AR4" s="9">
        <f>AQ4+ROUND(AV4*(27.6%)/360*30,2)</f>
        <v>1344288.72</v>
      </c>
      <c r="AS4" s="30">
        <v>6</v>
      </c>
      <c r="AT4" s="30">
        <v>40978231.636674955</v>
      </c>
      <c r="AU4" s="3">
        <f t="shared" ref="AU4:AU64" si="9">AT4-AV4</f>
        <v>32410580.646674953</v>
      </c>
      <c r="AV4" s="103">
        <v>8567650.9900000021</v>
      </c>
      <c r="AW4" s="104">
        <f t="shared" si="6"/>
        <v>0.8567650990000002</v>
      </c>
      <c r="AX4" s="117">
        <v>234318.23</v>
      </c>
      <c r="AY4" s="95">
        <f t="shared" si="7"/>
        <v>2.7349180104732529E-2</v>
      </c>
      <c r="AZ4" s="117">
        <v>0</v>
      </c>
      <c r="BA4" s="95">
        <f t="shared" si="8"/>
        <v>0</v>
      </c>
      <c r="BB4" s="38">
        <v>465496.22</v>
      </c>
      <c r="BC4" s="6"/>
      <c r="BD4" s="35"/>
      <c r="BE4" s="6"/>
      <c r="BF4" s="6"/>
      <c r="BG4" s="55">
        <v>45138</v>
      </c>
      <c r="BH4" s="5" t="s">
        <v>22</v>
      </c>
      <c r="BI4" s="57"/>
      <c r="BJ4" s="5"/>
      <c r="BK4" s="5"/>
      <c r="BL4" s="5"/>
      <c r="BM4" s="5"/>
      <c r="BN4" s="5"/>
      <c r="BO4" s="5" t="s">
        <v>97</v>
      </c>
      <c r="BP4" s="24">
        <v>2</v>
      </c>
      <c r="BQ4" s="3" t="s">
        <v>17</v>
      </c>
      <c r="BR4" s="3" t="s">
        <v>20</v>
      </c>
      <c r="BS4" s="3" t="s">
        <v>61</v>
      </c>
      <c r="BT4" s="33">
        <v>2000000</v>
      </c>
      <c r="BU4" s="3" t="s">
        <v>21</v>
      </c>
      <c r="BV4" s="3" t="s">
        <v>326</v>
      </c>
      <c r="BW4" s="3" t="s">
        <v>362</v>
      </c>
      <c r="BX4" s="7" t="s">
        <v>116</v>
      </c>
      <c r="BY4" s="145"/>
      <c r="BZ4" s="138" t="s">
        <v>316</v>
      </c>
    </row>
    <row r="5" spans="1:78" x14ac:dyDescent="0.25">
      <c r="A5" s="124" t="s">
        <v>32</v>
      </c>
      <c r="B5" s="124" t="s">
        <v>383</v>
      </c>
      <c r="C5" s="2" t="s">
        <v>15</v>
      </c>
      <c r="D5" s="9">
        <v>15000000</v>
      </c>
      <c r="E5" s="9">
        <v>15000000</v>
      </c>
      <c r="F5" s="30" t="s">
        <v>298</v>
      </c>
      <c r="G5" s="26" t="s">
        <v>20</v>
      </c>
      <c r="H5" s="111" t="s">
        <v>20</v>
      </c>
      <c r="I5" s="111" t="s">
        <v>20</v>
      </c>
      <c r="J5" s="110" t="s">
        <v>314</v>
      </c>
      <c r="K5" s="9">
        <v>2000000</v>
      </c>
      <c r="L5" s="9">
        <v>3019267.8707999992</v>
      </c>
      <c r="M5" s="9">
        <v>2419006.3600000003</v>
      </c>
      <c r="N5" s="25">
        <f>+M5/L5</f>
        <v>0.80118971337215239</v>
      </c>
      <c r="O5" s="9">
        <f>2499105+2419006</f>
        <v>4918111</v>
      </c>
      <c r="P5" s="9">
        <v>3119644.7399999998</v>
      </c>
      <c r="Q5" s="25">
        <f t="shared" si="2"/>
        <v>1.0332454334942478</v>
      </c>
      <c r="R5" s="33">
        <f>O5+M5-P5</f>
        <v>4217472.620000001</v>
      </c>
      <c r="S5" s="15">
        <v>2</v>
      </c>
      <c r="T5" s="15">
        <v>2.4</v>
      </c>
      <c r="U5" s="15">
        <f>P5/AR5</f>
        <v>2.1226478630700836</v>
      </c>
      <c r="V5" s="15">
        <f>R5/AV5</f>
        <v>0.37812783315268889</v>
      </c>
      <c r="W5" s="15">
        <f>M5/AR5</f>
        <v>1.6459241704576089</v>
      </c>
      <c r="X5" s="9">
        <v>540204806.02999985</v>
      </c>
      <c r="Y5" s="15"/>
      <c r="Z5" s="109">
        <f t="shared" si="0"/>
        <v>1.2896389160382362</v>
      </c>
      <c r="AA5" s="15"/>
      <c r="AB5" s="15"/>
      <c r="AC5" s="15"/>
      <c r="AD5" s="15"/>
      <c r="AE5" s="24" t="s">
        <v>33</v>
      </c>
      <c r="AF5" s="25">
        <v>1</v>
      </c>
      <c r="AG5" s="35">
        <f>+X5*0.3</f>
        <v>162061441.80899996</v>
      </c>
      <c r="AH5" s="35">
        <v>120000000</v>
      </c>
      <c r="AI5" s="35">
        <v>35059511</v>
      </c>
      <c r="AJ5" s="47">
        <f t="shared" si="1"/>
        <v>0.29216259166666669</v>
      </c>
      <c r="AK5" s="47">
        <f t="shared" si="3"/>
        <v>0.21633468521969546</v>
      </c>
      <c r="AL5" s="121">
        <f>+AI5/X5</f>
        <v>6.4900405565908634E-2</v>
      </c>
      <c r="AM5" s="35">
        <v>4227829</v>
      </c>
      <c r="AN5" s="47">
        <f t="shared" si="5"/>
        <v>0.12059007326143253</v>
      </c>
      <c r="AO5" s="35">
        <v>180</v>
      </c>
      <c r="AP5" s="43"/>
      <c r="AQ5" s="9">
        <v>1224316.5105417757</v>
      </c>
      <c r="AR5" s="3">
        <f>AQ5+ROUND(AV5*(26.4%)/360*30,2)</f>
        <v>1469694.9005417759</v>
      </c>
      <c r="AS5" s="30">
        <v>18</v>
      </c>
      <c r="AT5" s="30">
        <v>54173683.424539886</v>
      </c>
      <c r="AU5" s="3">
        <f t="shared" si="9"/>
        <v>43020120.395771846</v>
      </c>
      <c r="AV5" s="103">
        <v>11153563.02876804</v>
      </c>
      <c r="AW5" s="104">
        <f t="shared" si="6"/>
        <v>0.74357086858453603</v>
      </c>
      <c r="AX5" s="117">
        <v>0</v>
      </c>
      <c r="AY5" s="95">
        <f t="shared" si="7"/>
        <v>0</v>
      </c>
      <c r="AZ5" s="117">
        <v>0</v>
      </c>
      <c r="BA5" s="95">
        <f t="shared" si="8"/>
        <v>0</v>
      </c>
      <c r="BB5" s="38">
        <v>876940.98</v>
      </c>
      <c r="BC5" s="6"/>
      <c r="BD5" s="6"/>
      <c r="BE5" s="6"/>
      <c r="BF5" s="6"/>
      <c r="BG5" s="55">
        <v>44711</v>
      </c>
      <c r="BH5" s="5" t="s">
        <v>22</v>
      </c>
      <c r="BI5" s="5"/>
      <c r="BJ5" s="5"/>
      <c r="BK5" s="5"/>
      <c r="BL5" s="5"/>
      <c r="BM5" s="5"/>
      <c r="BN5" s="5"/>
      <c r="BO5" s="5" t="s">
        <v>97</v>
      </c>
      <c r="BP5" s="24">
        <v>2</v>
      </c>
      <c r="BQ5" s="3" t="s">
        <v>17</v>
      </c>
      <c r="BR5" s="3">
        <v>108693643.34879999</v>
      </c>
      <c r="BS5" s="54" t="s">
        <v>18</v>
      </c>
      <c r="BT5" s="33">
        <v>2000000</v>
      </c>
      <c r="BU5" s="3" t="s">
        <v>25</v>
      </c>
      <c r="BV5" s="3" t="s">
        <v>327</v>
      </c>
      <c r="BW5" s="3" t="s">
        <v>362</v>
      </c>
      <c r="BX5" s="7" t="s">
        <v>116</v>
      </c>
      <c r="BY5" s="144"/>
    </row>
    <row r="6" spans="1:78" ht="25.5" x14ac:dyDescent="0.25">
      <c r="A6" s="124" t="s">
        <v>34</v>
      </c>
      <c r="B6" s="124" t="s">
        <v>383</v>
      </c>
      <c r="C6" s="2" t="s">
        <v>15</v>
      </c>
      <c r="D6" s="9">
        <v>5000000</v>
      </c>
      <c r="E6" s="9">
        <v>5000000</v>
      </c>
      <c r="F6" s="30" t="s">
        <v>298</v>
      </c>
      <c r="G6" s="26" t="s">
        <v>20</v>
      </c>
      <c r="H6" s="111" t="s">
        <v>20</v>
      </c>
      <c r="I6" s="111" t="s">
        <v>20</v>
      </c>
      <c r="J6" s="110" t="s">
        <v>314</v>
      </c>
      <c r="K6" s="9">
        <v>1000000</v>
      </c>
      <c r="L6" s="9">
        <v>2000000</v>
      </c>
      <c r="M6" s="9">
        <v>2627012.8000000003</v>
      </c>
      <c r="N6" s="25">
        <f>+M6/L6</f>
        <v>1.3135064000000001</v>
      </c>
      <c r="O6" s="9">
        <f>1742031+2627012</f>
        <v>4369043</v>
      </c>
      <c r="P6" s="9">
        <v>520861.11</v>
      </c>
      <c r="Q6" s="25">
        <f t="shared" si="2"/>
        <v>0.26043055500000001</v>
      </c>
      <c r="R6" s="33">
        <f>O6+M6-P6</f>
        <v>6475194.6900000004</v>
      </c>
      <c r="S6" s="15">
        <v>3</v>
      </c>
      <c r="T6" s="15">
        <v>3</v>
      </c>
      <c r="U6" s="15">
        <f>P6/AR6</f>
        <v>1.1446258463067831</v>
      </c>
      <c r="V6" s="15">
        <f>R6/AV6</f>
        <v>1.5540466679525249</v>
      </c>
      <c r="W6" s="15">
        <f>M6/AR6</f>
        <v>5.7730298763498631</v>
      </c>
      <c r="X6" s="9">
        <v>150394037.54999998</v>
      </c>
      <c r="Y6" s="15"/>
      <c r="Z6" s="109">
        <f t="shared" si="0"/>
        <v>0.19827124938256865</v>
      </c>
      <c r="AA6" s="15"/>
      <c r="AB6" s="15"/>
      <c r="AC6" s="15"/>
      <c r="AD6" s="15"/>
      <c r="AE6" s="24" t="s">
        <v>303</v>
      </c>
      <c r="AF6" s="25">
        <v>1</v>
      </c>
      <c r="AG6" s="35">
        <v>30000000</v>
      </c>
      <c r="AH6" s="35">
        <v>30000000</v>
      </c>
      <c r="AI6" s="35">
        <v>51015128</v>
      </c>
      <c r="AJ6" s="47">
        <f t="shared" si="1"/>
        <v>1.7005042666666668</v>
      </c>
      <c r="AK6" s="47">
        <f t="shared" si="3"/>
        <v>1.7005042666666668</v>
      </c>
      <c r="AL6" s="120">
        <f>+AI6/X6</f>
        <v>0.33920977740250852</v>
      </c>
      <c r="AM6" s="35">
        <v>0</v>
      </c>
      <c r="AN6" s="47">
        <f t="shared" si="5"/>
        <v>0</v>
      </c>
      <c r="AO6" s="35">
        <v>0</v>
      </c>
      <c r="AP6" s="43"/>
      <c r="AQ6" s="9">
        <v>363382.56</v>
      </c>
      <c r="AR6" s="3">
        <f>AQ6+ROUND(AV6*(26.4%)/360*30,2)</f>
        <v>455049.23</v>
      </c>
      <c r="AS6" s="30">
        <v>11</v>
      </c>
      <c r="AT6" s="30">
        <v>18945669.678369015</v>
      </c>
      <c r="AU6" s="3">
        <f t="shared" si="9"/>
        <v>14779002.857139543</v>
      </c>
      <c r="AV6" s="14">
        <v>4166666.8212294728</v>
      </c>
      <c r="AW6" s="104">
        <f t="shared" si="6"/>
        <v>0.83333336424589455</v>
      </c>
      <c r="AX6" s="117">
        <v>0</v>
      </c>
      <c r="AY6" s="95">
        <f t="shared" si="7"/>
        <v>0</v>
      </c>
      <c r="AZ6" s="117">
        <v>0</v>
      </c>
      <c r="BA6" s="95">
        <f t="shared" si="8"/>
        <v>0</v>
      </c>
      <c r="BB6" s="132">
        <v>220000.16000000003</v>
      </c>
      <c r="BC6" s="14"/>
      <c r="BD6" s="14"/>
      <c r="BE6" s="14"/>
      <c r="BF6" s="14"/>
      <c r="BG6" s="55">
        <v>44985</v>
      </c>
      <c r="BH6" s="5" t="s">
        <v>22</v>
      </c>
      <c r="BI6" s="5"/>
      <c r="BJ6" s="5"/>
      <c r="BK6" s="5"/>
      <c r="BL6" s="22"/>
      <c r="BM6" s="5"/>
      <c r="BN6" s="5"/>
      <c r="BO6" s="5" t="s">
        <v>97</v>
      </c>
      <c r="BP6" s="24">
        <v>2</v>
      </c>
      <c r="BQ6" s="3" t="s">
        <v>304</v>
      </c>
      <c r="BR6" s="3" t="s">
        <v>20</v>
      </c>
      <c r="BS6" s="54" t="s">
        <v>18</v>
      </c>
      <c r="BT6" s="3">
        <v>1000000</v>
      </c>
      <c r="BU6" s="3" t="s">
        <v>25</v>
      </c>
      <c r="BV6" s="3" t="s">
        <v>346</v>
      </c>
      <c r="BW6" s="3" t="s">
        <v>363</v>
      </c>
      <c r="BX6" s="7" t="s">
        <v>116</v>
      </c>
      <c r="BY6" s="144"/>
    </row>
    <row r="7" spans="1:78" ht="38.25" x14ac:dyDescent="0.25">
      <c r="A7" s="124" t="s">
        <v>37</v>
      </c>
      <c r="B7" s="124" t="s">
        <v>383</v>
      </c>
      <c r="C7" s="2" t="s">
        <v>15</v>
      </c>
      <c r="D7" s="9">
        <v>10000000</v>
      </c>
      <c r="E7" s="9">
        <v>10000000</v>
      </c>
      <c r="F7" s="30" t="s">
        <v>298</v>
      </c>
      <c r="G7" s="26" t="s">
        <v>20</v>
      </c>
      <c r="H7" s="111" t="s">
        <v>20</v>
      </c>
      <c r="I7" s="111" t="s">
        <v>20</v>
      </c>
      <c r="J7" s="110" t="s">
        <v>314</v>
      </c>
      <c r="K7" s="9">
        <v>2000000</v>
      </c>
      <c r="L7" s="9">
        <v>2000000</v>
      </c>
      <c r="M7" s="9">
        <v>0</v>
      </c>
      <c r="N7" s="25">
        <f>+M7/L7</f>
        <v>0</v>
      </c>
      <c r="O7" s="9">
        <v>206188.83999999997</v>
      </c>
      <c r="P7" s="9">
        <v>295776.8</v>
      </c>
      <c r="Q7" s="25">
        <f>+P7/L7</f>
        <v>0.1478884</v>
      </c>
      <c r="R7" s="33">
        <f>O7+M7-P7</f>
        <v>-89587.960000000021</v>
      </c>
      <c r="S7" s="15">
        <v>3</v>
      </c>
      <c r="T7" s="15">
        <f>+L7/AR7</f>
        <v>2.0799892090159844</v>
      </c>
      <c r="U7" s="15">
        <f>P7/AR7</f>
        <v>0.30760627613863945</v>
      </c>
      <c r="V7" s="15">
        <f>R7/AV7</f>
        <v>-1.5608145271429807</v>
      </c>
      <c r="W7" s="15">
        <f>M7/AQ7</f>
        <v>0</v>
      </c>
      <c r="X7" s="9">
        <v>82765137.029999986</v>
      </c>
      <c r="Y7" s="15"/>
      <c r="Z7" s="109" t="e">
        <f t="shared" si="0"/>
        <v>#DIV/0!</v>
      </c>
      <c r="AA7" s="15"/>
      <c r="AB7" s="15"/>
      <c r="AC7" s="15"/>
      <c r="AD7" s="15"/>
      <c r="AE7" s="24" t="s">
        <v>305</v>
      </c>
      <c r="AF7" s="113">
        <v>0.4</v>
      </c>
      <c r="AG7" s="35">
        <f>+X7*0.3</f>
        <v>24829541.108999994</v>
      </c>
      <c r="AH7" s="35">
        <v>60000000</v>
      </c>
      <c r="AI7" s="35">
        <v>47460419</v>
      </c>
      <c r="AJ7" s="47">
        <f t="shared" si="1"/>
        <v>0.7910069833333333</v>
      </c>
      <c r="AK7" s="47">
        <f t="shared" si="3"/>
        <v>1.9114497038689517</v>
      </c>
      <c r="AL7" s="35">
        <f t="shared" si="4"/>
        <v>0.57343491116068546</v>
      </c>
      <c r="AM7" s="35">
        <v>16951217</v>
      </c>
      <c r="AN7" s="47">
        <f t="shared" si="5"/>
        <v>0.35716534655962479</v>
      </c>
      <c r="AO7" s="35">
        <v>422</v>
      </c>
      <c r="AP7" s="43"/>
      <c r="AQ7" s="9">
        <v>960223.28999999969</v>
      </c>
      <c r="AR7" s="3">
        <f>AQ7+ROUND(AV7*(27.6%)/360*30,2)</f>
        <v>961543.44999999972</v>
      </c>
      <c r="AS7" s="30">
        <v>5</v>
      </c>
      <c r="AT7" s="30">
        <v>14473418.939999999</v>
      </c>
      <c r="AU7" s="3">
        <f t="shared" si="9"/>
        <v>14416020.730000002</v>
      </c>
      <c r="AV7" s="14">
        <v>57398.209999997765</v>
      </c>
      <c r="AW7" s="104">
        <f t="shared" si="6"/>
        <v>5.7398209999997762E-3</v>
      </c>
      <c r="AX7" s="117">
        <v>0</v>
      </c>
      <c r="AY7" s="95">
        <f t="shared" si="7"/>
        <v>0</v>
      </c>
      <c r="AZ7" s="117">
        <v>0</v>
      </c>
      <c r="BA7" s="95">
        <f t="shared" si="8"/>
        <v>0</v>
      </c>
      <c r="BB7" s="132">
        <v>0</v>
      </c>
      <c r="BC7" s="14"/>
      <c r="BD7" s="14"/>
      <c r="BE7" s="14"/>
      <c r="BF7" s="14"/>
      <c r="BG7" s="55">
        <v>44498</v>
      </c>
      <c r="BH7" s="5" t="s">
        <v>284</v>
      </c>
      <c r="BI7" s="5"/>
      <c r="BJ7" s="5"/>
      <c r="BK7" s="5"/>
      <c r="BL7" s="5"/>
      <c r="BM7" s="5"/>
      <c r="BN7" s="5"/>
      <c r="BO7" s="5" t="s">
        <v>93</v>
      </c>
      <c r="BP7" s="24">
        <v>2</v>
      </c>
      <c r="BQ7" s="3" t="s">
        <v>38</v>
      </c>
      <c r="BR7" s="3" t="s">
        <v>20</v>
      </c>
      <c r="BS7" s="54" t="s">
        <v>18</v>
      </c>
      <c r="BT7" s="33">
        <v>2000000</v>
      </c>
      <c r="BU7" s="3" t="s">
        <v>30</v>
      </c>
      <c r="BV7" s="3" t="s">
        <v>331</v>
      </c>
      <c r="BW7" s="3" t="s">
        <v>364</v>
      </c>
      <c r="BX7" s="7" t="s">
        <v>116</v>
      </c>
      <c r="BY7" s="144"/>
    </row>
    <row r="8" spans="1:78" x14ac:dyDescent="0.25">
      <c r="A8" s="125" t="s">
        <v>40</v>
      </c>
      <c r="B8" s="155" t="s">
        <v>386</v>
      </c>
      <c r="C8" s="2" t="s">
        <v>15</v>
      </c>
      <c r="D8" s="9">
        <v>3000000</v>
      </c>
      <c r="E8" s="9">
        <v>3000000</v>
      </c>
      <c r="F8" s="30" t="s">
        <v>298</v>
      </c>
      <c r="G8" s="26" t="s">
        <v>20</v>
      </c>
      <c r="H8" s="111" t="s">
        <v>20</v>
      </c>
      <c r="I8" s="111" t="s">
        <v>20</v>
      </c>
      <c r="J8" s="111"/>
      <c r="K8" s="9" t="s">
        <v>20</v>
      </c>
      <c r="L8" s="9" t="s">
        <v>20</v>
      </c>
      <c r="M8" s="9">
        <v>0</v>
      </c>
      <c r="N8" s="21" t="s">
        <v>20</v>
      </c>
      <c r="O8" s="9" t="s">
        <v>20</v>
      </c>
      <c r="P8" s="3" t="s">
        <v>20</v>
      </c>
      <c r="Q8" s="21" t="s">
        <v>20</v>
      </c>
      <c r="R8" s="3" t="s">
        <v>20</v>
      </c>
      <c r="S8" s="3" t="s">
        <v>20</v>
      </c>
      <c r="T8" s="3" t="s">
        <v>20</v>
      </c>
      <c r="U8" s="3" t="s">
        <v>20</v>
      </c>
      <c r="V8" s="3" t="s">
        <v>20</v>
      </c>
      <c r="W8" s="3" t="s">
        <v>20</v>
      </c>
      <c r="X8" s="9"/>
      <c r="Y8" s="3"/>
      <c r="Z8" s="109" t="e">
        <f t="shared" si="0"/>
        <v>#VALUE!</v>
      </c>
      <c r="AA8" s="3"/>
      <c r="AB8" s="3"/>
      <c r="AC8" s="3"/>
      <c r="AD8" s="3"/>
      <c r="AE8" s="24" t="s">
        <v>42</v>
      </c>
      <c r="AF8" s="25">
        <v>1</v>
      </c>
      <c r="AG8" s="35">
        <v>10000000</v>
      </c>
      <c r="AH8" s="35">
        <v>10000000</v>
      </c>
      <c r="AI8" s="118">
        <v>0</v>
      </c>
      <c r="AJ8" s="47">
        <f t="shared" ref="AJ8:AJ63" si="10">+AI8/AH8</f>
        <v>0</v>
      </c>
      <c r="AK8" s="52">
        <f t="shared" si="3"/>
        <v>0</v>
      </c>
      <c r="AL8" s="42" t="e">
        <f t="shared" si="4"/>
        <v>#DIV/0!</v>
      </c>
      <c r="AM8" s="35">
        <v>0</v>
      </c>
      <c r="AN8" s="52" t="e">
        <f t="shared" si="5"/>
        <v>#DIV/0!</v>
      </c>
      <c r="AO8" s="35">
        <v>0</v>
      </c>
      <c r="AP8" s="43"/>
      <c r="AQ8" s="3" t="s">
        <v>20</v>
      </c>
      <c r="AR8" s="3" t="s">
        <v>20</v>
      </c>
      <c r="AS8" s="3">
        <v>1</v>
      </c>
      <c r="AT8" s="3">
        <v>4000000</v>
      </c>
      <c r="AU8" s="21">
        <f t="shared" si="9"/>
        <v>4000000</v>
      </c>
      <c r="AV8" s="34">
        <v>0</v>
      </c>
      <c r="AW8" s="116">
        <f t="shared" si="6"/>
        <v>0</v>
      </c>
      <c r="AX8" s="105">
        <v>0</v>
      </c>
      <c r="AY8" s="106" t="e">
        <f t="shared" si="7"/>
        <v>#DIV/0!</v>
      </c>
      <c r="AZ8" s="105">
        <v>0</v>
      </c>
      <c r="BA8" s="106" t="e">
        <f t="shared" si="8"/>
        <v>#DIV/0!</v>
      </c>
      <c r="BB8" s="34">
        <v>0</v>
      </c>
      <c r="BC8" s="34"/>
      <c r="BD8" s="34"/>
      <c r="BE8" s="34"/>
      <c r="BF8" s="34"/>
      <c r="BG8" s="55" t="s">
        <v>29</v>
      </c>
      <c r="BH8" s="5" t="s">
        <v>54</v>
      </c>
      <c r="BI8" s="5"/>
      <c r="BJ8" s="5"/>
      <c r="BK8" s="5"/>
      <c r="BL8" s="5"/>
      <c r="BM8" s="5"/>
      <c r="BN8" s="5"/>
      <c r="BO8" s="5" t="s">
        <v>97</v>
      </c>
      <c r="BP8" s="24">
        <v>2</v>
      </c>
      <c r="BQ8" s="3" t="s">
        <v>41</v>
      </c>
      <c r="BR8" s="3" t="s">
        <v>20</v>
      </c>
      <c r="BS8" s="54" t="s">
        <v>18</v>
      </c>
      <c r="BT8" s="3" t="s">
        <v>20</v>
      </c>
      <c r="BU8" s="3" t="s">
        <v>25</v>
      </c>
      <c r="BV8" s="3"/>
      <c r="BW8" s="3"/>
      <c r="BX8" s="7" t="s">
        <v>116</v>
      </c>
      <c r="BY8" s="144"/>
    </row>
    <row r="9" spans="1:78" ht="25.5" x14ac:dyDescent="0.25">
      <c r="A9" s="137" t="s">
        <v>40</v>
      </c>
      <c r="B9" s="154" t="s">
        <v>385</v>
      </c>
      <c r="C9" s="2" t="s">
        <v>15</v>
      </c>
      <c r="D9" s="9">
        <v>3000000</v>
      </c>
      <c r="E9" s="9">
        <v>3000000</v>
      </c>
      <c r="F9" s="3" t="s">
        <v>16</v>
      </c>
      <c r="G9" s="26" t="s">
        <v>20</v>
      </c>
      <c r="H9" s="111" t="s">
        <v>20</v>
      </c>
      <c r="I9" s="111" t="s">
        <v>20</v>
      </c>
      <c r="J9" s="111"/>
      <c r="K9" s="9" t="s">
        <v>20</v>
      </c>
      <c r="L9" s="9" t="s">
        <v>20</v>
      </c>
      <c r="M9" s="9">
        <v>0</v>
      </c>
      <c r="N9" s="3" t="s">
        <v>20</v>
      </c>
      <c r="O9" s="9">
        <v>1369704.04</v>
      </c>
      <c r="P9" s="33">
        <v>0</v>
      </c>
      <c r="Q9" s="3" t="s">
        <v>20</v>
      </c>
      <c r="R9" s="3" t="s">
        <v>20</v>
      </c>
      <c r="S9" s="70" t="s">
        <v>82</v>
      </c>
      <c r="T9" s="71">
        <v>1.19</v>
      </c>
      <c r="U9" s="30" t="s">
        <v>20</v>
      </c>
      <c r="V9" s="30" t="s">
        <v>20</v>
      </c>
      <c r="W9" s="30" t="s">
        <v>20</v>
      </c>
      <c r="X9" s="9">
        <v>36162923.61999999</v>
      </c>
      <c r="Y9" s="3"/>
      <c r="Z9" s="109" t="e">
        <f t="shared" si="0"/>
        <v>#DIV/0!</v>
      </c>
      <c r="AA9" s="3"/>
      <c r="AB9" s="3"/>
      <c r="AC9" s="3"/>
      <c r="AD9" s="3"/>
      <c r="AE9" s="24" t="s">
        <v>278</v>
      </c>
      <c r="AF9" s="25">
        <v>1</v>
      </c>
      <c r="AG9" s="35">
        <f>+X9*0.3</f>
        <v>10848877.085999997</v>
      </c>
      <c r="AH9" s="35">
        <v>10000000</v>
      </c>
      <c r="AI9" s="35">
        <v>2354638</v>
      </c>
      <c r="AJ9" s="47">
        <f t="shared" si="10"/>
        <v>0.2354638</v>
      </c>
      <c r="AK9" s="47">
        <f t="shared" si="3"/>
        <v>0.2170397895869387</v>
      </c>
      <c r="AL9" s="47">
        <f t="shared" si="4"/>
        <v>6.5111936876081605E-2</v>
      </c>
      <c r="AM9" s="35">
        <v>3454841</v>
      </c>
      <c r="AN9" s="47">
        <f t="shared" si="5"/>
        <v>1.467249318154213</v>
      </c>
      <c r="AO9" s="35">
        <v>999</v>
      </c>
      <c r="AP9" s="43"/>
      <c r="AQ9" s="3" t="s">
        <v>20</v>
      </c>
      <c r="AR9" s="3" t="s">
        <v>20</v>
      </c>
      <c r="AS9" s="3">
        <v>6</v>
      </c>
      <c r="AT9" s="3">
        <v>5916426.017128218</v>
      </c>
      <c r="AU9" s="3">
        <f t="shared" si="9"/>
        <v>5331509.1771282181</v>
      </c>
      <c r="AV9" s="6">
        <v>584916.83999999985</v>
      </c>
      <c r="AW9" s="116">
        <f t="shared" si="6"/>
        <v>0.19497227999999994</v>
      </c>
      <c r="AX9" s="117">
        <v>0</v>
      </c>
      <c r="AY9" s="95">
        <f t="shared" si="7"/>
        <v>0</v>
      </c>
      <c r="AZ9" s="117">
        <v>665266.82999999984</v>
      </c>
      <c r="BA9" s="95">
        <f t="shared" si="8"/>
        <v>1.1373699379214317</v>
      </c>
      <c r="BB9" s="132">
        <v>0</v>
      </c>
      <c r="BC9" s="9" t="s">
        <v>20</v>
      </c>
      <c r="BD9" s="9" t="s">
        <v>20</v>
      </c>
      <c r="BE9" s="9" t="s">
        <v>20</v>
      </c>
      <c r="BF9" s="9" t="s">
        <v>20</v>
      </c>
      <c r="BG9" s="55">
        <v>44592</v>
      </c>
      <c r="BH9" s="5" t="s">
        <v>284</v>
      </c>
      <c r="BI9" s="5" t="s">
        <v>20</v>
      </c>
      <c r="BJ9" s="5" t="e">
        <f>90-BI9</f>
        <v>#VALUE!</v>
      </c>
      <c r="BK9" s="5" t="s">
        <v>270</v>
      </c>
      <c r="BL9" s="5" t="s">
        <v>270</v>
      </c>
      <c r="BM9" s="20" t="str">
        <f>+AE9</f>
        <v>Banorte/Actinver/Afirme</v>
      </c>
      <c r="BN9" s="101" t="s">
        <v>270</v>
      </c>
      <c r="BO9" s="5" t="s">
        <v>97</v>
      </c>
      <c r="BP9" s="24">
        <v>2</v>
      </c>
      <c r="BQ9" s="3" t="s">
        <v>41</v>
      </c>
      <c r="BR9" s="3" t="s">
        <v>20</v>
      </c>
      <c r="BS9" s="54" t="s">
        <v>18</v>
      </c>
      <c r="BT9" s="3" t="s">
        <v>20</v>
      </c>
      <c r="BU9" s="3" t="s">
        <v>25</v>
      </c>
      <c r="BV9" s="3" t="s">
        <v>333</v>
      </c>
      <c r="BW9" s="3" t="s">
        <v>328</v>
      </c>
      <c r="BX9" s="7" t="s">
        <v>116</v>
      </c>
      <c r="BY9" s="144"/>
    </row>
    <row r="10" spans="1:78" ht="51" x14ac:dyDescent="0.25">
      <c r="A10" s="124" t="s">
        <v>43</v>
      </c>
      <c r="B10" s="124" t="s">
        <v>383</v>
      </c>
      <c r="C10" s="2" t="s">
        <v>15</v>
      </c>
      <c r="D10" s="9">
        <v>15000000</v>
      </c>
      <c r="E10" s="9">
        <v>15000000</v>
      </c>
      <c r="F10" s="30" t="s">
        <v>298</v>
      </c>
      <c r="G10" s="3">
        <v>8400000</v>
      </c>
      <c r="H10" s="110">
        <v>0.5</v>
      </c>
      <c r="I10" s="110">
        <f t="shared" ref="I10:I64" si="11">+(G10/E10)</f>
        <v>0.56000000000000005</v>
      </c>
      <c r="J10" s="110" t="s">
        <v>314</v>
      </c>
      <c r="K10" s="9">
        <v>7000000</v>
      </c>
      <c r="L10" s="9">
        <v>10000000</v>
      </c>
      <c r="M10" s="9">
        <v>12244842.489999998</v>
      </c>
      <c r="N10" s="25">
        <f>+M10/L10</f>
        <v>1.2244842489999999</v>
      </c>
      <c r="O10" s="9">
        <f>10340504+12244842</f>
        <v>22585346</v>
      </c>
      <c r="P10" s="9">
        <v>8036193.5899999999</v>
      </c>
      <c r="Q10" s="25">
        <f>+P10/L10</f>
        <v>0.80361935900000003</v>
      </c>
      <c r="R10" s="33">
        <f>O10+M10-P10</f>
        <v>26793994.899999995</v>
      </c>
      <c r="S10" s="15">
        <v>2</v>
      </c>
      <c r="T10" s="15">
        <v>5</v>
      </c>
      <c r="U10" s="15">
        <f>P10/AR10</f>
        <v>7.7605737104440937</v>
      </c>
      <c r="V10" s="15">
        <f>R10/AV10</f>
        <v>2.5461615753125266</v>
      </c>
      <c r="W10" s="15">
        <f>M10/AR10</f>
        <v>11.824877244703456</v>
      </c>
      <c r="X10" s="9">
        <v>185310865.98999995</v>
      </c>
      <c r="Y10" s="15"/>
      <c r="Z10" s="109">
        <f t="shared" si="0"/>
        <v>0.65629211617568151</v>
      </c>
      <c r="AA10" s="15"/>
      <c r="AB10" s="15"/>
      <c r="AC10" s="15"/>
      <c r="AD10" s="15"/>
      <c r="AE10" s="4" t="s">
        <v>44</v>
      </c>
      <c r="AF10" s="25">
        <v>0.75</v>
      </c>
      <c r="AG10" s="35">
        <f>+X10*0.3</f>
        <v>55593259.796999983</v>
      </c>
      <c r="AH10" s="35">
        <v>36000000</v>
      </c>
      <c r="AI10" s="35">
        <v>14431000</v>
      </c>
      <c r="AJ10" s="47">
        <f t="shared" si="10"/>
        <v>0.40086111111111111</v>
      </c>
      <c r="AK10" s="47">
        <f t="shared" si="3"/>
        <v>0.25958182795351659</v>
      </c>
      <c r="AL10" s="47">
        <f t="shared" si="4"/>
        <v>7.7874548386054968E-2</v>
      </c>
      <c r="AM10" s="35">
        <v>0</v>
      </c>
      <c r="AN10" s="47">
        <f t="shared" si="5"/>
        <v>0</v>
      </c>
      <c r="AO10" s="35">
        <v>0</v>
      </c>
      <c r="AP10" s="43"/>
      <c r="AQ10" s="3">
        <v>825049.61</v>
      </c>
      <c r="AR10" s="3">
        <f>AQ10+ROUND(AV10*(24%)/360*30,2)</f>
        <v>1035515.4</v>
      </c>
      <c r="AS10" s="30">
        <v>4</v>
      </c>
      <c r="AT10" s="103">
        <v>30996829.81945122</v>
      </c>
      <c r="AU10" s="3">
        <f t="shared" si="9"/>
        <v>20473540.504352987</v>
      </c>
      <c r="AV10" s="12">
        <v>10523289.315098232</v>
      </c>
      <c r="AW10" s="104">
        <f t="shared" si="6"/>
        <v>0.7015526210065488</v>
      </c>
      <c r="AX10" s="117">
        <v>0</v>
      </c>
      <c r="AY10" s="95">
        <f t="shared" si="7"/>
        <v>0</v>
      </c>
      <c r="AZ10" s="117">
        <v>0</v>
      </c>
      <c r="BA10" s="95">
        <f t="shared" si="8"/>
        <v>0</v>
      </c>
      <c r="BB10" s="132">
        <v>607198.07999999996</v>
      </c>
      <c r="BC10" s="14"/>
      <c r="BD10" s="14"/>
      <c r="BE10" s="14"/>
      <c r="BF10" s="14"/>
      <c r="BG10" s="55">
        <v>44957</v>
      </c>
      <c r="BH10" s="5" t="s">
        <v>22</v>
      </c>
      <c r="BI10" s="5"/>
      <c r="BJ10" s="5"/>
      <c r="BK10" s="5"/>
      <c r="BL10" s="5"/>
      <c r="BM10" s="5"/>
      <c r="BN10" s="5"/>
      <c r="BO10" s="5" t="s">
        <v>93</v>
      </c>
      <c r="BP10" s="24">
        <v>2</v>
      </c>
      <c r="BQ10" s="3" t="s">
        <v>17</v>
      </c>
      <c r="BR10" s="3">
        <v>180000000</v>
      </c>
      <c r="BS10" s="54" t="s">
        <v>18</v>
      </c>
      <c r="BT10" s="33">
        <v>7000000</v>
      </c>
      <c r="BU10" s="3" t="s">
        <v>25</v>
      </c>
      <c r="BV10" s="3" t="s">
        <v>329</v>
      </c>
      <c r="BW10" s="3" t="s">
        <v>362</v>
      </c>
      <c r="BX10" s="7" t="s">
        <v>116</v>
      </c>
      <c r="BY10" s="144"/>
    </row>
    <row r="11" spans="1:78" ht="63.75" x14ac:dyDescent="0.25">
      <c r="A11" s="126" t="s">
        <v>45</v>
      </c>
      <c r="B11" s="124" t="s">
        <v>383</v>
      </c>
      <c r="C11" s="2" t="s">
        <v>15</v>
      </c>
      <c r="D11" s="9">
        <v>12700000</v>
      </c>
      <c r="E11" s="9">
        <v>12700000</v>
      </c>
      <c r="F11" s="3" t="s">
        <v>16</v>
      </c>
      <c r="G11" s="26" t="s">
        <v>20</v>
      </c>
      <c r="H11" s="111" t="s">
        <v>20</v>
      </c>
      <c r="I11" s="111" t="s">
        <v>20</v>
      </c>
      <c r="J11" s="111"/>
      <c r="K11" s="9" t="s">
        <v>20</v>
      </c>
      <c r="L11" s="9" t="s">
        <v>20</v>
      </c>
      <c r="M11" s="9" t="s">
        <v>20</v>
      </c>
      <c r="N11" s="21" t="s">
        <v>20</v>
      </c>
      <c r="O11" s="9" t="s">
        <v>20</v>
      </c>
      <c r="P11" s="3" t="s">
        <v>20</v>
      </c>
      <c r="Q11" s="21" t="s">
        <v>20</v>
      </c>
      <c r="R11" s="3" t="s">
        <v>20</v>
      </c>
      <c r="S11" s="70" t="s">
        <v>82</v>
      </c>
      <c r="T11" s="71">
        <v>1.19</v>
      </c>
      <c r="U11" s="3" t="s">
        <v>20</v>
      </c>
      <c r="V11" s="3" t="s">
        <v>20</v>
      </c>
      <c r="W11" s="30" t="s">
        <v>20</v>
      </c>
      <c r="X11" s="9"/>
      <c r="Y11" s="3"/>
      <c r="Z11" s="109" t="e">
        <f t="shared" si="0"/>
        <v>#VALUE!</v>
      </c>
      <c r="AA11" s="3"/>
      <c r="AB11" s="3"/>
      <c r="AC11" s="3"/>
      <c r="AD11" s="3"/>
      <c r="AE11" s="24" t="s">
        <v>46</v>
      </c>
      <c r="AF11" s="25">
        <v>1</v>
      </c>
      <c r="AG11" s="35">
        <v>15000000</v>
      </c>
      <c r="AH11" s="35">
        <v>15000000</v>
      </c>
      <c r="AI11" s="35">
        <v>0</v>
      </c>
      <c r="AJ11" s="47">
        <f t="shared" si="10"/>
        <v>0</v>
      </c>
      <c r="AK11" s="52">
        <f t="shared" si="3"/>
        <v>0</v>
      </c>
      <c r="AL11" s="42" t="e">
        <f t="shared" si="4"/>
        <v>#DIV/0!</v>
      </c>
      <c r="AM11" s="35">
        <v>0</v>
      </c>
      <c r="AN11" s="52" t="e">
        <f t="shared" si="5"/>
        <v>#DIV/0!</v>
      </c>
      <c r="AO11" s="35">
        <v>0</v>
      </c>
      <c r="AP11" s="43"/>
      <c r="AQ11" s="3" t="s">
        <v>20</v>
      </c>
      <c r="AR11" s="3" t="s">
        <v>20</v>
      </c>
      <c r="AS11" s="30">
        <v>6</v>
      </c>
      <c r="AT11" s="29">
        <v>30331228.529688001</v>
      </c>
      <c r="AU11" s="21">
        <f t="shared" si="9"/>
        <v>30331228.529688001</v>
      </c>
      <c r="AV11" s="12">
        <v>0</v>
      </c>
      <c r="AW11" s="104">
        <f t="shared" si="6"/>
        <v>0</v>
      </c>
      <c r="AX11" s="105">
        <v>0</v>
      </c>
      <c r="AY11" s="106" t="e">
        <f t="shared" si="7"/>
        <v>#DIV/0!</v>
      </c>
      <c r="AZ11" s="105">
        <v>0</v>
      </c>
      <c r="BA11" s="106" t="e">
        <f t="shared" si="8"/>
        <v>#DIV/0!</v>
      </c>
      <c r="BB11" s="12">
        <v>0</v>
      </c>
      <c r="BC11" s="41" t="s">
        <v>20</v>
      </c>
      <c r="BD11" s="41" t="s">
        <v>20</v>
      </c>
      <c r="BE11" s="41" t="s">
        <v>20</v>
      </c>
      <c r="BF11" s="41" t="s">
        <v>20</v>
      </c>
      <c r="BG11" s="55" t="s">
        <v>20</v>
      </c>
      <c r="BH11" s="5" t="s">
        <v>54</v>
      </c>
      <c r="BI11" s="5" t="s">
        <v>20</v>
      </c>
      <c r="BJ11" s="54" t="e">
        <f t="shared" ref="BJ11:BJ17" si="12">90-BI11</f>
        <v>#VALUE!</v>
      </c>
      <c r="BK11" s="101" t="s">
        <v>270</v>
      </c>
      <c r="BL11" s="101" t="s">
        <v>270</v>
      </c>
      <c r="BM11" s="107" t="str">
        <f t="shared" ref="BM11:BM17" si="13">+AE11</f>
        <v>Estée Lauder Cosméticos y ABC Aerolíneas, FAMSA</v>
      </c>
      <c r="BN11" s="101" t="s">
        <v>270</v>
      </c>
      <c r="BO11" s="5" t="s">
        <v>97</v>
      </c>
      <c r="BP11" s="24">
        <v>2</v>
      </c>
      <c r="BQ11" s="3" t="s">
        <v>17</v>
      </c>
      <c r="BR11" s="3" t="s">
        <v>20</v>
      </c>
      <c r="BS11" s="54" t="s">
        <v>18</v>
      </c>
      <c r="BT11" s="3" t="s">
        <v>20</v>
      </c>
      <c r="BU11" s="3" t="s">
        <v>20</v>
      </c>
      <c r="BV11" s="3"/>
      <c r="BW11" s="3"/>
      <c r="BX11" s="8" t="s">
        <v>116</v>
      </c>
      <c r="BY11" s="146"/>
    </row>
    <row r="12" spans="1:78" ht="63.75" x14ac:dyDescent="0.25">
      <c r="A12" s="139" t="s">
        <v>47</v>
      </c>
      <c r="B12" s="154" t="s">
        <v>385</v>
      </c>
      <c r="C12" s="23" t="s">
        <v>48</v>
      </c>
      <c r="D12" s="9">
        <v>250000</v>
      </c>
      <c r="E12" s="9">
        <v>250000</v>
      </c>
      <c r="F12" s="3" t="s">
        <v>16</v>
      </c>
      <c r="G12" s="26" t="s">
        <v>20</v>
      </c>
      <c r="H12" s="111" t="s">
        <v>20</v>
      </c>
      <c r="I12" s="111" t="s">
        <v>20</v>
      </c>
      <c r="J12" s="110" t="s">
        <v>314</v>
      </c>
      <c r="K12" s="9" t="s">
        <v>20</v>
      </c>
      <c r="L12" s="9" t="s">
        <v>20</v>
      </c>
      <c r="M12" s="9">
        <f>2050715.67/20</f>
        <v>102535.78349999999</v>
      </c>
      <c r="N12" s="3" t="s">
        <v>20</v>
      </c>
      <c r="O12" s="9" t="s">
        <v>20</v>
      </c>
      <c r="P12" s="3" t="s">
        <v>20</v>
      </c>
      <c r="Q12" s="3" t="s">
        <v>20</v>
      </c>
      <c r="R12" s="3" t="s">
        <v>20</v>
      </c>
      <c r="S12" s="70" t="s">
        <v>82</v>
      </c>
      <c r="T12" s="71">
        <v>1.19</v>
      </c>
      <c r="U12" s="30" t="s">
        <v>20</v>
      </c>
      <c r="V12" s="30" t="s">
        <v>20</v>
      </c>
      <c r="W12" s="30" t="s">
        <v>20</v>
      </c>
      <c r="X12" s="9">
        <v>77261195.570000008</v>
      </c>
      <c r="Y12" s="3"/>
      <c r="Z12" s="109" t="e">
        <f t="shared" si="0"/>
        <v>#VALUE!</v>
      </c>
      <c r="AA12" s="3"/>
      <c r="AB12" s="3"/>
      <c r="AC12" s="3"/>
      <c r="AD12" s="3"/>
      <c r="AE12" s="24" t="s">
        <v>49</v>
      </c>
      <c r="AF12" s="25">
        <v>1</v>
      </c>
      <c r="AG12" s="35">
        <v>15000000</v>
      </c>
      <c r="AH12" s="35">
        <v>15000000</v>
      </c>
      <c r="AI12" s="35">
        <v>16324000</v>
      </c>
      <c r="AJ12" s="47">
        <f t="shared" si="10"/>
        <v>1.0882666666666667</v>
      </c>
      <c r="AK12" s="47">
        <f t="shared" si="3"/>
        <v>1.0882666666666667</v>
      </c>
      <c r="AL12" s="35">
        <f t="shared" si="4"/>
        <v>0.21128329531491871</v>
      </c>
      <c r="AM12" s="35">
        <f>1338000+3048000+72000</f>
        <v>4458000</v>
      </c>
      <c r="AN12" s="47">
        <f t="shared" si="5"/>
        <v>0.27309482969860327</v>
      </c>
      <c r="AO12" s="35">
        <v>379</v>
      </c>
      <c r="AP12" s="43"/>
      <c r="AQ12" s="3" t="s">
        <v>20</v>
      </c>
      <c r="AR12" s="3" t="s">
        <v>20</v>
      </c>
      <c r="AS12" s="30">
        <v>110</v>
      </c>
      <c r="AT12" s="29">
        <v>1987366.0689999997</v>
      </c>
      <c r="AU12" s="3">
        <f t="shared" si="9"/>
        <v>1793607.8239999998</v>
      </c>
      <c r="AV12" s="75">
        <v>193758.24499999997</v>
      </c>
      <c r="AW12" s="104">
        <f t="shared" si="6"/>
        <v>0.77503297999999987</v>
      </c>
      <c r="AX12" s="117">
        <v>17595.32</v>
      </c>
      <c r="AY12" s="95">
        <f t="shared" si="7"/>
        <v>9.0810690404426422E-2</v>
      </c>
      <c r="AZ12" s="117">
        <v>0</v>
      </c>
      <c r="BA12" s="95">
        <f t="shared" si="8"/>
        <v>0</v>
      </c>
      <c r="BB12" s="135">
        <f>3402.3+1000</f>
        <v>4402.3</v>
      </c>
      <c r="BC12" s="9" t="s">
        <v>20</v>
      </c>
      <c r="BD12" s="9" t="s">
        <v>20</v>
      </c>
      <c r="BE12" s="9" t="s">
        <v>20</v>
      </c>
      <c r="BF12" s="9" t="s">
        <v>20</v>
      </c>
      <c r="BG12" s="55">
        <v>44620</v>
      </c>
      <c r="BH12" s="5" t="s">
        <v>22</v>
      </c>
      <c r="BI12" s="5" t="s">
        <v>20</v>
      </c>
      <c r="BJ12" s="5" t="e">
        <f t="shared" si="12"/>
        <v>#VALUE!</v>
      </c>
      <c r="BK12" s="101" t="s">
        <v>270</v>
      </c>
      <c r="BL12" s="101" t="s">
        <v>270</v>
      </c>
      <c r="BM12" s="20" t="str">
        <f t="shared" si="13"/>
        <v>Jopp Automotive/ Novares/Lunketec/ Graamer</v>
      </c>
      <c r="BN12" s="101" t="s">
        <v>270</v>
      </c>
      <c r="BO12" s="5" t="s">
        <v>93</v>
      </c>
      <c r="BP12" s="24">
        <v>2</v>
      </c>
      <c r="BQ12" s="3" t="s">
        <v>41</v>
      </c>
      <c r="BR12" s="3" t="s">
        <v>20</v>
      </c>
      <c r="BS12" s="54" t="s">
        <v>18</v>
      </c>
      <c r="BT12" s="3" t="s">
        <v>20</v>
      </c>
      <c r="BU12" s="3" t="s">
        <v>21</v>
      </c>
      <c r="BV12" s="3" t="s">
        <v>330</v>
      </c>
      <c r="BW12" s="3" t="s">
        <v>365</v>
      </c>
      <c r="BX12" s="8" t="s">
        <v>116</v>
      </c>
      <c r="BY12" s="147"/>
      <c r="BZ12" s="138" t="s">
        <v>309</v>
      </c>
    </row>
    <row r="13" spans="1:78" ht="114.75" x14ac:dyDescent="0.25">
      <c r="A13" s="126" t="s">
        <v>300</v>
      </c>
      <c r="B13" s="124" t="s">
        <v>383</v>
      </c>
      <c r="C13" s="2" t="s">
        <v>15</v>
      </c>
      <c r="D13" s="9">
        <v>10000000</v>
      </c>
      <c r="E13" s="9">
        <v>10000000</v>
      </c>
      <c r="F13" s="3" t="s">
        <v>16</v>
      </c>
      <c r="G13" s="26" t="s">
        <v>20</v>
      </c>
      <c r="H13" s="111" t="s">
        <v>20</v>
      </c>
      <c r="I13" s="111" t="s">
        <v>20</v>
      </c>
      <c r="J13" s="110" t="s">
        <v>314</v>
      </c>
      <c r="K13" s="9" t="s">
        <v>20</v>
      </c>
      <c r="L13" s="9" t="s">
        <v>20</v>
      </c>
      <c r="M13" s="9">
        <f>359600+179800+951200</f>
        <v>1490600</v>
      </c>
      <c r="N13" s="3" t="s">
        <v>20</v>
      </c>
      <c r="O13" s="9" t="s">
        <v>20</v>
      </c>
      <c r="P13" s="3" t="s">
        <v>20</v>
      </c>
      <c r="Q13" s="3" t="s">
        <v>20</v>
      </c>
      <c r="R13" s="3" t="s">
        <v>20</v>
      </c>
      <c r="S13" s="70" t="s">
        <v>82</v>
      </c>
      <c r="T13" s="71">
        <v>1.19</v>
      </c>
      <c r="U13" s="30" t="s">
        <v>20</v>
      </c>
      <c r="V13" s="30" t="s">
        <v>20</v>
      </c>
      <c r="W13" s="30" t="s">
        <v>20</v>
      </c>
      <c r="X13" s="9">
        <f>+(22339561+16026141+27697140)*1.16</f>
        <v>76632896.719999999</v>
      </c>
      <c r="Y13" s="3"/>
      <c r="Z13" s="109" t="e">
        <f t="shared" si="0"/>
        <v>#VALUE!</v>
      </c>
      <c r="AA13" s="3"/>
      <c r="AB13" s="3"/>
      <c r="AC13" s="3"/>
      <c r="AD13" s="3"/>
      <c r="AE13" s="24" t="s">
        <v>52</v>
      </c>
      <c r="AF13" s="25">
        <v>0.38</v>
      </c>
      <c r="AG13" s="35">
        <v>15000000</v>
      </c>
      <c r="AH13" s="35">
        <v>15000000</v>
      </c>
      <c r="AI13" s="35">
        <f>10852000+0</f>
        <v>10852000</v>
      </c>
      <c r="AJ13" s="47">
        <f t="shared" si="10"/>
        <v>0.7234666666666667</v>
      </c>
      <c r="AK13" s="47">
        <f t="shared" si="3"/>
        <v>0.7234666666666667</v>
      </c>
      <c r="AL13" s="35">
        <f t="shared" si="4"/>
        <v>0.14161020220403331</v>
      </c>
      <c r="AM13" s="35">
        <v>244000</v>
      </c>
      <c r="AN13" s="47">
        <f t="shared" si="5"/>
        <v>2.2484334684850719E-2</v>
      </c>
      <c r="AO13" s="35">
        <v>441</v>
      </c>
      <c r="AP13" s="43"/>
      <c r="AQ13" s="3" t="s">
        <v>20</v>
      </c>
      <c r="AR13" s="3" t="s">
        <v>20</v>
      </c>
      <c r="AS13" s="30">
        <v>66</v>
      </c>
      <c r="AT13" s="29">
        <v>78345240.895999998</v>
      </c>
      <c r="AU13" s="3">
        <f t="shared" si="9"/>
        <v>76468675.25999999</v>
      </c>
      <c r="AV13" s="75">
        <v>1876565.6360000004</v>
      </c>
      <c r="AW13" s="104">
        <f t="shared" si="6"/>
        <v>0.18765656360000005</v>
      </c>
      <c r="AX13" s="117">
        <v>0</v>
      </c>
      <c r="AY13" s="95">
        <f t="shared" si="7"/>
        <v>0</v>
      </c>
      <c r="AZ13" s="117">
        <v>0</v>
      </c>
      <c r="BA13" s="95">
        <f t="shared" si="8"/>
        <v>0</v>
      </c>
      <c r="BB13" s="38">
        <v>529756.67000000004</v>
      </c>
      <c r="BC13" s="9" t="s">
        <v>20</v>
      </c>
      <c r="BD13" s="9" t="s">
        <v>20</v>
      </c>
      <c r="BE13" s="9" t="s">
        <v>20</v>
      </c>
      <c r="BF13" s="9" t="s">
        <v>20</v>
      </c>
      <c r="BG13" s="55">
        <v>44681</v>
      </c>
      <c r="BH13" s="5" t="s">
        <v>22</v>
      </c>
      <c r="BI13" s="5" t="s">
        <v>20</v>
      </c>
      <c r="BJ13" s="5" t="e">
        <f t="shared" si="12"/>
        <v>#VALUE!</v>
      </c>
      <c r="BK13" s="101" t="s">
        <v>270</v>
      </c>
      <c r="BL13" s="101" t="s">
        <v>270</v>
      </c>
      <c r="BM13" s="20" t="str">
        <f t="shared" si="13"/>
        <v>World Wildlife, Radiomovil DIPSA, Embotelladora y Distribuidora GEPP y Electropura</v>
      </c>
      <c r="BN13" s="101" t="s">
        <v>270</v>
      </c>
      <c r="BO13" s="5" t="s">
        <v>97</v>
      </c>
      <c r="BP13" s="24">
        <v>2</v>
      </c>
      <c r="BQ13" s="3" t="s">
        <v>51</v>
      </c>
      <c r="BR13" s="3" t="s">
        <v>20</v>
      </c>
      <c r="BS13" s="3" t="s">
        <v>18</v>
      </c>
      <c r="BT13" s="3" t="s">
        <v>20</v>
      </c>
      <c r="BU13" s="3" t="s">
        <v>21</v>
      </c>
      <c r="BV13" s="3" t="s">
        <v>331</v>
      </c>
      <c r="BW13" s="3" t="s">
        <v>364</v>
      </c>
      <c r="BX13" s="8" t="s">
        <v>116</v>
      </c>
      <c r="BY13" s="146"/>
    </row>
    <row r="14" spans="1:78" ht="102" x14ac:dyDescent="0.25">
      <c r="A14" s="139" t="s">
        <v>53</v>
      </c>
      <c r="B14" s="154" t="s">
        <v>385</v>
      </c>
      <c r="C14" s="2" t="s">
        <v>15</v>
      </c>
      <c r="D14" s="9">
        <v>5000000</v>
      </c>
      <c r="E14" s="9">
        <v>5000000</v>
      </c>
      <c r="F14" s="3" t="s">
        <v>16</v>
      </c>
      <c r="G14" s="26" t="s">
        <v>20</v>
      </c>
      <c r="H14" s="111" t="s">
        <v>20</v>
      </c>
      <c r="I14" s="111" t="s">
        <v>20</v>
      </c>
      <c r="J14" s="110" t="s">
        <v>314</v>
      </c>
      <c r="K14" s="9" t="s">
        <v>20</v>
      </c>
      <c r="L14" s="9" t="s">
        <v>20</v>
      </c>
      <c r="M14" s="9">
        <v>1124708.1599999999</v>
      </c>
      <c r="N14" s="3" t="s">
        <v>20</v>
      </c>
      <c r="O14" s="9" t="s">
        <v>20</v>
      </c>
      <c r="P14" s="3" t="s">
        <v>20</v>
      </c>
      <c r="Q14" s="3" t="s">
        <v>20</v>
      </c>
      <c r="R14" s="3" t="s">
        <v>20</v>
      </c>
      <c r="S14" s="70" t="s">
        <v>82</v>
      </c>
      <c r="T14" s="71">
        <v>1.19</v>
      </c>
      <c r="U14" s="30" t="s">
        <v>20</v>
      </c>
      <c r="V14" s="3" t="s">
        <v>20</v>
      </c>
      <c r="W14" s="30" t="s">
        <v>20</v>
      </c>
      <c r="X14" s="9">
        <v>112257493.31</v>
      </c>
      <c r="Y14" s="3"/>
      <c r="Z14" s="109" t="e">
        <f t="shared" si="0"/>
        <v>#VALUE!</v>
      </c>
      <c r="AA14" s="3"/>
      <c r="AB14" s="3"/>
      <c r="AC14" s="3"/>
      <c r="AD14" s="3"/>
      <c r="AE14" s="4" t="s">
        <v>103</v>
      </c>
      <c r="AF14" s="25">
        <v>0.75</v>
      </c>
      <c r="AG14" s="35">
        <v>7000000</v>
      </c>
      <c r="AH14" s="35">
        <v>7000000</v>
      </c>
      <c r="AI14" s="35">
        <v>579476</v>
      </c>
      <c r="AJ14" s="47">
        <f t="shared" si="10"/>
        <v>8.2782285714285711E-2</v>
      </c>
      <c r="AK14" s="47">
        <f t="shared" si="3"/>
        <v>8.2782285714285711E-2</v>
      </c>
      <c r="AL14" s="35">
        <f t="shared" si="4"/>
        <v>5.1620251166643481E-3</v>
      </c>
      <c r="AM14" s="35">
        <v>23609</v>
      </c>
      <c r="AN14" s="47">
        <f t="shared" si="5"/>
        <v>4.0741980685999074E-2</v>
      </c>
      <c r="AO14" s="35">
        <v>60</v>
      </c>
      <c r="AP14" s="43"/>
      <c r="AQ14" s="3" t="s">
        <v>20</v>
      </c>
      <c r="AR14" s="3" t="s">
        <v>20</v>
      </c>
      <c r="AS14" s="30">
        <v>5</v>
      </c>
      <c r="AT14" s="29">
        <v>11244468.578</v>
      </c>
      <c r="AU14" s="3">
        <f t="shared" si="9"/>
        <v>8268831.2529999996</v>
      </c>
      <c r="AV14" s="12">
        <v>2975637.3250000002</v>
      </c>
      <c r="AW14" s="104">
        <f t="shared" si="6"/>
        <v>0.59512746500000002</v>
      </c>
      <c r="AX14" s="117">
        <v>0</v>
      </c>
      <c r="AY14" s="95">
        <f t="shared" si="7"/>
        <v>0</v>
      </c>
      <c r="AZ14" s="117">
        <f>4723634.325-1747997</f>
        <v>2975637.3250000002</v>
      </c>
      <c r="BA14" s="95">
        <f t="shared" si="8"/>
        <v>1</v>
      </c>
      <c r="BB14" s="135">
        <v>109491.33</v>
      </c>
      <c r="BC14" s="9" t="s">
        <v>20</v>
      </c>
      <c r="BD14" s="9" t="s">
        <v>20</v>
      </c>
      <c r="BE14" s="9" t="s">
        <v>20</v>
      </c>
      <c r="BF14" s="9" t="s">
        <v>20</v>
      </c>
      <c r="BG14" s="55">
        <v>44651</v>
      </c>
      <c r="BH14" s="18" t="s">
        <v>284</v>
      </c>
      <c r="BI14" s="5" t="s">
        <v>20</v>
      </c>
      <c r="BJ14" s="5" t="e">
        <f t="shared" si="12"/>
        <v>#VALUE!</v>
      </c>
      <c r="BK14" s="101" t="s">
        <v>270</v>
      </c>
      <c r="BL14" s="101" t="s">
        <v>270</v>
      </c>
      <c r="BM14" s="20" t="str">
        <f t="shared" si="13"/>
        <v>Crista la Santa, Propimex, Coca Cola, Frabel. Busch/ Philips Morris/Diblo</v>
      </c>
      <c r="BN14" s="101" t="s">
        <v>270</v>
      </c>
      <c r="BO14" s="18" t="s">
        <v>97</v>
      </c>
      <c r="BP14" s="24">
        <v>2</v>
      </c>
      <c r="BQ14" s="3" t="s">
        <v>17</v>
      </c>
      <c r="BR14" s="3" t="s">
        <v>20</v>
      </c>
      <c r="BS14" s="54" t="s">
        <v>18</v>
      </c>
      <c r="BT14" s="3" t="s">
        <v>20</v>
      </c>
      <c r="BU14" s="3" t="s">
        <v>21</v>
      </c>
      <c r="BV14" s="3" t="s">
        <v>331</v>
      </c>
      <c r="BW14" s="3" t="s">
        <v>364</v>
      </c>
      <c r="BX14" s="8" t="s">
        <v>116</v>
      </c>
      <c r="BY14" s="147"/>
      <c r="BZ14" s="138" t="s">
        <v>324</v>
      </c>
    </row>
    <row r="15" spans="1:78" x14ac:dyDescent="0.25">
      <c r="A15" s="126" t="s">
        <v>55</v>
      </c>
      <c r="B15" s="124" t="s">
        <v>383</v>
      </c>
      <c r="C15" s="2" t="s">
        <v>15</v>
      </c>
      <c r="D15" s="9">
        <v>2500000</v>
      </c>
      <c r="E15" s="9">
        <v>2500000</v>
      </c>
      <c r="F15" s="3" t="s">
        <v>16</v>
      </c>
      <c r="G15" s="26" t="s">
        <v>20</v>
      </c>
      <c r="H15" s="111" t="s">
        <v>20</v>
      </c>
      <c r="I15" s="111" t="s">
        <v>20</v>
      </c>
      <c r="J15" s="111"/>
      <c r="K15" s="9" t="s">
        <v>20</v>
      </c>
      <c r="L15" s="9" t="s">
        <v>20</v>
      </c>
      <c r="M15" s="9" t="s">
        <v>20</v>
      </c>
      <c r="N15" s="21" t="s">
        <v>20</v>
      </c>
      <c r="O15" s="9" t="s">
        <v>20</v>
      </c>
      <c r="P15" s="3" t="s">
        <v>20</v>
      </c>
      <c r="Q15" s="21" t="s">
        <v>20</v>
      </c>
      <c r="R15" s="3" t="s">
        <v>20</v>
      </c>
      <c r="S15" s="70" t="s">
        <v>82</v>
      </c>
      <c r="T15" s="71">
        <v>1.19</v>
      </c>
      <c r="U15" s="3" t="s">
        <v>20</v>
      </c>
      <c r="V15" s="3" t="s">
        <v>20</v>
      </c>
      <c r="W15" s="30" t="s">
        <v>20</v>
      </c>
      <c r="X15" s="9"/>
      <c r="Y15" s="3"/>
      <c r="Z15" s="109" t="e">
        <f t="shared" si="0"/>
        <v>#VALUE!</v>
      </c>
      <c r="AA15" s="3"/>
      <c r="AB15" s="3"/>
      <c r="AC15" s="3"/>
      <c r="AD15" s="3"/>
      <c r="AE15" s="4" t="s">
        <v>56</v>
      </c>
      <c r="AF15" s="25">
        <v>1</v>
      </c>
      <c r="AG15" s="35">
        <v>2500000</v>
      </c>
      <c r="AH15" s="35">
        <v>2500000</v>
      </c>
      <c r="AI15" s="35">
        <v>0</v>
      </c>
      <c r="AJ15" s="47">
        <f t="shared" si="10"/>
        <v>0</v>
      </c>
      <c r="AK15" s="52">
        <f t="shared" si="3"/>
        <v>0</v>
      </c>
      <c r="AL15" s="42" t="e">
        <f t="shared" si="4"/>
        <v>#DIV/0!</v>
      </c>
      <c r="AM15" s="35">
        <v>0</v>
      </c>
      <c r="AN15" s="52" t="e">
        <f t="shared" si="5"/>
        <v>#DIV/0!</v>
      </c>
      <c r="AO15" s="35">
        <v>0</v>
      </c>
      <c r="AP15" s="43"/>
      <c r="AQ15" s="3" t="s">
        <v>20</v>
      </c>
      <c r="AR15" s="3" t="s">
        <v>20</v>
      </c>
      <c r="AS15" s="30">
        <v>9</v>
      </c>
      <c r="AT15" s="29">
        <v>8881840.1490000002</v>
      </c>
      <c r="AU15" s="21">
        <f t="shared" si="9"/>
        <v>8881840.1490000002</v>
      </c>
      <c r="AV15" s="12">
        <v>0</v>
      </c>
      <c r="AW15" s="104">
        <f t="shared" si="6"/>
        <v>0</v>
      </c>
      <c r="AX15" s="105">
        <v>0</v>
      </c>
      <c r="AY15" s="106" t="e">
        <f t="shared" si="7"/>
        <v>#DIV/0!</v>
      </c>
      <c r="AZ15" s="105">
        <v>0</v>
      </c>
      <c r="BA15" s="106" t="e">
        <f t="shared" si="8"/>
        <v>#DIV/0!</v>
      </c>
      <c r="BB15" s="12">
        <v>0</v>
      </c>
      <c r="BC15" s="41" t="s">
        <v>20</v>
      </c>
      <c r="BD15" s="41" t="s">
        <v>20</v>
      </c>
      <c r="BE15" s="41" t="s">
        <v>20</v>
      </c>
      <c r="BF15" s="41" t="s">
        <v>20</v>
      </c>
      <c r="BG15" s="55" t="s">
        <v>20</v>
      </c>
      <c r="BH15" s="5" t="s">
        <v>54</v>
      </c>
      <c r="BI15" s="5" t="s">
        <v>20</v>
      </c>
      <c r="BJ15" s="54" t="e">
        <f t="shared" si="12"/>
        <v>#VALUE!</v>
      </c>
      <c r="BK15" s="101" t="s">
        <v>270</v>
      </c>
      <c r="BL15" s="101" t="s">
        <v>270</v>
      </c>
      <c r="BM15" s="107" t="str">
        <f t="shared" si="13"/>
        <v>Grupo Martí</v>
      </c>
      <c r="BN15" s="101" t="s">
        <v>270</v>
      </c>
      <c r="BO15" s="18" t="s">
        <v>93</v>
      </c>
      <c r="BP15" s="24">
        <v>2</v>
      </c>
      <c r="BQ15" s="3" t="s">
        <v>17</v>
      </c>
      <c r="BR15" s="3" t="s">
        <v>20</v>
      </c>
      <c r="BS15" s="3" t="s">
        <v>18</v>
      </c>
      <c r="BT15" s="3" t="s">
        <v>20</v>
      </c>
      <c r="BU15" s="3" t="s">
        <v>20</v>
      </c>
      <c r="BV15" s="3"/>
      <c r="BW15" s="3"/>
      <c r="BX15" s="8" t="s">
        <v>116</v>
      </c>
      <c r="BY15" s="146"/>
    </row>
    <row r="16" spans="1:78" ht="63.75" x14ac:dyDescent="0.25">
      <c r="A16" s="126" t="s">
        <v>57</v>
      </c>
      <c r="B16" s="124" t="s">
        <v>383</v>
      </c>
      <c r="C16" s="2" t="s">
        <v>15</v>
      </c>
      <c r="D16" s="9">
        <v>10000000</v>
      </c>
      <c r="E16" s="9">
        <v>10000000</v>
      </c>
      <c r="F16" s="3" t="s">
        <v>16</v>
      </c>
      <c r="G16" s="26" t="s">
        <v>20</v>
      </c>
      <c r="H16" s="111" t="s">
        <v>20</v>
      </c>
      <c r="I16" s="111" t="s">
        <v>20</v>
      </c>
      <c r="J16" s="110" t="s">
        <v>314</v>
      </c>
      <c r="K16" s="9" t="s">
        <v>20</v>
      </c>
      <c r="L16" s="9" t="s">
        <v>20</v>
      </c>
      <c r="M16" s="9">
        <f>3508210+2109712</f>
        <v>5617922</v>
      </c>
      <c r="N16" s="3" t="s">
        <v>20</v>
      </c>
      <c r="O16" s="9" t="s">
        <v>20</v>
      </c>
      <c r="P16" s="3" t="s">
        <v>20</v>
      </c>
      <c r="Q16" s="3" t="s">
        <v>20</v>
      </c>
      <c r="R16" s="3" t="s">
        <v>20</v>
      </c>
      <c r="S16" s="70" t="s">
        <v>82</v>
      </c>
      <c r="T16" s="71">
        <v>1.19</v>
      </c>
      <c r="U16" s="30" t="s">
        <v>20</v>
      </c>
      <c r="V16" s="30" t="s">
        <v>20</v>
      </c>
      <c r="W16" s="30" t="s">
        <v>20</v>
      </c>
      <c r="X16" s="9">
        <f>93290751.42+66991146.85</f>
        <v>160281898.27000001</v>
      </c>
      <c r="Y16" s="3"/>
      <c r="Z16" s="109" t="e">
        <f t="shared" si="0"/>
        <v>#VALUE!</v>
      </c>
      <c r="AA16" s="3"/>
      <c r="AB16" s="3"/>
      <c r="AC16" s="3"/>
      <c r="AD16" s="3"/>
      <c r="AE16" s="4" t="s">
        <v>58</v>
      </c>
      <c r="AF16" s="25">
        <v>1</v>
      </c>
      <c r="AG16" s="35">
        <v>50000000</v>
      </c>
      <c r="AH16" s="35">
        <v>50000000</v>
      </c>
      <c r="AI16" s="35">
        <f>7157919+3996400</f>
        <v>11154319</v>
      </c>
      <c r="AJ16" s="47">
        <f t="shared" si="10"/>
        <v>0.22308638</v>
      </c>
      <c r="AK16" s="47">
        <f t="shared" si="3"/>
        <v>0.22308638</v>
      </c>
      <c r="AL16" s="35">
        <f t="shared" si="4"/>
        <v>6.9591882304826408E-2</v>
      </c>
      <c r="AM16" s="35">
        <f>12931121+296400</f>
        <v>13227521</v>
      </c>
      <c r="AN16" s="47">
        <f t="shared" si="5"/>
        <v>1.185865403347349</v>
      </c>
      <c r="AO16" s="35">
        <v>720</v>
      </c>
      <c r="AP16" s="43"/>
      <c r="AQ16" s="3" t="s">
        <v>20</v>
      </c>
      <c r="AR16" s="3" t="s">
        <v>20</v>
      </c>
      <c r="AS16" s="30">
        <v>97</v>
      </c>
      <c r="AT16" s="29">
        <v>152287165.73200002</v>
      </c>
      <c r="AU16" s="3">
        <f t="shared" si="9"/>
        <v>143932622.62500003</v>
      </c>
      <c r="AV16" s="17">
        <v>8354543.1069999998</v>
      </c>
      <c r="AW16" s="104">
        <f t="shared" si="6"/>
        <v>0.83545431069999998</v>
      </c>
      <c r="AX16" s="117">
        <v>0</v>
      </c>
      <c r="AY16" s="95">
        <f t="shared" si="7"/>
        <v>0</v>
      </c>
      <c r="AZ16" s="117">
        <v>0</v>
      </c>
      <c r="BA16" s="95">
        <f t="shared" si="8"/>
        <v>0</v>
      </c>
      <c r="BB16" s="38">
        <v>315543.41000000003</v>
      </c>
      <c r="BC16" s="9" t="s">
        <v>20</v>
      </c>
      <c r="BD16" s="9" t="s">
        <v>20</v>
      </c>
      <c r="BE16" s="9" t="s">
        <v>20</v>
      </c>
      <c r="BF16" s="9" t="s">
        <v>20</v>
      </c>
      <c r="BG16" s="55">
        <v>44681</v>
      </c>
      <c r="BH16" s="5" t="s">
        <v>22</v>
      </c>
      <c r="BI16" s="5" t="s">
        <v>20</v>
      </c>
      <c r="BJ16" s="5" t="e">
        <f t="shared" si="12"/>
        <v>#VALUE!</v>
      </c>
      <c r="BK16" s="101" t="s">
        <v>270</v>
      </c>
      <c r="BL16" s="101" t="s">
        <v>270</v>
      </c>
      <c r="BM16" s="20" t="str">
        <f t="shared" si="13"/>
        <v>Consorcio Red UNO/Total Play/Operbes</v>
      </c>
      <c r="BN16" s="101" t="s">
        <v>270</v>
      </c>
      <c r="BO16" s="5" t="s">
        <v>97</v>
      </c>
      <c r="BP16" s="24">
        <v>2</v>
      </c>
      <c r="BQ16" s="3" t="s">
        <v>17</v>
      </c>
      <c r="BR16" s="3" t="s">
        <v>20</v>
      </c>
      <c r="BS16" s="3" t="s">
        <v>18</v>
      </c>
      <c r="BT16" s="3" t="s">
        <v>20</v>
      </c>
      <c r="BU16" s="3" t="s">
        <v>21</v>
      </c>
      <c r="BV16" s="3" t="s">
        <v>332</v>
      </c>
      <c r="BW16" s="3" t="s">
        <v>328</v>
      </c>
      <c r="BX16" s="8" t="s">
        <v>116</v>
      </c>
      <c r="BY16" s="146"/>
    </row>
    <row r="17" spans="1:77" ht="25.5" x14ac:dyDescent="0.25">
      <c r="A17" s="126" t="s">
        <v>59</v>
      </c>
      <c r="B17" s="124" t="s">
        <v>383</v>
      </c>
      <c r="C17" s="2" t="s">
        <v>15</v>
      </c>
      <c r="D17" s="9">
        <v>5000000</v>
      </c>
      <c r="E17" s="9">
        <v>5000000</v>
      </c>
      <c r="F17" s="3" t="s">
        <v>16</v>
      </c>
      <c r="G17" s="26" t="s">
        <v>20</v>
      </c>
      <c r="H17" s="111" t="s">
        <v>20</v>
      </c>
      <c r="I17" s="111" t="s">
        <v>20</v>
      </c>
      <c r="J17" s="111"/>
      <c r="K17" s="9" t="s">
        <v>20</v>
      </c>
      <c r="L17" s="9" t="s">
        <v>20</v>
      </c>
      <c r="M17" s="9" t="s">
        <v>20</v>
      </c>
      <c r="N17" s="21" t="s">
        <v>20</v>
      </c>
      <c r="O17" s="9" t="s">
        <v>20</v>
      </c>
      <c r="P17" s="3" t="s">
        <v>20</v>
      </c>
      <c r="Q17" s="21" t="s">
        <v>20</v>
      </c>
      <c r="R17" s="3" t="s">
        <v>20</v>
      </c>
      <c r="S17" s="70" t="s">
        <v>82</v>
      </c>
      <c r="T17" s="71">
        <v>1.19</v>
      </c>
      <c r="U17" s="3" t="s">
        <v>20</v>
      </c>
      <c r="V17" s="3" t="s">
        <v>20</v>
      </c>
      <c r="W17" s="30" t="s">
        <v>20</v>
      </c>
      <c r="X17" s="9"/>
      <c r="Y17" s="3"/>
      <c r="Z17" s="109" t="e">
        <f t="shared" si="0"/>
        <v>#VALUE!</v>
      </c>
      <c r="AA17" s="3"/>
      <c r="AB17" s="3"/>
      <c r="AC17" s="3"/>
      <c r="AD17" s="3"/>
      <c r="AE17" s="4" t="s">
        <v>60</v>
      </c>
      <c r="AF17" s="25">
        <v>1</v>
      </c>
      <c r="AG17" s="35">
        <v>13000000</v>
      </c>
      <c r="AH17" s="35">
        <v>13000000</v>
      </c>
      <c r="AI17" s="35">
        <v>0</v>
      </c>
      <c r="AJ17" s="47">
        <f t="shared" si="10"/>
        <v>0</v>
      </c>
      <c r="AK17" s="52">
        <f t="shared" si="3"/>
        <v>0</v>
      </c>
      <c r="AL17" s="42" t="e">
        <f t="shared" si="4"/>
        <v>#DIV/0!</v>
      </c>
      <c r="AM17" s="35">
        <v>0</v>
      </c>
      <c r="AN17" s="52" t="e">
        <f t="shared" si="5"/>
        <v>#DIV/0!</v>
      </c>
      <c r="AO17" s="35">
        <v>0</v>
      </c>
      <c r="AP17" s="43"/>
      <c r="AQ17" s="3" t="s">
        <v>20</v>
      </c>
      <c r="AR17" s="3" t="s">
        <v>20</v>
      </c>
      <c r="AS17" s="30">
        <v>5</v>
      </c>
      <c r="AT17" s="29">
        <v>5737702.5300000003</v>
      </c>
      <c r="AU17" s="21">
        <f t="shared" si="9"/>
        <v>5737702.5300000003</v>
      </c>
      <c r="AV17" s="12">
        <v>0</v>
      </c>
      <c r="AW17" s="104">
        <f t="shared" si="6"/>
        <v>0</v>
      </c>
      <c r="AX17" s="105">
        <v>0</v>
      </c>
      <c r="AY17" s="106" t="e">
        <f t="shared" si="7"/>
        <v>#DIV/0!</v>
      </c>
      <c r="AZ17" s="105">
        <v>0</v>
      </c>
      <c r="BA17" s="106" t="e">
        <f t="shared" si="8"/>
        <v>#DIV/0!</v>
      </c>
      <c r="BB17" s="12">
        <v>0</v>
      </c>
      <c r="BC17" s="41" t="s">
        <v>20</v>
      </c>
      <c r="BD17" s="41" t="s">
        <v>20</v>
      </c>
      <c r="BE17" s="41" t="s">
        <v>20</v>
      </c>
      <c r="BF17" s="41" t="s">
        <v>20</v>
      </c>
      <c r="BG17" s="55" t="s">
        <v>20</v>
      </c>
      <c r="BH17" s="18" t="s">
        <v>54</v>
      </c>
      <c r="BI17" s="5" t="s">
        <v>20</v>
      </c>
      <c r="BJ17" s="54" t="e">
        <f t="shared" si="12"/>
        <v>#VALUE!</v>
      </c>
      <c r="BK17" s="101" t="s">
        <v>270</v>
      </c>
      <c r="BL17" s="101" t="s">
        <v>270</v>
      </c>
      <c r="BM17" s="107" t="str">
        <f t="shared" si="13"/>
        <v>Coopel y Hershey.</v>
      </c>
      <c r="BN17" s="101" t="s">
        <v>270</v>
      </c>
      <c r="BO17" s="5" t="s">
        <v>97</v>
      </c>
      <c r="BP17" s="24">
        <v>2</v>
      </c>
      <c r="BQ17" s="3" t="s">
        <v>17</v>
      </c>
      <c r="BR17" s="3" t="s">
        <v>20</v>
      </c>
      <c r="BS17" s="54" t="s">
        <v>18</v>
      </c>
      <c r="BT17" s="3" t="s">
        <v>20</v>
      </c>
      <c r="BU17" s="3" t="s">
        <v>20</v>
      </c>
      <c r="BV17" s="3"/>
      <c r="BW17" s="3"/>
      <c r="BX17" s="8" t="s">
        <v>116</v>
      </c>
      <c r="BY17" s="146"/>
    </row>
    <row r="18" spans="1:77" ht="51" x14ac:dyDescent="0.25">
      <c r="A18" s="126" t="s">
        <v>81</v>
      </c>
      <c r="B18" s="124" t="s">
        <v>383</v>
      </c>
      <c r="C18" s="2" t="s">
        <v>15</v>
      </c>
      <c r="D18" s="9">
        <v>5000000</v>
      </c>
      <c r="E18" s="9">
        <v>5000000</v>
      </c>
      <c r="F18" s="30" t="s">
        <v>298</v>
      </c>
      <c r="G18" s="26" t="s">
        <v>20</v>
      </c>
      <c r="H18" s="111" t="s">
        <v>20</v>
      </c>
      <c r="I18" s="111" t="s">
        <v>20</v>
      </c>
      <c r="J18" s="111"/>
      <c r="K18" s="9">
        <v>1000000</v>
      </c>
      <c r="L18" s="9">
        <v>1128459.46</v>
      </c>
      <c r="M18" s="9">
        <v>0</v>
      </c>
      <c r="N18" s="25">
        <f>+M18/L18</f>
        <v>0</v>
      </c>
      <c r="O18" s="9">
        <v>0</v>
      </c>
      <c r="P18" s="33">
        <v>1329795</v>
      </c>
      <c r="Q18" s="25">
        <f>+P18/L18</f>
        <v>1.1784162809003347</v>
      </c>
      <c r="R18" s="33">
        <f>O18+M18-P18</f>
        <v>-1329795</v>
      </c>
      <c r="S18" s="15">
        <v>3</v>
      </c>
      <c r="T18" s="15">
        <v>3</v>
      </c>
      <c r="U18" s="15">
        <f>P18/AR18</f>
        <v>7.4083200236924514</v>
      </c>
      <c r="V18" s="15" t="e">
        <f>R18/AV18</f>
        <v>#DIV/0!</v>
      </c>
      <c r="W18" s="15">
        <f>M18/AQ18</f>
        <v>0</v>
      </c>
      <c r="X18" s="9"/>
      <c r="Y18" s="15"/>
      <c r="Z18" s="109" t="e">
        <f t="shared" si="0"/>
        <v>#DIV/0!</v>
      </c>
      <c r="AA18" s="15"/>
      <c r="AB18" s="15"/>
      <c r="AC18" s="15"/>
      <c r="AD18" s="15"/>
      <c r="AE18" s="4" t="s">
        <v>62</v>
      </c>
      <c r="AF18" s="25">
        <v>0.33</v>
      </c>
      <c r="AG18" s="35">
        <v>10000000</v>
      </c>
      <c r="AH18" s="35">
        <v>10000000</v>
      </c>
      <c r="AI18" s="35">
        <v>0</v>
      </c>
      <c r="AJ18" s="47">
        <f t="shared" si="10"/>
        <v>0</v>
      </c>
      <c r="AK18" s="52">
        <f t="shared" si="3"/>
        <v>0</v>
      </c>
      <c r="AL18" s="42" t="e">
        <f t="shared" si="4"/>
        <v>#DIV/0!</v>
      </c>
      <c r="AM18" s="35">
        <v>0</v>
      </c>
      <c r="AN18" s="52" t="e">
        <f t="shared" si="5"/>
        <v>#DIV/0!</v>
      </c>
      <c r="AO18" s="35">
        <v>0</v>
      </c>
      <c r="AP18" s="43"/>
      <c r="AQ18" s="3">
        <v>179500.21</v>
      </c>
      <c r="AR18" s="3">
        <f>AQ18+ROUND(AV18*(27.6%)/360*30,2)</f>
        <v>179500.21</v>
      </c>
      <c r="AS18" s="30">
        <v>1</v>
      </c>
      <c r="AT18" s="19">
        <v>2154002.5499999998</v>
      </c>
      <c r="AU18" s="21">
        <f t="shared" si="9"/>
        <v>2154002.5499999998</v>
      </c>
      <c r="AV18" s="12">
        <v>0</v>
      </c>
      <c r="AW18" s="104">
        <f t="shared" si="6"/>
        <v>0</v>
      </c>
      <c r="AX18" s="105">
        <v>0</v>
      </c>
      <c r="AY18" s="106" t="e">
        <f t="shared" si="7"/>
        <v>#DIV/0!</v>
      </c>
      <c r="AZ18" s="105">
        <v>0</v>
      </c>
      <c r="BA18" s="106" t="e">
        <f t="shared" si="8"/>
        <v>#DIV/0!</v>
      </c>
      <c r="BB18" s="12">
        <v>0</v>
      </c>
      <c r="BC18" s="16" t="s">
        <v>20</v>
      </c>
      <c r="BD18" s="16" t="s">
        <v>20</v>
      </c>
      <c r="BE18" s="16" t="s">
        <v>20</v>
      </c>
      <c r="BF18" s="16" t="s">
        <v>20</v>
      </c>
      <c r="BG18" s="55" t="s">
        <v>20</v>
      </c>
      <c r="BH18" s="18" t="s">
        <v>54</v>
      </c>
      <c r="BI18" s="5"/>
      <c r="BJ18" s="5"/>
      <c r="BK18" s="5"/>
      <c r="BL18" s="5"/>
      <c r="BM18" s="5"/>
      <c r="BN18" s="5"/>
      <c r="BO18" s="5" t="s">
        <v>97</v>
      </c>
      <c r="BP18" s="24">
        <v>2</v>
      </c>
      <c r="BQ18" s="3" t="s">
        <v>17</v>
      </c>
      <c r="BR18" s="3" t="s">
        <v>20</v>
      </c>
      <c r="BS18" s="6" t="s">
        <v>61</v>
      </c>
      <c r="BT18" s="33">
        <v>1000000</v>
      </c>
      <c r="BU18" s="3" t="s">
        <v>21</v>
      </c>
      <c r="BV18" s="3"/>
      <c r="BW18" s="3"/>
      <c r="BX18" s="8" t="s">
        <v>116</v>
      </c>
      <c r="BY18" s="146"/>
    </row>
    <row r="19" spans="1:77" ht="63.75" x14ac:dyDescent="0.25">
      <c r="A19" s="126" t="s">
        <v>81</v>
      </c>
      <c r="B19" s="124" t="s">
        <v>383</v>
      </c>
      <c r="C19" s="2" t="s">
        <v>15</v>
      </c>
      <c r="D19" s="9">
        <v>5000000</v>
      </c>
      <c r="E19" s="9">
        <v>5000000</v>
      </c>
      <c r="F19" s="3" t="s">
        <v>16</v>
      </c>
      <c r="G19" s="26" t="s">
        <v>20</v>
      </c>
      <c r="H19" s="111" t="s">
        <v>20</v>
      </c>
      <c r="I19" s="111" t="s">
        <v>20</v>
      </c>
      <c r="J19" s="111"/>
      <c r="K19" s="9" t="s">
        <v>20</v>
      </c>
      <c r="L19" s="9" t="s">
        <v>20</v>
      </c>
      <c r="M19" s="9" t="s">
        <v>20</v>
      </c>
      <c r="N19" s="21" t="s">
        <v>20</v>
      </c>
      <c r="O19" s="9" t="s">
        <v>20</v>
      </c>
      <c r="P19" s="3" t="s">
        <v>20</v>
      </c>
      <c r="Q19" s="21" t="s">
        <v>20</v>
      </c>
      <c r="R19" s="3" t="s">
        <v>20</v>
      </c>
      <c r="S19" s="70" t="s">
        <v>82</v>
      </c>
      <c r="T19" s="71">
        <v>1.19</v>
      </c>
      <c r="U19" s="3" t="s">
        <v>20</v>
      </c>
      <c r="V19" s="3" t="s">
        <v>20</v>
      </c>
      <c r="W19" s="30" t="s">
        <v>20</v>
      </c>
      <c r="X19" s="9"/>
      <c r="Y19" s="3"/>
      <c r="Z19" s="109" t="e">
        <f t="shared" si="0"/>
        <v>#VALUE!</v>
      </c>
      <c r="AA19" s="3"/>
      <c r="AB19" s="3"/>
      <c r="AC19" s="3"/>
      <c r="AD19" s="3"/>
      <c r="AE19" s="4" t="s">
        <v>62</v>
      </c>
      <c r="AF19" s="112">
        <v>0.33</v>
      </c>
      <c r="AG19" s="35">
        <v>10000000</v>
      </c>
      <c r="AH19" s="35">
        <v>10000000</v>
      </c>
      <c r="AI19" s="35">
        <v>0</v>
      </c>
      <c r="AJ19" s="47">
        <f t="shared" si="10"/>
        <v>0</v>
      </c>
      <c r="AK19" s="52">
        <f t="shared" si="3"/>
        <v>0</v>
      </c>
      <c r="AL19" s="42" t="e">
        <f t="shared" si="4"/>
        <v>#DIV/0!</v>
      </c>
      <c r="AM19" s="35">
        <v>0</v>
      </c>
      <c r="AN19" s="52" t="e">
        <f t="shared" si="5"/>
        <v>#DIV/0!</v>
      </c>
      <c r="AO19" s="35">
        <v>0</v>
      </c>
      <c r="AP19" s="43"/>
      <c r="AQ19" s="3" t="s">
        <v>20</v>
      </c>
      <c r="AR19" s="3" t="s">
        <v>20</v>
      </c>
      <c r="AS19" s="30">
        <v>1</v>
      </c>
      <c r="AT19" s="19">
        <v>1477684</v>
      </c>
      <c r="AU19" s="21">
        <f t="shared" si="9"/>
        <v>1477684</v>
      </c>
      <c r="AV19" s="12">
        <v>0</v>
      </c>
      <c r="AW19" s="104">
        <f t="shared" si="6"/>
        <v>0</v>
      </c>
      <c r="AX19" s="105">
        <v>0</v>
      </c>
      <c r="AY19" s="106" t="e">
        <f t="shared" si="7"/>
        <v>#DIV/0!</v>
      </c>
      <c r="AZ19" s="105">
        <v>0</v>
      </c>
      <c r="BA19" s="106" t="e">
        <f t="shared" si="8"/>
        <v>#DIV/0!</v>
      </c>
      <c r="BB19" s="12">
        <v>0</v>
      </c>
      <c r="BC19" s="41" t="s">
        <v>20</v>
      </c>
      <c r="BD19" s="41" t="s">
        <v>20</v>
      </c>
      <c r="BE19" s="41" t="s">
        <v>20</v>
      </c>
      <c r="BF19" s="41" t="s">
        <v>20</v>
      </c>
      <c r="BG19" s="55" t="s">
        <v>20</v>
      </c>
      <c r="BH19" s="18" t="s">
        <v>54</v>
      </c>
      <c r="BI19" s="5" t="s">
        <v>20</v>
      </c>
      <c r="BJ19" s="54" t="e">
        <f t="shared" ref="BJ19:BJ21" si="14">90-BI19</f>
        <v>#VALUE!</v>
      </c>
      <c r="BK19" s="101" t="s">
        <v>270</v>
      </c>
      <c r="BL19" s="101" t="s">
        <v>270</v>
      </c>
      <c r="BM19" s="107" t="str">
        <f t="shared" ref="BM19:BM21" si="15">+AE19</f>
        <v>Adidas / Moctezuma / Facebook/Hyundai/Malta/Inter/</v>
      </c>
      <c r="BN19" s="101" t="s">
        <v>270</v>
      </c>
      <c r="BO19" s="5" t="s">
        <v>97</v>
      </c>
      <c r="BP19" s="24">
        <v>2</v>
      </c>
      <c r="BQ19" s="3" t="s">
        <v>17</v>
      </c>
      <c r="BR19" s="3" t="s">
        <v>20</v>
      </c>
      <c r="BS19" s="6" t="s">
        <v>18</v>
      </c>
      <c r="BT19" s="3" t="s">
        <v>20</v>
      </c>
      <c r="BU19" s="3" t="s">
        <v>20</v>
      </c>
      <c r="BV19" s="3"/>
      <c r="BW19" s="3"/>
      <c r="BX19" s="8" t="s">
        <v>116</v>
      </c>
      <c r="BY19" s="146"/>
    </row>
    <row r="20" spans="1:77" ht="63.75" x14ac:dyDescent="0.25">
      <c r="A20" s="126" t="s">
        <v>63</v>
      </c>
      <c r="B20" s="124" t="s">
        <v>383</v>
      </c>
      <c r="C20" s="2" t="s">
        <v>15</v>
      </c>
      <c r="D20" s="9">
        <v>5000000</v>
      </c>
      <c r="E20" s="9">
        <v>5000000</v>
      </c>
      <c r="F20" s="3" t="s">
        <v>285</v>
      </c>
      <c r="G20" s="26" t="s">
        <v>20</v>
      </c>
      <c r="H20" s="111" t="s">
        <v>20</v>
      </c>
      <c r="I20" s="111" t="s">
        <v>20</v>
      </c>
      <c r="J20" s="110" t="s">
        <v>314</v>
      </c>
      <c r="K20" s="9">
        <v>3000000</v>
      </c>
      <c r="L20" s="9">
        <v>4800000</v>
      </c>
      <c r="M20" s="9">
        <v>282397.36</v>
      </c>
      <c r="N20" s="21" t="s">
        <v>20</v>
      </c>
      <c r="O20" s="9">
        <f>342260+282397</f>
        <v>624657</v>
      </c>
      <c r="P20" s="3">
        <v>387275.2</v>
      </c>
      <c r="Q20" s="21" t="s">
        <v>20</v>
      </c>
      <c r="R20" s="3" t="s">
        <v>20</v>
      </c>
      <c r="S20" s="70" t="s">
        <v>82</v>
      </c>
      <c r="T20" s="71">
        <v>1.19</v>
      </c>
      <c r="U20" s="3" t="s">
        <v>20</v>
      </c>
      <c r="V20" s="3" t="s">
        <v>20</v>
      </c>
      <c r="W20" s="30" t="s">
        <v>20</v>
      </c>
      <c r="X20" s="9">
        <v>93416958.629999995</v>
      </c>
      <c r="Y20" s="3"/>
      <c r="Z20" s="109">
        <f t="shared" si="0"/>
        <v>1.3713839251188469</v>
      </c>
      <c r="AA20" s="3"/>
      <c r="AB20" s="3"/>
      <c r="AC20" s="3"/>
      <c r="AD20" s="3"/>
      <c r="AE20" s="4" t="s">
        <v>64</v>
      </c>
      <c r="AF20" s="25">
        <v>0.2</v>
      </c>
      <c r="AG20" s="35">
        <v>12000000</v>
      </c>
      <c r="AH20" s="35">
        <v>12000000</v>
      </c>
      <c r="AI20" s="35">
        <v>11859649</v>
      </c>
      <c r="AJ20" s="47">
        <f t="shared" si="10"/>
        <v>0.98830408333333331</v>
      </c>
      <c r="AK20" s="52">
        <f t="shared" si="3"/>
        <v>0.98830408333333331</v>
      </c>
      <c r="AL20" s="42">
        <f t="shared" si="4"/>
        <v>0.12695391900921277</v>
      </c>
      <c r="AM20" s="35">
        <v>0</v>
      </c>
      <c r="AN20" s="52">
        <f t="shared" si="5"/>
        <v>0</v>
      </c>
      <c r="AO20" s="35">
        <v>0</v>
      </c>
      <c r="AP20" s="43"/>
      <c r="AQ20" s="3" t="s">
        <v>20</v>
      </c>
      <c r="AR20" s="3" t="s">
        <v>20</v>
      </c>
      <c r="AS20" s="30">
        <v>2</v>
      </c>
      <c r="AT20" s="29">
        <f>803189.601+4596805.03</f>
        <v>5399994.6310000001</v>
      </c>
      <c r="AU20" s="21">
        <f t="shared" si="9"/>
        <v>1952390.8709999998</v>
      </c>
      <c r="AV20" s="12">
        <v>3447603.7600000002</v>
      </c>
      <c r="AW20" s="104">
        <f t="shared" si="6"/>
        <v>0.68952075200000007</v>
      </c>
      <c r="AX20" s="105">
        <v>0</v>
      </c>
      <c r="AY20" s="106">
        <f t="shared" si="7"/>
        <v>0</v>
      </c>
      <c r="AZ20" s="105">
        <v>0</v>
      </c>
      <c r="BA20" s="106">
        <f t="shared" si="8"/>
        <v>0</v>
      </c>
      <c r="BB20" s="135">
        <v>211453.03</v>
      </c>
      <c r="BC20" s="41" t="s">
        <v>20</v>
      </c>
      <c r="BD20" s="41" t="s">
        <v>20</v>
      </c>
      <c r="BE20" s="41" t="s">
        <v>20</v>
      </c>
      <c r="BF20" s="41" t="s">
        <v>20</v>
      </c>
      <c r="BG20" s="55">
        <v>44985</v>
      </c>
      <c r="BH20" s="18" t="s">
        <v>22</v>
      </c>
      <c r="BI20" s="5" t="s">
        <v>20</v>
      </c>
      <c r="BJ20" s="54" t="e">
        <f t="shared" si="14"/>
        <v>#VALUE!</v>
      </c>
      <c r="BK20" s="101" t="s">
        <v>270</v>
      </c>
      <c r="BL20" s="101" t="s">
        <v>270</v>
      </c>
      <c r="BM20" s="107" t="str">
        <f t="shared" si="15"/>
        <v>Fin. Indep / Nielsen / Si Vale / Estefanini / Prosa</v>
      </c>
      <c r="BN20" s="101" t="s">
        <v>270</v>
      </c>
      <c r="BO20" s="5" t="s">
        <v>97</v>
      </c>
      <c r="BP20" s="24">
        <v>2</v>
      </c>
      <c r="BQ20" s="3" t="s">
        <v>17</v>
      </c>
      <c r="BR20" s="3" t="s">
        <v>20</v>
      </c>
      <c r="BS20" s="6" t="s">
        <v>61</v>
      </c>
      <c r="BT20" s="3" t="s">
        <v>20</v>
      </c>
      <c r="BU20" s="3" t="s">
        <v>20</v>
      </c>
      <c r="BV20" s="3" t="s">
        <v>366</v>
      </c>
      <c r="BW20" s="3" t="s">
        <v>328</v>
      </c>
      <c r="BX20" s="8" t="s">
        <v>116</v>
      </c>
      <c r="BY20" s="146"/>
    </row>
    <row r="21" spans="1:77" ht="38.25" x14ac:dyDescent="0.25">
      <c r="A21" s="126" t="s">
        <v>65</v>
      </c>
      <c r="B21" s="124" t="s">
        <v>383</v>
      </c>
      <c r="C21" s="2" t="s">
        <v>15</v>
      </c>
      <c r="D21" s="9">
        <v>2000000</v>
      </c>
      <c r="E21" s="9">
        <v>2000000</v>
      </c>
      <c r="F21" s="3" t="s">
        <v>285</v>
      </c>
      <c r="G21" s="26" t="s">
        <v>20</v>
      </c>
      <c r="H21" s="111" t="s">
        <v>20</v>
      </c>
      <c r="I21" s="111" t="s">
        <v>20</v>
      </c>
      <c r="J21" s="110" t="s">
        <v>314</v>
      </c>
      <c r="K21" s="9">
        <v>640000</v>
      </c>
      <c r="L21" s="9">
        <v>640000</v>
      </c>
      <c r="M21" s="9">
        <v>902948.04999999993</v>
      </c>
      <c r="N21" s="21" t="s">
        <v>20</v>
      </c>
      <c r="O21" s="9">
        <f>875463+902948</f>
        <v>1778411</v>
      </c>
      <c r="P21" s="3">
        <v>417954.1</v>
      </c>
      <c r="Q21" s="21" t="s">
        <v>20</v>
      </c>
      <c r="R21" s="3" t="s">
        <v>20</v>
      </c>
      <c r="S21" s="70" t="s">
        <v>82</v>
      </c>
      <c r="T21" s="71">
        <v>1.19</v>
      </c>
      <c r="U21" s="3" t="s">
        <v>20</v>
      </c>
      <c r="V21" s="3" t="s">
        <v>20</v>
      </c>
      <c r="W21" s="30" t="s">
        <v>20</v>
      </c>
      <c r="X21" s="9">
        <v>15925907.039999999</v>
      </c>
      <c r="Y21" s="3"/>
      <c r="Z21" s="109">
        <f t="shared" si="0"/>
        <v>0.46287723861854513</v>
      </c>
      <c r="AA21" s="3"/>
      <c r="AB21" s="3"/>
      <c r="AC21" s="3"/>
      <c r="AD21" s="3"/>
      <c r="AE21" s="4" t="s">
        <v>306</v>
      </c>
      <c r="AF21" s="25">
        <v>0.5</v>
      </c>
      <c r="AG21" s="35">
        <v>2000000</v>
      </c>
      <c r="AH21" s="35">
        <v>2000000</v>
      </c>
      <c r="AI21" s="35">
        <v>12240</v>
      </c>
      <c r="AJ21" s="47">
        <f t="shared" si="10"/>
        <v>6.1199999999999996E-3</v>
      </c>
      <c r="AK21" s="52">
        <f t="shared" si="3"/>
        <v>6.1199999999999996E-3</v>
      </c>
      <c r="AL21" s="42">
        <f t="shared" si="4"/>
        <v>7.6855905093867736E-4</v>
      </c>
      <c r="AM21" s="35">
        <v>0</v>
      </c>
      <c r="AN21" s="52">
        <f t="shared" si="5"/>
        <v>0</v>
      </c>
      <c r="AO21" s="35">
        <v>0</v>
      </c>
      <c r="AP21" s="43"/>
      <c r="AQ21" s="3" t="s">
        <v>20</v>
      </c>
      <c r="AR21" s="3" t="s">
        <v>20</v>
      </c>
      <c r="AS21" s="30">
        <v>2</v>
      </c>
      <c r="AT21" s="29">
        <f>623705.526+1200000</f>
        <v>1823705.5260000001</v>
      </c>
      <c r="AU21" s="21">
        <f t="shared" si="9"/>
        <v>690372.196</v>
      </c>
      <c r="AV21" s="12">
        <v>1133333.33</v>
      </c>
      <c r="AW21" s="104">
        <f t="shared" si="6"/>
        <v>0.56666666500000007</v>
      </c>
      <c r="AX21" s="105">
        <v>0</v>
      </c>
      <c r="AY21" s="106">
        <f t="shared" si="7"/>
        <v>0</v>
      </c>
      <c r="AZ21" s="105">
        <v>0</v>
      </c>
      <c r="BA21" s="106">
        <f t="shared" si="8"/>
        <v>0</v>
      </c>
      <c r="BB21" s="135">
        <v>55200</v>
      </c>
      <c r="BC21" s="41" t="s">
        <v>20</v>
      </c>
      <c r="BD21" s="41" t="s">
        <v>20</v>
      </c>
      <c r="BE21" s="41" t="s">
        <v>20</v>
      </c>
      <c r="BF21" s="41" t="s">
        <v>20</v>
      </c>
      <c r="BG21" s="55">
        <v>45199</v>
      </c>
      <c r="BH21" s="18" t="s">
        <v>22</v>
      </c>
      <c r="BI21" s="5" t="s">
        <v>20</v>
      </c>
      <c r="BJ21" s="54" t="e">
        <f t="shared" si="14"/>
        <v>#VALUE!</v>
      </c>
      <c r="BK21" s="101" t="s">
        <v>270</v>
      </c>
      <c r="BL21" s="101" t="s">
        <v>270</v>
      </c>
      <c r="BM21" s="107" t="str">
        <f t="shared" si="15"/>
        <v>Cryoinfra/Cyplus/Energia Infra/Etileno</v>
      </c>
      <c r="BN21" s="101" t="s">
        <v>270</v>
      </c>
      <c r="BO21" s="18" t="s">
        <v>93</v>
      </c>
      <c r="BP21" s="24">
        <v>2</v>
      </c>
      <c r="BQ21" s="3" t="s">
        <v>17</v>
      </c>
      <c r="BR21" s="3" t="s">
        <v>20</v>
      </c>
      <c r="BS21" s="6" t="s">
        <v>61</v>
      </c>
      <c r="BT21" s="3" t="s">
        <v>20</v>
      </c>
      <c r="BU21" s="3" t="s">
        <v>20</v>
      </c>
      <c r="BV21" s="3" t="s">
        <v>327</v>
      </c>
      <c r="BW21" s="3" t="s">
        <v>362</v>
      </c>
      <c r="BX21" s="8" t="s">
        <v>116</v>
      </c>
      <c r="BY21" s="146"/>
    </row>
    <row r="22" spans="1:77" ht="25.5" x14ac:dyDescent="0.25">
      <c r="A22" s="124" t="s">
        <v>67</v>
      </c>
      <c r="B22" s="124" t="s">
        <v>383</v>
      </c>
      <c r="C22" s="23" t="s">
        <v>48</v>
      </c>
      <c r="D22" s="9">
        <v>500000</v>
      </c>
      <c r="E22" s="9">
        <v>500000</v>
      </c>
      <c r="F22" s="30" t="s">
        <v>298</v>
      </c>
      <c r="G22" s="26" t="s">
        <v>20</v>
      </c>
      <c r="H22" s="111" t="s">
        <v>20</v>
      </c>
      <c r="I22" s="111" t="s">
        <v>20</v>
      </c>
      <c r="J22" s="110" t="s">
        <v>314</v>
      </c>
      <c r="K22" s="9">
        <v>200000</v>
      </c>
      <c r="L22" s="9">
        <v>200000</v>
      </c>
      <c r="M22" s="9">
        <v>165393.11571428573</v>
      </c>
      <c r="N22" s="25">
        <f>+M22/L22</f>
        <v>0.82696557857142861</v>
      </c>
      <c r="O22" s="9">
        <f>135046+165392</f>
        <v>300438</v>
      </c>
      <c r="P22" s="33">
        <v>64385.599999999999</v>
      </c>
      <c r="Q22" s="25">
        <f>+P22/L22</f>
        <v>0.32192799999999999</v>
      </c>
      <c r="R22" s="9">
        <f>O22+M22-P22</f>
        <v>401445.51571428578</v>
      </c>
      <c r="S22" s="15">
        <v>3</v>
      </c>
      <c r="T22" s="15">
        <v>5</v>
      </c>
      <c r="U22" s="15">
        <f>P22/AR22</f>
        <v>2.4692094729935006</v>
      </c>
      <c r="V22" s="15">
        <f>R22/AV22</f>
        <v>0.96346925565357178</v>
      </c>
      <c r="W22" s="15">
        <f>M22/AQ22</f>
        <v>8.9709606332159435</v>
      </c>
      <c r="X22" s="9">
        <v>173327900.25999999</v>
      </c>
      <c r="Y22" s="15"/>
      <c r="Z22" s="109">
        <f t="shared" si="0"/>
        <v>0.38928827068730731</v>
      </c>
      <c r="AA22" s="15"/>
      <c r="AB22" s="15"/>
      <c r="AC22" s="15"/>
      <c r="AD22" s="15"/>
      <c r="AE22" s="4" t="s">
        <v>68</v>
      </c>
      <c r="AF22" s="25">
        <v>1</v>
      </c>
      <c r="AG22" s="35">
        <f>30000000/20</f>
        <v>1500000</v>
      </c>
      <c r="AH22" s="35">
        <f>30000000/20</f>
        <v>1500000</v>
      </c>
      <c r="AI22" s="35">
        <f>16491000/20</f>
        <v>824550</v>
      </c>
      <c r="AJ22" s="47">
        <f t="shared" si="10"/>
        <v>0.54969999999999997</v>
      </c>
      <c r="AK22" s="47">
        <f t="shared" si="3"/>
        <v>0.54969999999999997</v>
      </c>
      <c r="AL22" s="47">
        <f t="shared" si="4"/>
        <v>4.7571683425642166E-3</v>
      </c>
      <c r="AM22" s="35">
        <v>0</v>
      </c>
      <c r="AN22" s="47">
        <f t="shared" si="5"/>
        <v>0</v>
      </c>
      <c r="AO22" s="35">
        <v>0</v>
      </c>
      <c r="AP22" s="43"/>
      <c r="AQ22" s="3">
        <v>18436.5</v>
      </c>
      <c r="AR22" s="3">
        <f>AQ22+ROUND(AV22*(22%)/360*30,2)</f>
        <v>26075.39</v>
      </c>
      <c r="AS22" s="30">
        <v>3</v>
      </c>
      <c r="AT22" s="29">
        <v>1057823.997079646</v>
      </c>
      <c r="AU22" s="3">
        <f t="shared" si="9"/>
        <v>641157.3381710914</v>
      </c>
      <c r="AV22" s="108">
        <v>416666.65890855459</v>
      </c>
      <c r="AW22" s="104">
        <f t="shared" si="6"/>
        <v>0.83333331781710918</v>
      </c>
      <c r="AX22" s="117">
        <v>0</v>
      </c>
      <c r="AY22" s="95">
        <f t="shared" si="7"/>
        <v>0</v>
      </c>
      <c r="AZ22" s="117">
        <v>0</v>
      </c>
      <c r="BA22" s="95">
        <f t="shared" si="8"/>
        <v>0</v>
      </c>
      <c r="BB22" s="38">
        <v>18333.34</v>
      </c>
      <c r="BC22" s="3"/>
      <c r="BD22" s="3"/>
      <c r="BE22" s="3"/>
      <c r="BF22" s="3"/>
      <c r="BG22" s="55">
        <v>45169</v>
      </c>
      <c r="BH22" s="5" t="s">
        <v>22</v>
      </c>
      <c r="BI22" s="5"/>
      <c r="BJ22" s="5"/>
      <c r="BK22" s="5"/>
      <c r="BL22" s="5"/>
      <c r="BM22" s="5"/>
      <c r="BN22" s="5"/>
      <c r="BO22" s="5" t="s">
        <v>93</v>
      </c>
      <c r="BP22" s="24">
        <v>1</v>
      </c>
      <c r="BQ22" s="3" t="s">
        <v>17</v>
      </c>
      <c r="BR22" s="3" t="s">
        <v>28</v>
      </c>
      <c r="BS22" s="54" t="s">
        <v>18</v>
      </c>
      <c r="BT22" s="33">
        <v>200000</v>
      </c>
      <c r="BU22" s="3" t="s">
        <v>21</v>
      </c>
      <c r="BV22" s="3" t="s">
        <v>335</v>
      </c>
      <c r="BW22" s="3" t="s">
        <v>367</v>
      </c>
      <c r="BX22" s="7" t="s">
        <v>116</v>
      </c>
      <c r="BY22" s="144"/>
    </row>
    <row r="23" spans="1:77" ht="25.5" x14ac:dyDescent="0.25">
      <c r="A23" s="124" t="s">
        <v>67</v>
      </c>
      <c r="B23" s="124" t="s">
        <v>383</v>
      </c>
      <c r="C23" s="23" t="s">
        <v>48</v>
      </c>
      <c r="D23" s="9">
        <v>331859</v>
      </c>
      <c r="E23" s="9">
        <v>331859</v>
      </c>
      <c r="F23" s="3" t="s">
        <v>16</v>
      </c>
      <c r="G23" s="26" t="s">
        <v>20</v>
      </c>
      <c r="H23" s="111" t="s">
        <v>20</v>
      </c>
      <c r="I23" s="111" t="s">
        <v>20</v>
      </c>
      <c r="J23" s="111"/>
      <c r="K23" s="9" t="s">
        <v>20</v>
      </c>
      <c r="L23" s="9" t="s">
        <v>20</v>
      </c>
      <c r="M23" s="9" t="s">
        <v>20</v>
      </c>
      <c r="N23" s="21" t="s">
        <v>20</v>
      </c>
      <c r="O23" s="9" t="s">
        <v>20</v>
      </c>
      <c r="P23" s="3" t="s">
        <v>20</v>
      </c>
      <c r="Q23" s="21" t="s">
        <v>20</v>
      </c>
      <c r="R23" s="3" t="s">
        <v>20</v>
      </c>
      <c r="S23" s="70" t="s">
        <v>82</v>
      </c>
      <c r="T23" s="71">
        <v>1.19</v>
      </c>
      <c r="U23" s="3" t="s">
        <v>20</v>
      </c>
      <c r="V23" s="3" t="s">
        <v>20</v>
      </c>
      <c r="W23" s="30" t="s">
        <v>20</v>
      </c>
      <c r="X23" s="9"/>
      <c r="Y23" s="3"/>
      <c r="Z23" s="109" t="e">
        <f t="shared" si="0"/>
        <v>#VALUE!</v>
      </c>
      <c r="AA23" s="3"/>
      <c r="AB23" s="3"/>
      <c r="AC23" s="3"/>
      <c r="AD23" s="3"/>
      <c r="AE23" s="4" t="s">
        <v>68</v>
      </c>
      <c r="AF23" s="25">
        <v>1</v>
      </c>
      <c r="AG23" s="35">
        <v>30000000</v>
      </c>
      <c r="AH23" s="35">
        <v>30000000</v>
      </c>
      <c r="AI23" s="35">
        <v>10660000</v>
      </c>
      <c r="AJ23" s="47">
        <f t="shared" si="10"/>
        <v>0.35533333333333333</v>
      </c>
      <c r="AK23" s="52">
        <f t="shared" si="3"/>
        <v>0.35533333333333333</v>
      </c>
      <c r="AL23" s="42" t="e">
        <f t="shared" si="4"/>
        <v>#DIV/0!</v>
      </c>
      <c r="AM23" s="35">
        <v>745000</v>
      </c>
      <c r="AN23" s="52">
        <f t="shared" si="5"/>
        <v>6.9887429643527205E-2</v>
      </c>
      <c r="AO23" s="35">
        <v>1</v>
      </c>
      <c r="AP23" s="43"/>
      <c r="AQ23" s="3" t="s">
        <v>20</v>
      </c>
      <c r="AR23" s="3" t="s">
        <v>20</v>
      </c>
      <c r="AS23" s="30">
        <v>1</v>
      </c>
      <c r="AT23" s="29">
        <v>48497.35</v>
      </c>
      <c r="AU23" s="21">
        <f t="shared" si="9"/>
        <v>48497.35</v>
      </c>
      <c r="AV23" s="12">
        <v>0</v>
      </c>
      <c r="AW23" s="104">
        <f t="shared" si="6"/>
        <v>0</v>
      </c>
      <c r="AX23" s="105">
        <v>0</v>
      </c>
      <c r="AY23" s="106" t="e">
        <f t="shared" si="7"/>
        <v>#DIV/0!</v>
      </c>
      <c r="AZ23" s="105">
        <v>0</v>
      </c>
      <c r="BA23" s="106" t="e">
        <f t="shared" si="8"/>
        <v>#DIV/0!</v>
      </c>
      <c r="BB23" s="12">
        <v>0</v>
      </c>
      <c r="BC23" s="41" t="s">
        <v>20</v>
      </c>
      <c r="BD23" s="41" t="s">
        <v>20</v>
      </c>
      <c r="BE23" s="41" t="s">
        <v>20</v>
      </c>
      <c r="BF23" s="41" t="s">
        <v>20</v>
      </c>
      <c r="BG23" s="55" t="s">
        <v>20</v>
      </c>
      <c r="BH23" s="18" t="s">
        <v>54</v>
      </c>
      <c r="BI23" s="5" t="s">
        <v>20</v>
      </c>
      <c r="BJ23" s="54" t="e">
        <f t="shared" ref="BJ23:BJ24" si="16">90-BI23</f>
        <v>#VALUE!</v>
      </c>
      <c r="BK23" s="101" t="s">
        <v>270</v>
      </c>
      <c r="BL23" s="101" t="s">
        <v>270</v>
      </c>
      <c r="BM23" s="107" t="str">
        <f t="shared" ref="BM23:BM24" si="17">+AE23</f>
        <v xml:space="preserve">TIR Nutrition / Lallemand </v>
      </c>
      <c r="BN23" s="101" t="s">
        <v>270</v>
      </c>
      <c r="BO23" s="5" t="s">
        <v>93</v>
      </c>
      <c r="BP23" s="24">
        <v>2</v>
      </c>
      <c r="BQ23" s="3" t="s">
        <v>17</v>
      </c>
      <c r="BR23" s="3" t="s">
        <v>20</v>
      </c>
      <c r="BS23" s="54" t="s">
        <v>18</v>
      </c>
      <c r="BT23" s="3" t="s">
        <v>20</v>
      </c>
      <c r="BU23" s="3" t="s">
        <v>20</v>
      </c>
      <c r="BV23" s="3"/>
      <c r="BW23" s="3"/>
      <c r="BX23" s="7" t="s">
        <v>116</v>
      </c>
      <c r="BY23" s="144"/>
    </row>
    <row r="24" spans="1:77" ht="38.25" x14ac:dyDescent="0.25">
      <c r="A24" s="126" t="s">
        <v>69</v>
      </c>
      <c r="B24" s="124" t="s">
        <v>383</v>
      </c>
      <c r="C24" s="2" t="s">
        <v>15</v>
      </c>
      <c r="D24" s="9">
        <v>3000000</v>
      </c>
      <c r="E24" s="9">
        <v>3000000</v>
      </c>
      <c r="F24" s="3" t="s">
        <v>16</v>
      </c>
      <c r="G24" s="26" t="s">
        <v>20</v>
      </c>
      <c r="H24" s="111" t="s">
        <v>20</v>
      </c>
      <c r="I24" s="111" t="s">
        <v>20</v>
      </c>
      <c r="J24" s="111"/>
      <c r="K24" s="9" t="s">
        <v>20</v>
      </c>
      <c r="L24" s="9" t="s">
        <v>20</v>
      </c>
      <c r="M24" s="9" t="s">
        <v>288</v>
      </c>
      <c r="N24" s="21" t="s">
        <v>20</v>
      </c>
      <c r="O24" s="9" t="s">
        <v>20</v>
      </c>
      <c r="P24" s="3" t="s">
        <v>20</v>
      </c>
      <c r="Q24" s="21" t="s">
        <v>20</v>
      </c>
      <c r="R24" s="3" t="s">
        <v>20</v>
      </c>
      <c r="S24" s="70" t="s">
        <v>82</v>
      </c>
      <c r="T24" s="71">
        <v>1.19</v>
      </c>
      <c r="U24" s="30" t="s">
        <v>20</v>
      </c>
      <c r="V24" s="3" t="s">
        <v>20</v>
      </c>
      <c r="W24" s="30" t="s">
        <v>20</v>
      </c>
      <c r="X24" s="9"/>
      <c r="Y24" s="3"/>
      <c r="Z24" s="109" t="e">
        <f t="shared" si="0"/>
        <v>#VALUE!</v>
      </c>
      <c r="AA24" s="3"/>
      <c r="AB24" s="3"/>
      <c r="AC24" s="3"/>
      <c r="AD24" s="3"/>
      <c r="AE24" s="4" t="s">
        <v>70</v>
      </c>
      <c r="AF24" s="25">
        <v>1</v>
      </c>
      <c r="AG24" s="35">
        <v>5400000</v>
      </c>
      <c r="AH24" s="35">
        <v>5400000</v>
      </c>
      <c r="AI24" s="35">
        <v>1551200</v>
      </c>
      <c r="AJ24" s="47">
        <f t="shared" si="10"/>
        <v>0.28725925925925927</v>
      </c>
      <c r="AK24" s="52">
        <f t="shared" si="3"/>
        <v>0.28725925925925927</v>
      </c>
      <c r="AL24" s="42" t="e">
        <f t="shared" si="4"/>
        <v>#DIV/0!</v>
      </c>
      <c r="AM24" s="35">
        <v>0</v>
      </c>
      <c r="AN24" s="52">
        <f t="shared" si="5"/>
        <v>0</v>
      </c>
      <c r="AO24" s="35">
        <v>0</v>
      </c>
      <c r="AP24" s="43"/>
      <c r="AQ24" s="3" t="s">
        <v>20</v>
      </c>
      <c r="AR24" s="3" t="s">
        <v>20</v>
      </c>
      <c r="AS24" s="30">
        <v>14</v>
      </c>
      <c r="AT24" s="29">
        <v>7927556.4679999994</v>
      </c>
      <c r="AU24" s="21">
        <f t="shared" si="9"/>
        <v>7927556.4679999994</v>
      </c>
      <c r="AV24" s="75">
        <v>0</v>
      </c>
      <c r="AW24" s="104">
        <f t="shared" si="6"/>
        <v>0</v>
      </c>
      <c r="AX24" s="105">
        <v>0</v>
      </c>
      <c r="AY24" s="106" t="e">
        <f t="shared" si="7"/>
        <v>#DIV/0!</v>
      </c>
      <c r="AZ24" s="105">
        <v>0</v>
      </c>
      <c r="BA24" s="106" t="e">
        <f t="shared" si="8"/>
        <v>#DIV/0!</v>
      </c>
      <c r="BB24" s="17">
        <v>0</v>
      </c>
      <c r="BC24" s="41" t="s">
        <v>20</v>
      </c>
      <c r="BD24" s="41" t="s">
        <v>20</v>
      </c>
      <c r="BE24" s="41" t="s">
        <v>20</v>
      </c>
      <c r="BF24" s="41" t="s">
        <v>20</v>
      </c>
      <c r="BG24" s="55">
        <v>44530</v>
      </c>
      <c r="BH24" s="5" t="s">
        <v>54</v>
      </c>
      <c r="BI24" s="5" t="s">
        <v>20</v>
      </c>
      <c r="BJ24" s="54" t="e">
        <f t="shared" si="16"/>
        <v>#VALUE!</v>
      </c>
      <c r="BK24" s="101" t="s">
        <v>270</v>
      </c>
      <c r="BL24" s="101" t="s">
        <v>270</v>
      </c>
      <c r="BM24" s="107" t="str">
        <f t="shared" si="17"/>
        <v>Conagra Foods/Interpublic/Herdez</v>
      </c>
      <c r="BN24" s="101" t="s">
        <v>270</v>
      </c>
      <c r="BO24" s="5" t="s">
        <v>97</v>
      </c>
      <c r="BP24" s="24">
        <v>2</v>
      </c>
      <c r="BQ24" s="3" t="s">
        <v>17</v>
      </c>
      <c r="BR24" s="3" t="s">
        <v>20</v>
      </c>
      <c r="BS24" s="54" t="s">
        <v>18</v>
      </c>
      <c r="BT24" s="3" t="s">
        <v>20</v>
      </c>
      <c r="BU24" s="3" t="s">
        <v>21</v>
      </c>
      <c r="BV24" s="3"/>
      <c r="BW24" s="3"/>
      <c r="BX24" s="8" t="s">
        <v>116</v>
      </c>
      <c r="BY24" s="146"/>
    </row>
    <row r="25" spans="1:77" x14ac:dyDescent="0.25">
      <c r="A25" s="124" t="s">
        <v>71</v>
      </c>
      <c r="B25" s="124" t="s">
        <v>383</v>
      </c>
      <c r="C25" s="2" t="s">
        <v>15</v>
      </c>
      <c r="D25" s="9">
        <v>5000000</v>
      </c>
      <c r="E25" s="9">
        <v>5000000</v>
      </c>
      <c r="F25" s="30" t="s">
        <v>298</v>
      </c>
      <c r="G25" s="26" t="s">
        <v>20</v>
      </c>
      <c r="H25" s="111" t="s">
        <v>20</v>
      </c>
      <c r="I25" s="111" t="s">
        <v>20</v>
      </c>
      <c r="J25" s="110" t="s">
        <v>314</v>
      </c>
      <c r="K25" s="9">
        <v>2000000</v>
      </c>
      <c r="L25" s="9">
        <v>2000000</v>
      </c>
      <c r="M25" s="9">
        <v>810960</v>
      </c>
      <c r="N25" s="25">
        <f>+M25/L25</f>
        <v>0.40548000000000001</v>
      </c>
      <c r="O25" s="9">
        <v>1737322</v>
      </c>
      <c r="P25" s="38">
        <v>99730.31</v>
      </c>
      <c r="Q25" s="25">
        <f>+P25/L25</f>
        <v>4.9865155000000001E-2</v>
      </c>
      <c r="R25" s="9">
        <f>O25+M25-P25</f>
        <v>2448551.69</v>
      </c>
      <c r="S25" s="15">
        <v>2</v>
      </c>
      <c r="T25" s="15">
        <v>5</v>
      </c>
      <c r="U25" s="15">
        <f>P25/AR25</f>
        <v>1.1042709564464841</v>
      </c>
      <c r="V25" s="3" t="s">
        <v>20</v>
      </c>
      <c r="W25" s="15">
        <f>M25/AQ25</f>
        <v>12.64695007108997</v>
      </c>
      <c r="X25" s="9">
        <v>23717279.199999999</v>
      </c>
      <c r="Y25" s="15"/>
      <c r="Z25" s="109">
        <f t="shared" si="0"/>
        <v>0.12297808769853014</v>
      </c>
      <c r="AA25" s="15"/>
      <c r="AB25" s="15"/>
      <c r="AC25" s="15"/>
      <c r="AD25" s="15"/>
      <c r="AE25" s="4" t="s">
        <v>72</v>
      </c>
      <c r="AF25" s="25">
        <v>1</v>
      </c>
      <c r="AG25" s="35">
        <f>+X25*0.3</f>
        <v>7115183.7599999998</v>
      </c>
      <c r="AH25" s="35">
        <v>3000000</v>
      </c>
      <c r="AI25" s="35">
        <v>0</v>
      </c>
      <c r="AJ25" s="47">
        <f t="shared" si="10"/>
        <v>0</v>
      </c>
      <c r="AK25" s="47">
        <f t="shared" si="3"/>
        <v>0</v>
      </c>
      <c r="AL25" s="35">
        <f t="shared" si="4"/>
        <v>0</v>
      </c>
      <c r="AM25" s="35">
        <v>0</v>
      </c>
      <c r="AN25" s="47" t="e">
        <f t="shared" si="5"/>
        <v>#DIV/0!</v>
      </c>
      <c r="AO25" s="35">
        <v>0</v>
      </c>
      <c r="AP25" s="43"/>
      <c r="AQ25" s="3">
        <v>64122.97</v>
      </c>
      <c r="AR25" s="3">
        <f>AQ25+ROUND(AV25*(24%)/360*30,2)</f>
        <v>90313.260000000009</v>
      </c>
      <c r="AS25" s="30">
        <v>4</v>
      </c>
      <c r="AT25" s="29">
        <v>2421625.7799999998</v>
      </c>
      <c r="AU25" s="3">
        <f t="shared" si="9"/>
        <v>1112111.1244708847</v>
      </c>
      <c r="AV25" s="75">
        <v>1309514.6555291151</v>
      </c>
      <c r="AW25" s="104">
        <f t="shared" si="6"/>
        <v>0.26190293110582302</v>
      </c>
      <c r="AX25" s="117">
        <v>0</v>
      </c>
      <c r="AY25" s="95">
        <f t="shared" si="7"/>
        <v>0</v>
      </c>
      <c r="AZ25" s="117">
        <v>0</v>
      </c>
      <c r="BA25" s="95">
        <f t="shared" si="8"/>
        <v>0</v>
      </c>
      <c r="BB25" s="38">
        <v>97027.36</v>
      </c>
      <c r="BC25" s="3"/>
      <c r="BD25" s="3"/>
      <c r="BE25" s="3"/>
      <c r="BF25" s="3"/>
      <c r="BG25" s="55">
        <v>45199</v>
      </c>
      <c r="BH25" s="5" t="s">
        <v>22</v>
      </c>
      <c r="BI25" s="5"/>
      <c r="BJ25" s="5"/>
      <c r="BK25" s="5"/>
      <c r="BL25" s="5"/>
      <c r="BM25" s="5"/>
      <c r="BN25" s="5"/>
      <c r="BO25" s="18" t="s">
        <v>93</v>
      </c>
      <c r="BP25" s="24">
        <v>2</v>
      </c>
      <c r="BQ25" s="3" t="s">
        <v>41</v>
      </c>
      <c r="BR25" s="3" t="s">
        <v>20</v>
      </c>
      <c r="BS25" s="6" t="s">
        <v>61</v>
      </c>
      <c r="BT25" s="3">
        <v>2000000</v>
      </c>
      <c r="BU25" s="3" t="s">
        <v>25</v>
      </c>
      <c r="BV25" s="3" t="s">
        <v>334</v>
      </c>
      <c r="BW25" s="3" t="s">
        <v>334</v>
      </c>
      <c r="BX25" s="7" t="s">
        <v>116</v>
      </c>
      <c r="BY25" s="144"/>
    </row>
    <row r="26" spans="1:77" ht="25.5" x14ac:dyDescent="0.25">
      <c r="A26" s="127" t="s">
        <v>73</v>
      </c>
      <c r="B26" s="154" t="s">
        <v>386</v>
      </c>
      <c r="C26" s="2" t="s">
        <v>15</v>
      </c>
      <c r="D26" s="9">
        <v>5800000</v>
      </c>
      <c r="E26" s="9">
        <v>5800000</v>
      </c>
      <c r="F26" s="3" t="s">
        <v>16</v>
      </c>
      <c r="G26" s="3">
        <v>5800000</v>
      </c>
      <c r="H26" s="110">
        <v>1</v>
      </c>
      <c r="I26" s="110">
        <f t="shared" si="11"/>
        <v>1</v>
      </c>
      <c r="J26" s="110" t="s">
        <v>314</v>
      </c>
      <c r="K26" s="9" t="s">
        <v>20</v>
      </c>
      <c r="L26" s="9" t="s">
        <v>20</v>
      </c>
      <c r="M26" s="9">
        <v>0</v>
      </c>
      <c r="N26" s="3" t="s">
        <v>20</v>
      </c>
      <c r="O26" s="9">
        <v>10769154.640000001</v>
      </c>
      <c r="P26" s="3">
        <v>0</v>
      </c>
      <c r="Q26" s="3" t="s">
        <v>20</v>
      </c>
      <c r="R26" s="3" t="s">
        <v>20</v>
      </c>
      <c r="S26" s="70" t="s">
        <v>82</v>
      </c>
      <c r="T26" s="71">
        <v>1.19</v>
      </c>
      <c r="U26" s="30" t="s">
        <v>20</v>
      </c>
      <c r="V26" s="30" t="s">
        <v>20</v>
      </c>
      <c r="W26" s="30" t="s">
        <v>20</v>
      </c>
      <c r="X26" s="9">
        <v>111444409.70999998</v>
      </c>
      <c r="Y26" s="3"/>
      <c r="Z26" s="109" t="e">
        <f t="shared" si="0"/>
        <v>#DIV/0!</v>
      </c>
      <c r="AA26" s="3"/>
      <c r="AB26" s="3"/>
      <c r="AC26" s="3"/>
      <c r="AD26" s="3"/>
      <c r="AE26" s="4" t="s">
        <v>130</v>
      </c>
      <c r="AF26" s="25">
        <v>0</v>
      </c>
      <c r="AG26" s="35">
        <f>+X26*0.3</f>
        <v>33433322.912999991</v>
      </c>
      <c r="AH26" s="35">
        <v>5800000</v>
      </c>
      <c r="AI26" s="35">
        <v>8414355</v>
      </c>
      <c r="AJ26" s="47">
        <f t="shared" si="10"/>
        <v>1.4507508620689655</v>
      </c>
      <c r="AK26" s="47">
        <f t="shared" si="3"/>
        <v>0.25167570157162628</v>
      </c>
      <c r="AL26" s="47">
        <f t="shared" si="4"/>
        <v>7.5502710471487877E-2</v>
      </c>
      <c r="AM26" s="35">
        <v>8874536</v>
      </c>
      <c r="AN26" s="47">
        <f t="shared" si="5"/>
        <v>1.0546899910926031</v>
      </c>
      <c r="AO26" s="35">
        <v>180</v>
      </c>
      <c r="AP26" s="43"/>
      <c r="AQ26" s="3" t="s">
        <v>20</v>
      </c>
      <c r="AR26" s="3" t="s">
        <v>20</v>
      </c>
      <c r="AS26" s="30">
        <v>9</v>
      </c>
      <c r="AT26" s="29">
        <v>24705670.964000002</v>
      </c>
      <c r="AU26" s="3">
        <f t="shared" si="9"/>
        <v>19708583.364</v>
      </c>
      <c r="AV26" s="12">
        <v>4997087.5999999996</v>
      </c>
      <c r="AW26" s="104">
        <f t="shared" si="6"/>
        <v>0.86156682758620684</v>
      </c>
      <c r="AX26" s="117">
        <v>0</v>
      </c>
      <c r="AY26" s="95">
        <f t="shared" si="7"/>
        <v>0</v>
      </c>
      <c r="AZ26" s="117">
        <v>4997087.5999999996</v>
      </c>
      <c r="BA26" s="95">
        <f t="shared" si="8"/>
        <v>1</v>
      </c>
      <c r="BB26" s="132">
        <v>0</v>
      </c>
      <c r="BC26" s="9" t="s">
        <v>20</v>
      </c>
      <c r="BD26" s="9" t="s">
        <v>20</v>
      </c>
      <c r="BE26" s="9" t="s">
        <v>20</v>
      </c>
      <c r="BF26" s="9" t="s">
        <v>20</v>
      </c>
      <c r="BG26" s="55">
        <v>44561</v>
      </c>
      <c r="BH26" s="18" t="s">
        <v>284</v>
      </c>
      <c r="BI26" s="5" t="s">
        <v>20</v>
      </c>
      <c r="BJ26" s="5" t="e">
        <f t="shared" ref="BJ26:BJ29" si="18">90-BI26</f>
        <v>#VALUE!</v>
      </c>
      <c r="BK26" s="101" t="s">
        <v>270</v>
      </c>
      <c r="BL26" s="101" t="s">
        <v>270</v>
      </c>
      <c r="BM26" s="20" t="str">
        <f t="shared" ref="BM26:BM29" si="19">+AE26</f>
        <v>Petrofac / Perenco</v>
      </c>
      <c r="BN26" s="101" t="s">
        <v>270</v>
      </c>
      <c r="BO26" s="18" t="s">
        <v>93</v>
      </c>
      <c r="BP26" s="24">
        <v>2</v>
      </c>
      <c r="BQ26" s="3" t="s">
        <v>17</v>
      </c>
      <c r="BR26" s="3" t="s">
        <v>20</v>
      </c>
      <c r="BS26" s="6" t="s">
        <v>35</v>
      </c>
      <c r="BT26" s="3" t="s">
        <v>20</v>
      </c>
      <c r="BU26" s="3" t="s">
        <v>21</v>
      </c>
      <c r="BV26" s="3" t="s">
        <v>327</v>
      </c>
      <c r="BW26" s="3" t="s">
        <v>362</v>
      </c>
      <c r="BX26" s="8" t="s">
        <v>116</v>
      </c>
      <c r="BY26" s="146"/>
    </row>
    <row r="27" spans="1:77" ht="38.25" x14ac:dyDescent="0.25">
      <c r="A27" s="126" t="s">
        <v>74</v>
      </c>
      <c r="B27" s="124" t="s">
        <v>383</v>
      </c>
      <c r="C27" s="2" t="s">
        <v>15</v>
      </c>
      <c r="D27" s="9">
        <v>2000000</v>
      </c>
      <c r="E27" s="9">
        <v>2000000</v>
      </c>
      <c r="F27" s="3" t="s">
        <v>16</v>
      </c>
      <c r="G27" s="3">
        <v>3414000</v>
      </c>
      <c r="H27" s="110">
        <v>1.5</v>
      </c>
      <c r="I27" s="110">
        <f t="shared" si="11"/>
        <v>1.7070000000000001</v>
      </c>
      <c r="J27" s="110"/>
      <c r="K27" s="9" t="s">
        <v>20</v>
      </c>
      <c r="L27" s="9" t="s">
        <v>20</v>
      </c>
      <c r="M27" s="9" t="s">
        <v>20</v>
      </c>
      <c r="N27" s="21" t="s">
        <v>20</v>
      </c>
      <c r="O27" s="9" t="s">
        <v>20</v>
      </c>
      <c r="P27" s="3" t="s">
        <v>20</v>
      </c>
      <c r="Q27" s="21" t="s">
        <v>20</v>
      </c>
      <c r="R27" s="3" t="s">
        <v>20</v>
      </c>
      <c r="S27" s="70" t="s">
        <v>82</v>
      </c>
      <c r="T27" s="71">
        <v>1.19</v>
      </c>
      <c r="U27" s="3" t="s">
        <v>20</v>
      </c>
      <c r="V27" s="3" t="s">
        <v>20</v>
      </c>
      <c r="W27" s="30" t="s">
        <v>20</v>
      </c>
      <c r="X27" s="9"/>
      <c r="Y27" s="3"/>
      <c r="Z27" s="109" t="e">
        <f t="shared" si="0"/>
        <v>#VALUE!</v>
      </c>
      <c r="AA27" s="3"/>
      <c r="AB27" s="3"/>
      <c r="AC27" s="3"/>
      <c r="AD27" s="3"/>
      <c r="AE27" s="4" t="s">
        <v>75</v>
      </c>
      <c r="AF27" s="25">
        <v>1</v>
      </c>
      <c r="AG27" s="35">
        <v>5000000</v>
      </c>
      <c r="AH27" s="35">
        <v>5000000</v>
      </c>
      <c r="AI27" s="35">
        <v>0</v>
      </c>
      <c r="AJ27" s="47">
        <f t="shared" si="10"/>
        <v>0</v>
      </c>
      <c r="AK27" s="52">
        <f t="shared" si="3"/>
        <v>0</v>
      </c>
      <c r="AL27" s="42" t="e">
        <f t="shared" si="4"/>
        <v>#DIV/0!</v>
      </c>
      <c r="AM27" s="35">
        <v>0</v>
      </c>
      <c r="AN27" s="52" t="e">
        <f t="shared" si="5"/>
        <v>#DIV/0!</v>
      </c>
      <c r="AO27" s="35">
        <v>0</v>
      </c>
      <c r="AP27" s="43"/>
      <c r="AQ27" s="3" t="s">
        <v>20</v>
      </c>
      <c r="AR27" s="3" t="s">
        <v>20</v>
      </c>
      <c r="AS27" s="30">
        <v>1</v>
      </c>
      <c r="AT27" s="29">
        <v>426171.24</v>
      </c>
      <c r="AU27" s="21">
        <f t="shared" si="9"/>
        <v>426171.24</v>
      </c>
      <c r="AV27" s="75">
        <v>0</v>
      </c>
      <c r="AW27" s="104">
        <f t="shared" si="6"/>
        <v>0</v>
      </c>
      <c r="AX27" s="105">
        <v>0</v>
      </c>
      <c r="AY27" s="106" t="e">
        <f t="shared" si="7"/>
        <v>#DIV/0!</v>
      </c>
      <c r="AZ27" s="105">
        <v>0</v>
      </c>
      <c r="BA27" s="106" t="e">
        <f t="shared" si="8"/>
        <v>#DIV/0!</v>
      </c>
      <c r="BB27" s="12">
        <v>0</v>
      </c>
      <c r="BC27" s="41" t="s">
        <v>20</v>
      </c>
      <c r="BD27" s="41" t="s">
        <v>20</v>
      </c>
      <c r="BE27" s="41" t="s">
        <v>20</v>
      </c>
      <c r="BF27" s="41" t="s">
        <v>20</v>
      </c>
      <c r="BG27" s="55" t="s">
        <v>20</v>
      </c>
      <c r="BH27" s="18" t="s">
        <v>54</v>
      </c>
      <c r="BI27" s="5" t="s">
        <v>20</v>
      </c>
      <c r="BJ27" s="54" t="e">
        <f t="shared" si="18"/>
        <v>#VALUE!</v>
      </c>
      <c r="BK27" s="101" t="s">
        <v>270</v>
      </c>
      <c r="BL27" s="101" t="s">
        <v>270</v>
      </c>
      <c r="BM27" s="107" t="str">
        <f t="shared" si="19"/>
        <v>Fibra 1/ Farm. Ahorro / Costco</v>
      </c>
      <c r="BN27" s="101" t="s">
        <v>270</v>
      </c>
      <c r="BO27" s="5" t="s">
        <v>93</v>
      </c>
      <c r="BP27" s="24">
        <v>2</v>
      </c>
      <c r="BQ27" s="3" t="s">
        <v>17</v>
      </c>
      <c r="BR27" s="3" t="s">
        <v>20</v>
      </c>
      <c r="BS27" s="6" t="s">
        <v>61</v>
      </c>
      <c r="BT27" s="3" t="s">
        <v>20</v>
      </c>
      <c r="BU27" s="3" t="s">
        <v>20</v>
      </c>
      <c r="BV27" s="3"/>
      <c r="BW27" s="3"/>
      <c r="BX27" s="8" t="s">
        <v>116</v>
      </c>
      <c r="BY27" s="146"/>
    </row>
    <row r="28" spans="1:77" x14ac:dyDescent="0.25">
      <c r="A28" s="128" t="s">
        <v>76</v>
      </c>
      <c r="B28" s="124" t="s">
        <v>383</v>
      </c>
      <c r="C28" s="2" t="s">
        <v>15</v>
      </c>
      <c r="D28" s="9">
        <v>8000000</v>
      </c>
      <c r="E28" s="9">
        <v>8000000</v>
      </c>
      <c r="F28" s="3" t="s">
        <v>16</v>
      </c>
      <c r="G28" s="26" t="s">
        <v>20</v>
      </c>
      <c r="H28" s="111" t="s">
        <v>20</v>
      </c>
      <c r="I28" s="111" t="s">
        <v>20</v>
      </c>
      <c r="J28" s="110" t="s">
        <v>314</v>
      </c>
      <c r="K28" s="9" t="s">
        <v>20</v>
      </c>
      <c r="L28" s="9" t="s">
        <v>20</v>
      </c>
      <c r="M28" s="9">
        <v>9098940.370000001</v>
      </c>
      <c r="N28" s="3" t="s">
        <v>20</v>
      </c>
      <c r="O28" s="9" t="s">
        <v>20</v>
      </c>
      <c r="P28" s="3" t="s">
        <v>20</v>
      </c>
      <c r="Q28" s="3" t="s">
        <v>20</v>
      </c>
      <c r="R28" s="3" t="s">
        <v>20</v>
      </c>
      <c r="S28" s="70" t="s">
        <v>82</v>
      </c>
      <c r="T28" s="71">
        <v>1.19</v>
      </c>
      <c r="U28" s="30" t="s">
        <v>20</v>
      </c>
      <c r="V28" s="30" t="s">
        <v>20</v>
      </c>
      <c r="W28" s="30" t="s">
        <v>20</v>
      </c>
      <c r="X28" s="9">
        <v>100136828.76000001</v>
      </c>
      <c r="Y28" s="3"/>
      <c r="Z28" s="109" t="e">
        <f t="shared" si="0"/>
        <v>#VALUE!</v>
      </c>
      <c r="AA28" s="3"/>
      <c r="AB28" s="3"/>
      <c r="AC28" s="3"/>
      <c r="AD28" s="3"/>
      <c r="AE28" s="4" t="s">
        <v>78</v>
      </c>
      <c r="AF28" s="25">
        <v>1</v>
      </c>
      <c r="AG28" s="35">
        <v>6000000</v>
      </c>
      <c r="AH28" s="35">
        <v>6000000</v>
      </c>
      <c r="AI28" s="35">
        <v>83273</v>
      </c>
      <c r="AJ28" s="47">
        <f t="shared" si="10"/>
        <v>1.3878833333333333E-2</v>
      </c>
      <c r="AK28" s="47">
        <f t="shared" si="3"/>
        <v>1.3878833333333333E-2</v>
      </c>
      <c r="AL28" s="35">
        <f t="shared" si="4"/>
        <v>8.3159214278277283E-4</v>
      </c>
      <c r="AM28" s="35">
        <v>198</v>
      </c>
      <c r="AN28" s="47">
        <f t="shared" si="5"/>
        <v>2.3777214703445296E-3</v>
      </c>
      <c r="AO28" s="35">
        <v>180</v>
      </c>
      <c r="AP28" s="43"/>
      <c r="AQ28" s="3" t="s">
        <v>20</v>
      </c>
      <c r="AR28" s="3" t="s">
        <v>20</v>
      </c>
      <c r="AS28" s="30">
        <v>35</v>
      </c>
      <c r="AT28" s="29">
        <v>40571042.238999993</v>
      </c>
      <c r="AU28" s="3">
        <f t="shared" si="9"/>
        <v>34200221.583999991</v>
      </c>
      <c r="AV28" s="75">
        <v>6370820.6550000012</v>
      </c>
      <c r="AW28" s="104">
        <f t="shared" si="6"/>
        <v>0.79635258187500013</v>
      </c>
      <c r="AX28" s="117">
        <v>0</v>
      </c>
      <c r="AY28" s="95">
        <f t="shared" si="7"/>
        <v>0</v>
      </c>
      <c r="AZ28" s="117">
        <v>0</v>
      </c>
      <c r="BA28" s="95">
        <f t="shared" si="8"/>
        <v>0</v>
      </c>
      <c r="BB28" s="38">
        <v>531563.22</v>
      </c>
      <c r="BC28" s="9" t="s">
        <v>20</v>
      </c>
      <c r="BD28" s="9" t="s">
        <v>20</v>
      </c>
      <c r="BE28" s="9" t="s">
        <v>20</v>
      </c>
      <c r="BF28" s="9" t="s">
        <v>20</v>
      </c>
      <c r="BG28" s="55">
        <v>44681</v>
      </c>
      <c r="BH28" s="5" t="s">
        <v>22</v>
      </c>
      <c r="BI28" s="5" t="s">
        <v>20</v>
      </c>
      <c r="BJ28" s="5" t="e">
        <f t="shared" si="18"/>
        <v>#VALUE!</v>
      </c>
      <c r="BK28" s="101" t="s">
        <v>270</v>
      </c>
      <c r="BL28" s="101" t="s">
        <v>270</v>
      </c>
      <c r="BM28" s="20" t="str">
        <f t="shared" si="19"/>
        <v>Braskem</v>
      </c>
      <c r="BN28" s="101" t="s">
        <v>270</v>
      </c>
      <c r="BO28" s="5" t="s">
        <v>97</v>
      </c>
      <c r="BP28" s="24">
        <v>2</v>
      </c>
      <c r="BQ28" s="3" t="s">
        <v>17</v>
      </c>
      <c r="BR28" s="3" t="s">
        <v>20</v>
      </c>
      <c r="BS28" s="54" t="s">
        <v>18</v>
      </c>
      <c r="BT28" s="3" t="s">
        <v>20</v>
      </c>
      <c r="BU28" s="3" t="s">
        <v>21</v>
      </c>
      <c r="BV28" s="3" t="s">
        <v>336</v>
      </c>
      <c r="BW28" s="3" t="s">
        <v>368</v>
      </c>
      <c r="BX28" s="46" t="s">
        <v>116</v>
      </c>
      <c r="BY28" s="148"/>
    </row>
    <row r="29" spans="1:77" ht="38.25" x14ac:dyDescent="0.25">
      <c r="A29" s="128" t="s">
        <v>77</v>
      </c>
      <c r="B29" s="124" t="s">
        <v>383</v>
      </c>
      <c r="C29" s="2" t="s">
        <v>15</v>
      </c>
      <c r="D29" s="9">
        <v>7000000</v>
      </c>
      <c r="E29" s="9">
        <v>7000000</v>
      </c>
      <c r="F29" s="3" t="s">
        <v>16</v>
      </c>
      <c r="G29" s="26" t="s">
        <v>20</v>
      </c>
      <c r="H29" s="111" t="s">
        <v>20</v>
      </c>
      <c r="I29" s="111" t="s">
        <v>20</v>
      </c>
      <c r="J29" s="111"/>
      <c r="K29" s="9" t="s">
        <v>20</v>
      </c>
      <c r="L29" s="9" t="s">
        <v>20</v>
      </c>
      <c r="M29" s="9" t="s">
        <v>20</v>
      </c>
      <c r="N29" s="21" t="s">
        <v>20</v>
      </c>
      <c r="O29" s="9" t="s">
        <v>20</v>
      </c>
      <c r="P29" s="3" t="s">
        <v>20</v>
      </c>
      <c r="Q29" s="21" t="s">
        <v>20</v>
      </c>
      <c r="R29" s="3" t="s">
        <v>20</v>
      </c>
      <c r="S29" s="70" t="s">
        <v>82</v>
      </c>
      <c r="T29" s="71">
        <v>1.19</v>
      </c>
      <c r="U29" s="3" t="s">
        <v>20</v>
      </c>
      <c r="V29" s="3" t="s">
        <v>20</v>
      </c>
      <c r="W29" s="30" t="s">
        <v>20</v>
      </c>
      <c r="X29" s="9"/>
      <c r="Y29" s="3"/>
      <c r="Z29" s="109" t="e">
        <f t="shared" si="0"/>
        <v>#VALUE!</v>
      </c>
      <c r="AA29" s="3"/>
      <c r="AB29" s="3"/>
      <c r="AC29" s="3"/>
      <c r="AD29" s="3"/>
      <c r="AE29" s="4" t="s">
        <v>102</v>
      </c>
      <c r="AF29" s="25">
        <v>1</v>
      </c>
      <c r="AG29" s="35">
        <v>40000000</v>
      </c>
      <c r="AH29" s="35">
        <v>40000000</v>
      </c>
      <c r="AI29" s="35">
        <v>55664000</v>
      </c>
      <c r="AJ29" s="47">
        <f t="shared" si="10"/>
        <v>1.3915999999999999</v>
      </c>
      <c r="AK29" s="52">
        <f t="shared" si="3"/>
        <v>1.3915999999999999</v>
      </c>
      <c r="AL29" s="42" t="e">
        <f t="shared" si="4"/>
        <v>#DIV/0!</v>
      </c>
      <c r="AM29" s="35">
        <v>0</v>
      </c>
      <c r="AN29" s="52">
        <f t="shared" si="5"/>
        <v>0</v>
      </c>
      <c r="AO29" s="35">
        <v>0</v>
      </c>
      <c r="AP29" s="43"/>
      <c r="AQ29" s="3" t="s">
        <v>20</v>
      </c>
      <c r="AR29" s="3" t="s">
        <v>20</v>
      </c>
      <c r="AS29" s="30">
        <v>44</v>
      </c>
      <c r="AT29" s="29">
        <f>5358531.736+575568</f>
        <v>5934099.7359999996</v>
      </c>
      <c r="AU29" s="21">
        <f t="shared" si="9"/>
        <v>5934099.7359999996</v>
      </c>
      <c r="AV29" s="12">
        <v>0</v>
      </c>
      <c r="AW29" s="104">
        <f t="shared" si="6"/>
        <v>0</v>
      </c>
      <c r="AX29" s="105">
        <v>0</v>
      </c>
      <c r="AY29" s="106" t="e">
        <f t="shared" si="7"/>
        <v>#DIV/0!</v>
      </c>
      <c r="AZ29" s="105">
        <v>0</v>
      </c>
      <c r="BA29" s="106" t="e">
        <f t="shared" si="8"/>
        <v>#DIV/0!</v>
      </c>
      <c r="BB29" s="12">
        <v>0</v>
      </c>
      <c r="BC29" s="41" t="s">
        <v>20</v>
      </c>
      <c r="BD29" s="41" t="s">
        <v>20</v>
      </c>
      <c r="BE29" s="41" t="s">
        <v>20</v>
      </c>
      <c r="BF29" s="41" t="s">
        <v>20</v>
      </c>
      <c r="BG29" s="55" t="s">
        <v>20</v>
      </c>
      <c r="BH29" s="18" t="s">
        <v>54</v>
      </c>
      <c r="BI29" s="5" t="s">
        <v>20</v>
      </c>
      <c r="BJ29" s="54" t="e">
        <f t="shared" si="18"/>
        <v>#VALUE!</v>
      </c>
      <c r="BK29" s="101" t="s">
        <v>270</v>
      </c>
      <c r="BL29" s="101" t="s">
        <v>270</v>
      </c>
      <c r="BM29" s="107" t="str">
        <f t="shared" si="19"/>
        <v>Grupo Modelo/XPO/LICONSA</v>
      </c>
      <c r="BN29" s="101" t="s">
        <v>270</v>
      </c>
      <c r="BO29" s="5" t="s">
        <v>97</v>
      </c>
      <c r="BP29" s="24">
        <v>2</v>
      </c>
      <c r="BQ29" s="3" t="s">
        <v>17</v>
      </c>
      <c r="BR29" s="3" t="s">
        <v>20</v>
      </c>
      <c r="BS29" s="54" t="s">
        <v>18</v>
      </c>
      <c r="BT29" s="3" t="s">
        <v>20</v>
      </c>
      <c r="BU29" s="3" t="s">
        <v>20</v>
      </c>
      <c r="BV29" s="3"/>
      <c r="BW29" s="3"/>
      <c r="BX29" s="46" t="s">
        <v>116</v>
      </c>
      <c r="BY29" s="148"/>
    </row>
    <row r="30" spans="1:77" ht="25.5" x14ac:dyDescent="0.25">
      <c r="A30" s="128" t="s">
        <v>79</v>
      </c>
      <c r="B30" s="124" t="s">
        <v>383</v>
      </c>
      <c r="C30" s="2" t="s">
        <v>15</v>
      </c>
      <c r="D30" s="9">
        <v>5000000</v>
      </c>
      <c r="E30" s="9">
        <v>5000000</v>
      </c>
      <c r="F30" s="30" t="s">
        <v>298</v>
      </c>
      <c r="G30" s="26" t="s">
        <v>20</v>
      </c>
      <c r="H30" s="111" t="s">
        <v>20</v>
      </c>
      <c r="I30" s="111" t="s">
        <v>20</v>
      </c>
      <c r="J30" s="111"/>
      <c r="K30" s="9" t="s">
        <v>20</v>
      </c>
      <c r="L30" s="9" t="s">
        <v>20</v>
      </c>
      <c r="M30" s="9" t="s">
        <v>20</v>
      </c>
      <c r="N30" s="21" t="s">
        <v>20</v>
      </c>
      <c r="O30" s="9" t="s">
        <v>20</v>
      </c>
      <c r="P30" s="3" t="s">
        <v>20</v>
      </c>
      <c r="Q30" s="21" t="s">
        <v>20</v>
      </c>
      <c r="R30" s="3" t="s">
        <v>20</v>
      </c>
      <c r="S30" s="3" t="s">
        <v>20</v>
      </c>
      <c r="T30" s="3" t="s">
        <v>20</v>
      </c>
      <c r="U30" s="3" t="s">
        <v>20</v>
      </c>
      <c r="V30" s="3" t="s">
        <v>20</v>
      </c>
      <c r="W30" s="3" t="s">
        <v>20</v>
      </c>
      <c r="X30" s="9"/>
      <c r="Y30" s="3"/>
      <c r="Z30" s="109" t="e">
        <f t="shared" si="0"/>
        <v>#VALUE!</v>
      </c>
      <c r="AA30" s="3"/>
      <c r="AB30" s="3"/>
      <c r="AC30" s="3"/>
      <c r="AD30" s="3"/>
      <c r="AE30" s="4" t="s">
        <v>80</v>
      </c>
      <c r="AF30" s="25">
        <v>0</v>
      </c>
      <c r="AG30" s="17">
        <v>10000000</v>
      </c>
      <c r="AH30" s="17">
        <v>10000000</v>
      </c>
      <c r="AI30" s="75">
        <v>2761000</v>
      </c>
      <c r="AJ30" s="47">
        <f t="shared" si="10"/>
        <v>0.27610000000000001</v>
      </c>
      <c r="AK30" s="52">
        <f t="shared" si="3"/>
        <v>0.27610000000000001</v>
      </c>
      <c r="AL30" s="42" t="e">
        <f t="shared" si="4"/>
        <v>#DIV/0!</v>
      </c>
      <c r="AM30" s="17">
        <v>0</v>
      </c>
      <c r="AN30" s="52">
        <f t="shared" si="5"/>
        <v>0</v>
      </c>
      <c r="AO30" s="17">
        <v>0</v>
      </c>
      <c r="AP30" s="43"/>
      <c r="AQ30" s="3" t="s">
        <v>20</v>
      </c>
      <c r="AR30" s="3" t="s">
        <v>20</v>
      </c>
      <c r="AS30" s="30">
        <v>1</v>
      </c>
      <c r="AT30" s="29">
        <v>2868564.68</v>
      </c>
      <c r="AU30" s="21">
        <f t="shared" si="9"/>
        <v>2868564.68</v>
      </c>
      <c r="AV30" s="75">
        <v>0</v>
      </c>
      <c r="AW30" s="104">
        <f t="shared" si="6"/>
        <v>0</v>
      </c>
      <c r="AX30" s="105">
        <v>0</v>
      </c>
      <c r="AY30" s="106" t="e">
        <f t="shared" si="7"/>
        <v>#DIV/0!</v>
      </c>
      <c r="AZ30" s="105">
        <v>0</v>
      </c>
      <c r="BA30" s="106" t="e">
        <f t="shared" si="8"/>
        <v>#DIV/0!</v>
      </c>
      <c r="BB30" s="34">
        <v>0</v>
      </c>
      <c r="BC30" s="34"/>
      <c r="BD30" s="34"/>
      <c r="BE30" s="34"/>
      <c r="BF30" s="34"/>
      <c r="BG30" s="55" t="s">
        <v>29</v>
      </c>
      <c r="BH30" s="18" t="s">
        <v>54</v>
      </c>
      <c r="BI30" s="5"/>
      <c r="BJ30" s="5"/>
      <c r="BK30" s="5"/>
      <c r="BL30" s="5"/>
      <c r="BM30" s="5"/>
      <c r="BN30" s="5"/>
      <c r="BO30" s="5" t="s">
        <v>97</v>
      </c>
      <c r="BP30" s="24">
        <v>2</v>
      </c>
      <c r="BQ30" s="3" t="s">
        <v>17</v>
      </c>
      <c r="BR30" s="25" t="s">
        <v>28</v>
      </c>
      <c r="BS30" s="6" t="s">
        <v>61</v>
      </c>
      <c r="BT30" s="3" t="s">
        <v>20</v>
      </c>
      <c r="BU30" s="3" t="s">
        <v>20</v>
      </c>
      <c r="BV30" s="3"/>
      <c r="BW30" s="3"/>
      <c r="BX30" s="46" t="s">
        <v>116</v>
      </c>
      <c r="BY30" s="148"/>
    </row>
    <row r="31" spans="1:77" ht="25.5" x14ac:dyDescent="0.25">
      <c r="A31" s="128" t="s">
        <v>79</v>
      </c>
      <c r="B31" s="124" t="s">
        <v>383</v>
      </c>
      <c r="C31" s="23" t="s">
        <v>48</v>
      </c>
      <c r="D31" s="9">
        <v>5000000</v>
      </c>
      <c r="E31" s="9">
        <v>5000000</v>
      </c>
      <c r="F31" s="26" t="s">
        <v>16</v>
      </c>
      <c r="G31" s="26" t="s">
        <v>20</v>
      </c>
      <c r="H31" s="111" t="s">
        <v>20</v>
      </c>
      <c r="I31" s="111" t="s">
        <v>20</v>
      </c>
      <c r="J31" s="111"/>
      <c r="K31" s="9" t="s">
        <v>20</v>
      </c>
      <c r="L31" s="9" t="s">
        <v>20</v>
      </c>
      <c r="M31" s="9" t="s">
        <v>20</v>
      </c>
      <c r="N31" s="21" t="s">
        <v>20</v>
      </c>
      <c r="O31" s="9" t="s">
        <v>20</v>
      </c>
      <c r="P31" s="3" t="s">
        <v>20</v>
      </c>
      <c r="Q31" s="21" t="s">
        <v>20</v>
      </c>
      <c r="R31" s="3" t="s">
        <v>20</v>
      </c>
      <c r="S31" s="70" t="s">
        <v>82</v>
      </c>
      <c r="T31" s="71">
        <v>1.19</v>
      </c>
      <c r="U31" s="3" t="s">
        <v>20</v>
      </c>
      <c r="V31" s="3" t="s">
        <v>20</v>
      </c>
      <c r="W31" s="30" t="s">
        <v>20</v>
      </c>
      <c r="X31" s="9"/>
      <c r="Y31" s="3"/>
      <c r="Z31" s="109" t="e">
        <f t="shared" si="0"/>
        <v>#VALUE!</v>
      </c>
      <c r="AA31" s="3"/>
      <c r="AB31" s="3"/>
      <c r="AC31" s="3"/>
      <c r="AD31" s="3"/>
      <c r="AE31" s="4" t="s">
        <v>98</v>
      </c>
      <c r="AF31" s="25">
        <v>0</v>
      </c>
      <c r="AG31" s="35">
        <v>10000000</v>
      </c>
      <c r="AH31" s="35">
        <v>10000000</v>
      </c>
      <c r="AI31" s="35">
        <v>7761000</v>
      </c>
      <c r="AJ31" s="47">
        <f t="shared" si="10"/>
        <v>0.77610000000000001</v>
      </c>
      <c r="AK31" s="52">
        <f t="shared" si="3"/>
        <v>0.77610000000000001</v>
      </c>
      <c r="AL31" s="42" t="e">
        <f t="shared" si="4"/>
        <v>#DIV/0!</v>
      </c>
      <c r="AM31" s="35">
        <v>0</v>
      </c>
      <c r="AN31" s="52">
        <f t="shared" si="5"/>
        <v>0</v>
      </c>
      <c r="AO31" s="35">
        <v>0</v>
      </c>
      <c r="AP31" s="43"/>
      <c r="AQ31" s="3" t="s">
        <v>20</v>
      </c>
      <c r="AR31" s="3" t="s">
        <v>20</v>
      </c>
      <c r="AS31" s="30">
        <v>1</v>
      </c>
      <c r="AT31" s="29">
        <v>127980.85</v>
      </c>
      <c r="AU31" s="21">
        <f t="shared" si="9"/>
        <v>127980.85</v>
      </c>
      <c r="AV31" s="75">
        <v>0</v>
      </c>
      <c r="AW31" s="104">
        <f t="shared" si="6"/>
        <v>0</v>
      </c>
      <c r="AX31" s="105">
        <v>0</v>
      </c>
      <c r="AY31" s="106" t="e">
        <f t="shared" si="7"/>
        <v>#DIV/0!</v>
      </c>
      <c r="AZ31" s="105">
        <v>0</v>
      </c>
      <c r="BA31" s="106" t="e">
        <f t="shared" si="8"/>
        <v>#DIV/0!</v>
      </c>
      <c r="BB31" s="12">
        <v>0</v>
      </c>
      <c r="BC31" s="41" t="s">
        <v>20</v>
      </c>
      <c r="BD31" s="41" t="s">
        <v>20</v>
      </c>
      <c r="BE31" s="41" t="s">
        <v>20</v>
      </c>
      <c r="BF31" s="41" t="s">
        <v>20</v>
      </c>
      <c r="BG31" s="55" t="s">
        <v>20</v>
      </c>
      <c r="BH31" s="18" t="s">
        <v>54</v>
      </c>
      <c r="BI31" s="5" t="s">
        <v>20</v>
      </c>
      <c r="BJ31" s="54" t="e">
        <f>90-BI31</f>
        <v>#VALUE!</v>
      </c>
      <c r="BK31" s="101" t="s">
        <v>270</v>
      </c>
      <c r="BL31" s="101" t="s">
        <v>270</v>
      </c>
      <c r="BM31" s="107" t="str">
        <f>+AE31</f>
        <v>Nidec Automotive</v>
      </c>
      <c r="BN31" s="101" t="s">
        <v>270</v>
      </c>
      <c r="BO31" s="5" t="s">
        <v>97</v>
      </c>
      <c r="BP31" s="24">
        <v>2</v>
      </c>
      <c r="BQ31" s="3" t="s">
        <v>41</v>
      </c>
      <c r="BR31" s="3" t="s">
        <v>20</v>
      </c>
      <c r="BS31" s="54" t="s">
        <v>18</v>
      </c>
      <c r="BT31" s="3" t="s">
        <v>20</v>
      </c>
      <c r="BU31" s="3" t="s">
        <v>20</v>
      </c>
      <c r="BV31" s="3"/>
      <c r="BW31" s="3"/>
      <c r="BX31" s="46" t="s">
        <v>116</v>
      </c>
      <c r="BY31" s="148"/>
    </row>
    <row r="32" spans="1:77" ht="25.5" x14ac:dyDescent="0.25">
      <c r="A32" s="128" t="s">
        <v>86</v>
      </c>
      <c r="B32" s="124" t="s">
        <v>383</v>
      </c>
      <c r="C32" s="2" t="s">
        <v>15</v>
      </c>
      <c r="D32" s="9">
        <v>3500000</v>
      </c>
      <c r="E32" s="9">
        <v>3500000</v>
      </c>
      <c r="F32" s="30" t="s">
        <v>298</v>
      </c>
      <c r="G32" s="26" t="s">
        <v>20</v>
      </c>
      <c r="H32" s="111" t="s">
        <v>20</v>
      </c>
      <c r="I32" s="111" t="s">
        <v>20</v>
      </c>
      <c r="J32" s="110" t="s">
        <v>314</v>
      </c>
      <c r="K32" s="9">
        <v>850000</v>
      </c>
      <c r="L32" s="9">
        <v>850000</v>
      </c>
      <c r="M32" s="9">
        <v>801000</v>
      </c>
      <c r="N32" s="25">
        <f>+M32/L32</f>
        <v>0.94235294117647062</v>
      </c>
      <c r="O32" s="9">
        <f>547596.31+80302.14</f>
        <v>627898.45000000007</v>
      </c>
      <c r="P32" s="38">
        <v>607449.61</v>
      </c>
      <c r="Q32" s="25">
        <f>+P32/L32</f>
        <v>0.71464660000000002</v>
      </c>
      <c r="R32" s="33">
        <f>O32+M32-P32</f>
        <v>821448.8400000002</v>
      </c>
      <c r="S32" s="15">
        <v>2.5</v>
      </c>
      <c r="T32" s="15">
        <v>2.5</v>
      </c>
      <c r="U32" s="15">
        <f>P32/AR32</f>
        <v>1.6773550948479143</v>
      </c>
      <c r="V32" s="15">
        <f>R32/AV32</f>
        <v>0.24643465183223895</v>
      </c>
      <c r="W32" s="15">
        <f>M32/AR32</f>
        <v>2.2118072163601838</v>
      </c>
      <c r="X32" s="9">
        <v>24662761.359999999</v>
      </c>
      <c r="Y32" s="15"/>
      <c r="Z32" s="109">
        <f t="shared" si="0"/>
        <v>0.75836405742821467</v>
      </c>
      <c r="AA32" s="15"/>
      <c r="AB32" s="15"/>
      <c r="AC32" s="15"/>
      <c r="AD32" s="15"/>
      <c r="AE32" s="4" t="s">
        <v>88</v>
      </c>
      <c r="AF32" s="25">
        <v>1</v>
      </c>
      <c r="AG32" s="17">
        <v>5500000</v>
      </c>
      <c r="AH32" s="17">
        <v>5500000</v>
      </c>
      <c r="AI32" s="17">
        <v>40336</v>
      </c>
      <c r="AJ32" s="47">
        <f t="shared" si="10"/>
        <v>7.3338181818181818E-3</v>
      </c>
      <c r="AK32" s="47">
        <f t="shared" si="3"/>
        <v>7.3338181818181818E-3</v>
      </c>
      <c r="AL32" s="35">
        <f t="shared" si="4"/>
        <v>1.6355021812529107E-3</v>
      </c>
      <c r="AM32" s="17">
        <v>0</v>
      </c>
      <c r="AN32" s="47">
        <f t="shared" si="5"/>
        <v>0</v>
      </c>
      <c r="AO32" s="17">
        <v>0</v>
      </c>
      <c r="AP32" s="43"/>
      <c r="AQ32" s="3">
        <v>288813.96478916769</v>
      </c>
      <c r="AR32" s="3">
        <f>AQ32+ROUND(AV32*(26.4%)/360*30,2)</f>
        <v>362147.2947891677</v>
      </c>
      <c r="AS32" s="30">
        <v>4</v>
      </c>
      <c r="AT32" s="29">
        <v>7577627.9174700119</v>
      </c>
      <c r="AU32" s="3">
        <f t="shared" si="9"/>
        <v>4244294.5818675021</v>
      </c>
      <c r="AV32" s="75">
        <v>3333333.3356025098</v>
      </c>
      <c r="AW32" s="104">
        <f t="shared" si="6"/>
        <v>0.95238095302928849</v>
      </c>
      <c r="AX32" s="117">
        <v>0</v>
      </c>
      <c r="AY32" s="95">
        <f t="shared" si="7"/>
        <v>0</v>
      </c>
      <c r="AZ32" s="117">
        <v>0</v>
      </c>
      <c r="BA32" s="95">
        <f t="shared" si="8"/>
        <v>0</v>
      </c>
      <c r="BB32" s="38">
        <v>154000</v>
      </c>
      <c r="BC32" s="3"/>
      <c r="BD32" s="3"/>
      <c r="BE32" s="3"/>
      <c r="BF32" s="3"/>
      <c r="BG32" s="55">
        <v>45077</v>
      </c>
      <c r="BH32" s="5" t="s">
        <v>22</v>
      </c>
      <c r="BI32" s="5"/>
      <c r="BJ32" s="5"/>
      <c r="BK32" s="5"/>
      <c r="BL32" s="5"/>
      <c r="BM32" s="5"/>
      <c r="BN32" s="5"/>
      <c r="BO32" s="5" t="s">
        <v>93</v>
      </c>
      <c r="BP32" s="24">
        <v>2</v>
      </c>
      <c r="BQ32" s="3" t="s">
        <v>17</v>
      </c>
      <c r="BR32" s="3" t="s">
        <v>20</v>
      </c>
      <c r="BS32" s="24" t="s">
        <v>35</v>
      </c>
      <c r="BT32" s="3">
        <v>850000</v>
      </c>
      <c r="BU32" s="3" t="s">
        <v>21</v>
      </c>
      <c r="BV32" s="3" t="s">
        <v>347</v>
      </c>
      <c r="BW32" s="3" t="s">
        <v>363</v>
      </c>
      <c r="BX32" s="27" t="s">
        <v>116</v>
      </c>
      <c r="BY32" s="149"/>
    </row>
    <row r="33" spans="1:78" ht="38.25" x14ac:dyDescent="0.25">
      <c r="A33" s="128" t="s">
        <v>89</v>
      </c>
      <c r="B33" s="124" t="s">
        <v>383</v>
      </c>
      <c r="C33" s="2" t="s">
        <v>48</v>
      </c>
      <c r="D33" s="9">
        <v>5000000</v>
      </c>
      <c r="E33" s="9">
        <v>5000000</v>
      </c>
      <c r="F33" s="30" t="s">
        <v>298</v>
      </c>
      <c r="G33" s="26" t="s">
        <v>20</v>
      </c>
      <c r="H33" s="111" t="s">
        <v>20</v>
      </c>
      <c r="I33" s="111" t="s">
        <v>20</v>
      </c>
      <c r="J33" s="111"/>
      <c r="K33" s="9" t="s">
        <v>20</v>
      </c>
      <c r="L33" s="9" t="s">
        <v>20</v>
      </c>
      <c r="M33" s="9" t="s">
        <v>20</v>
      </c>
      <c r="N33" s="21" t="s">
        <v>20</v>
      </c>
      <c r="O33" s="9" t="s">
        <v>20</v>
      </c>
      <c r="P33" s="3" t="s">
        <v>20</v>
      </c>
      <c r="Q33" s="21" t="s">
        <v>20</v>
      </c>
      <c r="R33" s="3" t="s">
        <v>20</v>
      </c>
      <c r="S33" s="30" t="s">
        <v>20</v>
      </c>
      <c r="T33" s="30" t="s">
        <v>20</v>
      </c>
      <c r="U33" s="30" t="s">
        <v>20</v>
      </c>
      <c r="V33" s="30" t="s">
        <v>20</v>
      </c>
      <c r="W33" s="30" t="s">
        <v>20</v>
      </c>
      <c r="X33" s="9"/>
      <c r="Y33" s="3"/>
      <c r="Z33" s="109" t="e">
        <f t="shared" si="0"/>
        <v>#VALUE!</v>
      </c>
      <c r="AA33" s="3"/>
      <c r="AB33" s="3"/>
      <c r="AC33" s="3"/>
      <c r="AD33" s="3"/>
      <c r="AE33" s="4" t="s">
        <v>95</v>
      </c>
      <c r="AF33" s="25">
        <v>1</v>
      </c>
      <c r="AG33" s="17">
        <v>20000000</v>
      </c>
      <c r="AH33" s="17">
        <v>20000000</v>
      </c>
      <c r="AI33" s="75">
        <v>14000000</v>
      </c>
      <c r="AJ33" s="47">
        <f t="shared" si="10"/>
        <v>0.7</v>
      </c>
      <c r="AK33" s="52">
        <f t="shared" si="3"/>
        <v>0.7</v>
      </c>
      <c r="AL33" s="42" t="e">
        <f t="shared" si="4"/>
        <v>#DIV/0!</v>
      </c>
      <c r="AM33" s="17">
        <v>0</v>
      </c>
      <c r="AN33" s="52">
        <f t="shared" si="5"/>
        <v>0</v>
      </c>
      <c r="AO33" s="17">
        <v>0</v>
      </c>
      <c r="AP33" s="43"/>
      <c r="AQ33" s="30" t="s">
        <v>20</v>
      </c>
      <c r="AR33" s="30" t="s">
        <v>20</v>
      </c>
      <c r="AS33" s="30">
        <v>1</v>
      </c>
      <c r="AT33" s="29">
        <v>4487107.8600000003</v>
      </c>
      <c r="AU33" s="21">
        <f t="shared" si="9"/>
        <v>4487107.8600000003</v>
      </c>
      <c r="AV33" s="75">
        <v>0</v>
      </c>
      <c r="AW33" s="104">
        <f t="shared" si="6"/>
        <v>0</v>
      </c>
      <c r="AX33" s="105">
        <v>0</v>
      </c>
      <c r="AY33" s="106" t="e">
        <f t="shared" si="7"/>
        <v>#DIV/0!</v>
      </c>
      <c r="AZ33" s="105">
        <v>0</v>
      </c>
      <c r="BA33" s="106" t="e">
        <f t="shared" si="8"/>
        <v>#DIV/0!</v>
      </c>
      <c r="BB33" s="34">
        <v>0</v>
      </c>
      <c r="BC33" s="34"/>
      <c r="BD33" s="34"/>
      <c r="BE33" s="34"/>
      <c r="BF33" s="34"/>
      <c r="BG33" s="55" t="s">
        <v>29</v>
      </c>
      <c r="BH33" s="18" t="s">
        <v>54</v>
      </c>
      <c r="BI33" s="5"/>
      <c r="BJ33" s="5"/>
      <c r="BK33" s="5"/>
      <c r="BL33" s="5"/>
      <c r="BM33" s="5"/>
      <c r="BN33" s="5"/>
      <c r="BO33" s="5" t="s">
        <v>97</v>
      </c>
      <c r="BP33" s="24">
        <v>2</v>
      </c>
      <c r="BQ33" s="3" t="s">
        <v>17</v>
      </c>
      <c r="BR33" s="25" t="s">
        <v>28</v>
      </c>
      <c r="BS33" s="24" t="s">
        <v>61</v>
      </c>
      <c r="BT33" s="3" t="s">
        <v>20</v>
      </c>
      <c r="BU33" s="3" t="s">
        <v>20</v>
      </c>
      <c r="BV33" s="3"/>
      <c r="BW33" s="3"/>
      <c r="BX33" s="46" t="s">
        <v>116</v>
      </c>
      <c r="BY33" s="148"/>
    </row>
    <row r="34" spans="1:78" ht="76.5" x14ac:dyDescent="0.25">
      <c r="A34" s="128" t="s">
        <v>90</v>
      </c>
      <c r="B34" s="124" t="s">
        <v>383</v>
      </c>
      <c r="C34" s="2" t="s">
        <v>15</v>
      </c>
      <c r="D34" s="9">
        <v>2000000</v>
      </c>
      <c r="E34" s="9">
        <v>2000000</v>
      </c>
      <c r="F34" s="3" t="s">
        <v>16</v>
      </c>
      <c r="G34" s="26" t="s">
        <v>20</v>
      </c>
      <c r="H34" s="111" t="s">
        <v>20</v>
      </c>
      <c r="I34" s="111" t="s">
        <v>20</v>
      </c>
      <c r="J34" s="110" t="s">
        <v>314</v>
      </c>
      <c r="K34" s="9" t="s">
        <v>20</v>
      </c>
      <c r="L34" s="9" t="s">
        <v>20</v>
      </c>
      <c r="M34" s="9">
        <v>602914.4</v>
      </c>
      <c r="N34" s="3" t="s">
        <v>20</v>
      </c>
      <c r="O34" s="9" t="s">
        <v>20</v>
      </c>
      <c r="P34" s="3" t="s">
        <v>20</v>
      </c>
      <c r="Q34" s="3" t="s">
        <v>20</v>
      </c>
      <c r="R34" s="3" t="s">
        <v>20</v>
      </c>
      <c r="S34" s="70" t="s">
        <v>82</v>
      </c>
      <c r="T34" s="71">
        <v>1.19</v>
      </c>
      <c r="U34" s="30" t="s">
        <v>20</v>
      </c>
      <c r="V34" s="30" t="s">
        <v>20</v>
      </c>
      <c r="W34" s="30" t="s">
        <v>20</v>
      </c>
      <c r="X34" s="9">
        <v>11157017.699999999</v>
      </c>
      <c r="Y34" s="3"/>
      <c r="Z34" s="109" t="e">
        <f t="shared" si="0"/>
        <v>#VALUE!</v>
      </c>
      <c r="AA34" s="3"/>
      <c r="AB34" s="3"/>
      <c r="AC34" s="3"/>
      <c r="AD34" s="3"/>
      <c r="AE34" s="4" t="s">
        <v>94</v>
      </c>
      <c r="AF34" s="25">
        <v>1</v>
      </c>
      <c r="AG34" s="35">
        <v>3000000</v>
      </c>
      <c r="AH34" s="35">
        <v>3000000</v>
      </c>
      <c r="AI34" s="35">
        <v>2287125</v>
      </c>
      <c r="AJ34" s="47">
        <f t="shared" si="10"/>
        <v>0.76237500000000002</v>
      </c>
      <c r="AK34" s="47">
        <f t="shared" si="3"/>
        <v>0.76237500000000002</v>
      </c>
      <c r="AL34" s="35">
        <f t="shared" si="4"/>
        <v>0.20499429699748528</v>
      </c>
      <c r="AM34" s="35">
        <v>0</v>
      </c>
      <c r="AN34" s="47">
        <f t="shared" si="5"/>
        <v>0</v>
      </c>
      <c r="AO34" s="35">
        <v>0</v>
      </c>
      <c r="AP34" s="43"/>
      <c r="AQ34" s="3" t="s">
        <v>20</v>
      </c>
      <c r="AR34" s="3" t="s">
        <v>20</v>
      </c>
      <c r="AS34" s="30">
        <v>20</v>
      </c>
      <c r="AT34" s="29">
        <v>9013488.0370000005</v>
      </c>
      <c r="AU34" s="3">
        <f t="shared" si="9"/>
        <v>8275052.4309999999</v>
      </c>
      <c r="AV34" s="75">
        <v>738435.60600000015</v>
      </c>
      <c r="AW34" s="104">
        <f t="shared" si="6"/>
        <v>0.36921780300000007</v>
      </c>
      <c r="AX34" s="117">
        <v>0</v>
      </c>
      <c r="AY34" s="95">
        <f t="shared" si="7"/>
        <v>0</v>
      </c>
      <c r="AZ34" s="117">
        <v>0</v>
      </c>
      <c r="BA34" s="95">
        <f t="shared" si="8"/>
        <v>0</v>
      </c>
      <c r="BB34" s="38">
        <v>110103.26</v>
      </c>
      <c r="BC34" s="9" t="s">
        <v>20</v>
      </c>
      <c r="BD34" s="9" t="s">
        <v>20</v>
      </c>
      <c r="BE34" s="9" t="s">
        <v>20</v>
      </c>
      <c r="BF34" s="9" t="s">
        <v>20</v>
      </c>
      <c r="BG34" s="55">
        <v>44742</v>
      </c>
      <c r="BH34" s="5" t="s">
        <v>22</v>
      </c>
      <c r="BI34" s="5" t="s">
        <v>20</v>
      </c>
      <c r="BJ34" s="5" t="e">
        <f>90-BI34</f>
        <v>#VALUE!</v>
      </c>
      <c r="BK34" s="101" t="s">
        <v>270</v>
      </c>
      <c r="BL34" s="101" t="s">
        <v>270</v>
      </c>
      <c r="BM34" s="20" t="str">
        <f>+AE34</f>
        <v>Hospitales Angeles/Cardiac &amp; Vascular/ Médica Diart.</v>
      </c>
      <c r="BN34" s="101" t="s">
        <v>270</v>
      </c>
      <c r="BO34" s="5" t="s">
        <v>97</v>
      </c>
      <c r="BP34" s="24">
        <v>2</v>
      </c>
      <c r="BQ34" s="3" t="s">
        <v>17</v>
      </c>
      <c r="BR34" s="3" t="s">
        <v>20</v>
      </c>
      <c r="BS34" s="54" t="s">
        <v>18</v>
      </c>
      <c r="BT34" s="3" t="s">
        <v>20</v>
      </c>
      <c r="BU34" s="3" t="s">
        <v>21</v>
      </c>
      <c r="BV34" s="3" t="s">
        <v>337</v>
      </c>
      <c r="BW34" s="3" t="s">
        <v>369</v>
      </c>
      <c r="BX34" s="46" t="s">
        <v>116</v>
      </c>
      <c r="BY34" s="148"/>
    </row>
    <row r="35" spans="1:78" ht="38.25" x14ac:dyDescent="0.25">
      <c r="A35" s="128" t="s">
        <v>91</v>
      </c>
      <c r="B35" s="124" t="s">
        <v>383</v>
      </c>
      <c r="C35" s="2" t="s">
        <v>15</v>
      </c>
      <c r="D35" s="9">
        <v>2000000</v>
      </c>
      <c r="E35" s="9">
        <v>2000000</v>
      </c>
      <c r="F35" s="30" t="s">
        <v>298</v>
      </c>
      <c r="G35" s="3">
        <v>1950000</v>
      </c>
      <c r="H35" s="110">
        <v>1</v>
      </c>
      <c r="I35" s="110">
        <f t="shared" si="11"/>
        <v>0.97499999999999998</v>
      </c>
      <c r="J35" s="110" t="s">
        <v>314</v>
      </c>
      <c r="K35" s="9">
        <v>394000</v>
      </c>
      <c r="L35" s="9">
        <v>394000</v>
      </c>
      <c r="M35" s="9">
        <v>1728270.1800000002</v>
      </c>
      <c r="N35" s="25">
        <f t="shared" ref="N35:N38" si="20">+M35/L35</f>
        <v>4.3864725380710663</v>
      </c>
      <c r="O35" s="9">
        <f>1310233+1728270</f>
        <v>3038503</v>
      </c>
      <c r="P35" s="33">
        <v>24220.21</v>
      </c>
      <c r="Q35" s="25">
        <f t="shared" ref="Q35:Q38" si="21">+P35/L35</f>
        <v>6.1472614213197968E-2</v>
      </c>
      <c r="R35" s="33">
        <f>O35+M35-P35</f>
        <v>4742552.97</v>
      </c>
      <c r="S35" s="15">
        <v>3</v>
      </c>
      <c r="T35" s="15">
        <v>3.7</v>
      </c>
      <c r="U35" s="15">
        <f t="shared" ref="U35:U38" si="22">P35/AR35</f>
        <v>0.17826816645933355</v>
      </c>
      <c r="V35" s="15">
        <f>R35/AV35</f>
        <v>3.5569147052510695</v>
      </c>
      <c r="W35" s="15">
        <f>M35/AR35</f>
        <v>12.720598051583467</v>
      </c>
      <c r="X35" s="9">
        <v>11088000.359999999</v>
      </c>
      <c r="Y35" s="15"/>
      <c r="Z35" s="109">
        <f t="shared" si="0"/>
        <v>1.4014134063228469E-2</v>
      </c>
      <c r="AA35" s="15"/>
      <c r="AB35" s="15"/>
      <c r="AC35" s="15"/>
      <c r="AD35" s="15"/>
      <c r="AE35" s="4" t="s">
        <v>96</v>
      </c>
      <c r="AF35" s="25">
        <v>0</v>
      </c>
      <c r="AG35" s="17">
        <f>+X35*0.3</f>
        <v>3326400.1079999995</v>
      </c>
      <c r="AH35" s="17">
        <v>2500000</v>
      </c>
      <c r="AI35" s="17">
        <v>457</v>
      </c>
      <c r="AJ35" s="47">
        <f t="shared" si="10"/>
        <v>1.828E-4</v>
      </c>
      <c r="AK35" s="47">
        <f t="shared" si="3"/>
        <v>1.3738575792518584E-4</v>
      </c>
      <c r="AL35" s="35">
        <f t="shared" si="4"/>
        <v>4.1215727377555754E-5</v>
      </c>
      <c r="AM35" s="17">
        <v>457</v>
      </c>
      <c r="AN35" s="47">
        <f t="shared" si="5"/>
        <v>1</v>
      </c>
      <c r="AO35" s="17">
        <v>30</v>
      </c>
      <c r="AP35" s="43"/>
      <c r="AQ35" s="3">
        <v>105197.23930612451</v>
      </c>
      <c r="AR35" s="3">
        <f>AQ35+ROUND(AV35*(27.6%)/360*30,2)</f>
        <v>135863.90930612449</v>
      </c>
      <c r="AS35" s="30">
        <v>3</v>
      </c>
      <c r="AT35" s="29">
        <v>3299539.2016734942</v>
      </c>
      <c r="AU35" s="3">
        <f t="shared" si="9"/>
        <v>1966205.86</v>
      </c>
      <c r="AV35" s="75">
        <v>1333333.3416734941</v>
      </c>
      <c r="AW35" s="104">
        <f t="shared" si="6"/>
        <v>0.66666667083674702</v>
      </c>
      <c r="AX35" s="117">
        <v>0</v>
      </c>
      <c r="AY35" s="95">
        <f t="shared" si="7"/>
        <v>0</v>
      </c>
      <c r="AZ35" s="117">
        <v>0</v>
      </c>
      <c r="BA35" s="95">
        <f t="shared" si="8"/>
        <v>0</v>
      </c>
      <c r="BB35" s="38">
        <v>82778.81</v>
      </c>
      <c r="BC35" s="3"/>
      <c r="BD35" s="3"/>
      <c r="BE35" s="3"/>
      <c r="BF35" s="3"/>
      <c r="BG35" s="55">
        <v>45199</v>
      </c>
      <c r="BH35" s="5" t="s">
        <v>22</v>
      </c>
      <c r="BI35" s="5"/>
      <c r="BJ35" s="5"/>
      <c r="BK35" s="5"/>
      <c r="BL35" s="5"/>
      <c r="BM35" s="5"/>
      <c r="BN35" s="5"/>
      <c r="BO35" s="5" t="s">
        <v>93</v>
      </c>
      <c r="BP35" s="24">
        <v>1</v>
      </c>
      <c r="BQ35" s="3" t="s">
        <v>17</v>
      </c>
      <c r="BR35" s="3">
        <v>4728000</v>
      </c>
      <c r="BS35" s="24" t="s">
        <v>61</v>
      </c>
      <c r="BT35" s="9">
        <v>394000</v>
      </c>
      <c r="BU35" s="3" t="s">
        <v>21</v>
      </c>
      <c r="BV35" s="3" t="s">
        <v>327</v>
      </c>
      <c r="BW35" s="3" t="s">
        <v>362</v>
      </c>
      <c r="BX35" s="46" t="s">
        <v>116</v>
      </c>
      <c r="BY35" s="148"/>
    </row>
    <row r="36" spans="1:78" ht="63.75" x14ac:dyDescent="0.25">
      <c r="A36" s="128" t="s">
        <v>87</v>
      </c>
      <c r="B36" s="124" t="s">
        <v>383</v>
      </c>
      <c r="C36" s="2" t="s">
        <v>15</v>
      </c>
      <c r="D36" s="9">
        <v>1500000</v>
      </c>
      <c r="E36" s="9">
        <v>1500000</v>
      </c>
      <c r="F36" s="30" t="s">
        <v>298</v>
      </c>
      <c r="G36" s="3">
        <v>1822000</v>
      </c>
      <c r="H36" s="110">
        <v>1</v>
      </c>
      <c r="I36" s="110">
        <f t="shared" si="11"/>
        <v>1.2146666666666666</v>
      </c>
      <c r="J36" s="110"/>
      <c r="K36" s="9">
        <v>900000</v>
      </c>
      <c r="L36" s="9">
        <v>900000</v>
      </c>
      <c r="M36" s="9">
        <v>1345207.27</v>
      </c>
      <c r="N36" s="25">
        <f t="shared" si="20"/>
        <v>1.4946747444444444</v>
      </c>
      <c r="O36" s="9">
        <f>1309139.25</f>
        <v>1309139.25</v>
      </c>
      <c r="P36" s="33">
        <v>0</v>
      </c>
      <c r="Q36" s="25">
        <f t="shared" si="21"/>
        <v>0</v>
      </c>
      <c r="R36" s="33">
        <f>O36+M36-P36</f>
        <v>2654346.52</v>
      </c>
      <c r="S36" s="15">
        <v>3</v>
      </c>
      <c r="T36" s="15">
        <v>6.2</v>
      </c>
      <c r="U36" s="15">
        <f t="shared" si="22"/>
        <v>0</v>
      </c>
      <c r="V36" s="15" t="e">
        <f>R36/AV36</f>
        <v>#DIV/0!</v>
      </c>
      <c r="W36" s="15">
        <f>M36/AQ36</f>
        <v>9.2772915172413786</v>
      </c>
      <c r="X36" s="9"/>
      <c r="Y36" s="15"/>
      <c r="Z36" s="109">
        <f t="shared" si="0"/>
        <v>0</v>
      </c>
      <c r="AA36" s="15"/>
      <c r="AB36" s="15"/>
      <c r="AC36" s="15"/>
      <c r="AD36" s="15"/>
      <c r="AE36" s="4" t="s">
        <v>154</v>
      </c>
      <c r="AF36" s="25">
        <v>0</v>
      </c>
      <c r="AG36" s="17">
        <v>2000000</v>
      </c>
      <c r="AH36" s="17">
        <v>2000000</v>
      </c>
      <c r="AI36" s="75">
        <v>2525000</v>
      </c>
      <c r="AJ36" s="47">
        <f t="shared" si="10"/>
        <v>1.2625</v>
      </c>
      <c r="AK36" s="52">
        <f t="shared" si="3"/>
        <v>1.2625</v>
      </c>
      <c r="AL36" s="42" t="e">
        <f t="shared" si="4"/>
        <v>#DIV/0!</v>
      </c>
      <c r="AM36" s="17">
        <v>0</v>
      </c>
      <c r="AN36" s="52">
        <f t="shared" si="5"/>
        <v>0</v>
      </c>
      <c r="AO36" s="17">
        <v>0</v>
      </c>
      <c r="AP36" s="43"/>
      <c r="AQ36" s="3">
        <v>145000</v>
      </c>
      <c r="AR36" s="3">
        <f>AQ36+ROUND(AV36*(27.6%)/360*30,2)</f>
        <v>145000</v>
      </c>
      <c r="AS36" s="30">
        <v>1</v>
      </c>
      <c r="AT36" s="29">
        <v>1500000</v>
      </c>
      <c r="AU36" s="21">
        <f t="shared" si="9"/>
        <v>1500000</v>
      </c>
      <c r="AV36" s="75">
        <v>0</v>
      </c>
      <c r="AW36" s="104">
        <f t="shared" si="6"/>
        <v>0</v>
      </c>
      <c r="AX36" s="105">
        <v>0</v>
      </c>
      <c r="AY36" s="106" t="e">
        <f t="shared" si="7"/>
        <v>#DIV/0!</v>
      </c>
      <c r="AZ36" s="105">
        <v>0</v>
      </c>
      <c r="BA36" s="106" t="e">
        <f t="shared" si="8"/>
        <v>#DIV/0!</v>
      </c>
      <c r="BB36" s="3">
        <v>0</v>
      </c>
      <c r="BC36" s="3"/>
      <c r="BD36" s="3"/>
      <c r="BE36" s="3"/>
      <c r="BF36" s="3"/>
      <c r="BG36" s="55" t="s">
        <v>20</v>
      </c>
      <c r="BH36" s="18" t="s">
        <v>54</v>
      </c>
      <c r="BI36" s="5"/>
      <c r="BJ36" s="5"/>
      <c r="BK36" s="5"/>
      <c r="BL36" s="5"/>
      <c r="BM36" s="5"/>
      <c r="BN36" s="5"/>
      <c r="BO36" s="20" t="s">
        <v>93</v>
      </c>
      <c r="BP36" s="24">
        <v>1</v>
      </c>
      <c r="BQ36" s="3" t="s">
        <v>17</v>
      </c>
      <c r="BR36" s="3" t="s">
        <v>20</v>
      </c>
      <c r="BS36" s="6" t="s">
        <v>61</v>
      </c>
      <c r="BT36" s="33">
        <v>900000</v>
      </c>
      <c r="BU36" s="3" t="s">
        <v>21</v>
      </c>
      <c r="BV36" s="3"/>
      <c r="BW36" s="3"/>
      <c r="BX36" s="46" t="s">
        <v>116</v>
      </c>
      <c r="BY36" s="148"/>
    </row>
    <row r="37" spans="1:78" ht="26.25" customHeight="1" x14ac:dyDescent="0.25">
      <c r="A37" s="128" t="s">
        <v>99</v>
      </c>
      <c r="B37" s="124" t="s">
        <v>383</v>
      </c>
      <c r="C37" s="2" t="s">
        <v>15</v>
      </c>
      <c r="D37" s="9">
        <v>7800000</v>
      </c>
      <c r="E37" s="9">
        <v>7800000</v>
      </c>
      <c r="F37" s="3" t="s">
        <v>100</v>
      </c>
      <c r="G37" s="3">
        <v>8630000</v>
      </c>
      <c r="H37" s="110">
        <v>1</v>
      </c>
      <c r="I37" s="110">
        <f t="shared" si="11"/>
        <v>1.1064102564102565</v>
      </c>
      <c r="J37" s="110"/>
      <c r="K37" s="9">
        <v>6000000</v>
      </c>
      <c r="L37" s="9">
        <v>6000000</v>
      </c>
      <c r="M37" s="9">
        <v>30175479.330000006</v>
      </c>
      <c r="N37" s="25">
        <f t="shared" si="20"/>
        <v>5.0292465550000012</v>
      </c>
      <c r="O37" s="9">
        <f>2466686.43+958935.66</f>
        <v>3425622.0900000003</v>
      </c>
      <c r="P37" s="33">
        <v>1439463</v>
      </c>
      <c r="Q37" s="25">
        <f t="shared" si="21"/>
        <v>0.2399105</v>
      </c>
      <c r="R37" s="33">
        <f>O37+M37-P37</f>
        <v>32161638.420000009</v>
      </c>
      <c r="S37" s="15">
        <v>3</v>
      </c>
      <c r="T37" s="15">
        <v>5</v>
      </c>
      <c r="U37" s="15" t="e">
        <f t="shared" si="22"/>
        <v>#DIV/0!</v>
      </c>
      <c r="V37" s="15" t="e">
        <f>R37/AV37</f>
        <v>#DIV/0!</v>
      </c>
      <c r="W37" s="15" t="e">
        <f>M37/AR37</f>
        <v>#DIV/0!</v>
      </c>
      <c r="X37" s="9"/>
      <c r="Y37" s="15"/>
      <c r="Z37" s="109">
        <f t="shared" si="0"/>
        <v>4.7703069908450718E-2</v>
      </c>
      <c r="AA37" s="15"/>
      <c r="AB37" s="15"/>
      <c r="AC37" s="15"/>
      <c r="AD37" s="15"/>
      <c r="AE37" s="4" t="s">
        <v>133</v>
      </c>
      <c r="AF37" s="25">
        <v>0</v>
      </c>
      <c r="AG37" s="17">
        <v>21000000</v>
      </c>
      <c r="AH37" s="17">
        <v>21000000</v>
      </c>
      <c r="AI37" s="75">
        <v>6782000</v>
      </c>
      <c r="AJ37" s="47">
        <f t="shared" si="10"/>
        <v>0.32295238095238094</v>
      </c>
      <c r="AK37" s="47">
        <f t="shared" si="3"/>
        <v>0.32295238095238094</v>
      </c>
      <c r="AL37" s="35" t="e">
        <f t="shared" si="4"/>
        <v>#DIV/0!</v>
      </c>
      <c r="AM37" s="17">
        <v>4673000</v>
      </c>
      <c r="AN37" s="47">
        <f t="shared" si="5"/>
        <v>0.68902978472427012</v>
      </c>
      <c r="AO37" s="17">
        <v>388</v>
      </c>
      <c r="AP37" s="43"/>
      <c r="AQ37" s="3">
        <v>0</v>
      </c>
      <c r="AR37" s="3">
        <f>AQ37+ROUND(AV37*(27.6%)/360*30,2)</f>
        <v>0</v>
      </c>
      <c r="AS37" s="30">
        <v>1</v>
      </c>
      <c r="AT37" s="29">
        <v>7800000</v>
      </c>
      <c r="AU37" s="3">
        <f t="shared" si="9"/>
        <v>7800000</v>
      </c>
      <c r="AV37" s="75">
        <v>0</v>
      </c>
      <c r="AW37" s="104">
        <f t="shared" si="6"/>
        <v>0</v>
      </c>
      <c r="AX37" s="117">
        <v>0</v>
      </c>
      <c r="AY37" s="95" t="e">
        <f t="shared" si="7"/>
        <v>#DIV/0!</v>
      </c>
      <c r="AZ37" s="117">
        <v>0</v>
      </c>
      <c r="BA37" s="95" t="e">
        <f t="shared" si="8"/>
        <v>#DIV/0!</v>
      </c>
      <c r="BB37" s="3">
        <v>0</v>
      </c>
      <c r="BC37" s="3"/>
      <c r="BD37" s="3"/>
      <c r="BE37" s="3"/>
      <c r="BF37" s="3"/>
      <c r="BG37" s="55">
        <v>44561</v>
      </c>
      <c r="BH37" s="5" t="s">
        <v>283</v>
      </c>
      <c r="BI37" s="5"/>
      <c r="BJ37" s="5"/>
      <c r="BK37" s="5"/>
      <c r="BL37" s="5"/>
      <c r="BM37" s="5"/>
      <c r="BN37" s="5"/>
      <c r="BO37" s="5" t="s">
        <v>97</v>
      </c>
      <c r="BP37" s="24">
        <v>2</v>
      </c>
      <c r="BQ37" s="3" t="s">
        <v>17</v>
      </c>
      <c r="BR37" s="33">
        <v>80000000</v>
      </c>
      <c r="BS37" s="6" t="s">
        <v>61</v>
      </c>
      <c r="BT37" s="33">
        <v>6000000</v>
      </c>
      <c r="BU37" s="3" t="s">
        <v>127</v>
      </c>
      <c r="BV37" s="3"/>
      <c r="BW37" s="3"/>
      <c r="BX37" s="46" t="s">
        <v>119</v>
      </c>
      <c r="BY37" s="148"/>
    </row>
    <row r="38" spans="1:78" ht="26.25" customHeight="1" x14ac:dyDescent="0.25">
      <c r="A38" s="131" t="s">
        <v>101</v>
      </c>
      <c r="B38" s="154" t="s">
        <v>385</v>
      </c>
      <c r="C38" s="2" t="s">
        <v>15</v>
      </c>
      <c r="D38" s="9">
        <v>2000000</v>
      </c>
      <c r="E38" s="9">
        <v>2000000</v>
      </c>
      <c r="F38" s="30" t="s">
        <v>298</v>
      </c>
      <c r="G38" s="26" t="s">
        <v>20</v>
      </c>
      <c r="H38" s="111" t="s">
        <v>20</v>
      </c>
      <c r="I38" s="111" t="s">
        <v>20</v>
      </c>
      <c r="J38" s="110" t="s">
        <v>314</v>
      </c>
      <c r="K38" s="9">
        <v>900000</v>
      </c>
      <c r="L38" s="9">
        <v>0</v>
      </c>
      <c r="M38" s="9">
        <v>150000</v>
      </c>
      <c r="N38" s="25" t="e">
        <f t="shared" si="20"/>
        <v>#DIV/0!</v>
      </c>
      <c r="O38" s="9">
        <v>0</v>
      </c>
      <c r="P38" s="33">
        <v>150000</v>
      </c>
      <c r="Q38" s="25" t="e">
        <f t="shared" si="21"/>
        <v>#DIV/0!</v>
      </c>
      <c r="R38" s="33">
        <f>O38+M38-P38</f>
        <v>0</v>
      </c>
      <c r="S38" s="15">
        <v>3</v>
      </c>
      <c r="T38" s="15">
        <v>3</v>
      </c>
      <c r="U38" s="15">
        <f t="shared" si="22"/>
        <v>0.7288076226280773</v>
      </c>
      <c r="V38" s="15">
        <f>R38/AV38</f>
        <v>0</v>
      </c>
      <c r="W38" s="15">
        <f>M38/AR38</f>
        <v>0.7288076226280773</v>
      </c>
      <c r="X38" s="9">
        <v>18635534.350000001</v>
      </c>
      <c r="Y38" s="15"/>
      <c r="Z38" s="109">
        <f t="shared" si="0"/>
        <v>1</v>
      </c>
      <c r="AA38" s="15"/>
      <c r="AB38" s="15"/>
      <c r="AC38" s="15"/>
      <c r="AD38" s="15"/>
      <c r="AE38" s="4" t="s">
        <v>120</v>
      </c>
      <c r="AF38" s="25">
        <v>0.25</v>
      </c>
      <c r="AG38" s="17">
        <f>+X38*0.3</f>
        <v>5590660.3050000006</v>
      </c>
      <c r="AH38" s="17">
        <v>6700000</v>
      </c>
      <c r="AI38" s="17">
        <v>3717102</v>
      </c>
      <c r="AJ38" s="47">
        <f t="shared" si="10"/>
        <v>0.55479134328358204</v>
      </c>
      <c r="AK38" s="47">
        <f t="shared" si="3"/>
        <v>0.66487709809083084</v>
      </c>
      <c r="AL38" s="35">
        <f t="shared" si="4"/>
        <v>0.19946312942724928</v>
      </c>
      <c r="AM38" s="17">
        <v>3309878</v>
      </c>
      <c r="AN38" s="47">
        <f t="shared" si="5"/>
        <v>0.89044583656838039</v>
      </c>
      <c r="AO38" s="17">
        <v>180</v>
      </c>
      <c r="AP38" s="43"/>
      <c r="AQ38" s="3">
        <v>166666.67000000001</v>
      </c>
      <c r="AR38" s="3">
        <f>AQ38+ROUND(AV38*(27.6%)/360*30,2)</f>
        <v>205815.63</v>
      </c>
      <c r="AS38" s="30">
        <v>1</v>
      </c>
      <c r="AT38" s="29">
        <v>2000000</v>
      </c>
      <c r="AU38" s="3">
        <f t="shared" si="9"/>
        <v>297871.41999999993</v>
      </c>
      <c r="AV38" s="75">
        <v>1702128.58</v>
      </c>
      <c r="AW38" s="104">
        <f t="shared" si="6"/>
        <v>0.85106429000000006</v>
      </c>
      <c r="AX38" s="117">
        <v>0</v>
      </c>
      <c r="AY38" s="95">
        <f t="shared" si="7"/>
        <v>0</v>
      </c>
      <c r="AZ38" s="117">
        <v>0</v>
      </c>
      <c r="BA38" s="95">
        <f t="shared" si="8"/>
        <v>0</v>
      </c>
      <c r="BB38" s="38">
        <v>54630.76</v>
      </c>
      <c r="BC38" s="3"/>
      <c r="BD38" s="3"/>
      <c r="BE38" s="3"/>
      <c r="BF38" s="3"/>
      <c r="BG38" s="55">
        <v>45382</v>
      </c>
      <c r="BH38" s="5" t="s">
        <v>22</v>
      </c>
      <c r="BI38" s="5"/>
      <c r="BJ38" s="5"/>
      <c r="BK38" s="5"/>
      <c r="BL38" s="5"/>
      <c r="BM38" s="5"/>
      <c r="BN38" s="5"/>
      <c r="BO38" s="20" t="s">
        <v>93</v>
      </c>
      <c r="BP38" s="24">
        <v>1</v>
      </c>
      <c r="BQ38" s="3" t="s">
        <v>17</v>
      </c>
      <c r="BR38" s="3" t="s">
        <v>20</v>
      </c>
      <c r="BS38" s="6" t="s">
        <v>61</v>
      </c>
      <c r="BT38" s="3">
        <v>900000</v>
      </c>
      <c r="BU38" s="3" t="s">
        <v>31</v>
      </c>
      <c r="BV38" s="3" t="s">
        <v>370</v>
      </c>
      <c r="BW38" s="3" t="s">
        <v>371</v>
      </c>
      <c r="BX38" s="119" t="s">
        <v>119</v>
      </c>
      <c r="BY38" s="150"/>
      <c r="BZ38" s="138" t="s">
        <v>319</v>
      </c>
    </row>
    <row r="39" spans="1:78" ht="26.25" customHeight="1" x14ac:dyDescent="0.25">
      <c r="A39" s="119" t="s">
        <v>104</v>
      </c>
      <c r="B39" s="124" t="s">
        <v>383</v>
      </c>
      <c r="C39" s="2" t="s">
        <v>15</v>
      </c>
      <c r="D39" s="9">
        <v>5000000</v>
      </c>
      <c r="E39" s="9">
        <v>5000000</v>
      </c>
      <c r="F39" s="3" t="s">
        <v>16</v>
      </c>
      <c r="G39" s="26" t="s">
        <v>20</v>
      </c>
      <c r="H39" s="111" t="s">
        <v>20</v>
      </c>
      <c r="I39" s="111" t="s">
        <v>20</v>
      </c>
      <c r="J39" s="111"/>
      <c r="K39" s="9" t="s">
        <v>20</v>
      </c>
      <c r="L39" s="9" t="s">
        <v>20</v>
      </c>
      <c r="M39" s="9" t="s">
        <v>20</v>
      </c>
      <c r="N39" s="3" t="s">
        <v>20</v>
      </c>
      <c r="O39" s="9" t="s">
        <v>20</v>
      </c>
      <c r="P39" s="3" t="s">
        <v>20</v>
      </c>
      <c r="Q39" s="3" t="s">
        <v>20</v>
      </c>
      <c r="R39" s="3" t="s">
        <v>20</v>
      </c>
      <c r="S39" s="70" t="s">
        <v>82</v>
      </c>
      <c r="T39" s="71">
        <v>1.19</v>
      </c>
      <c r="U39" s="3" t="s">
        <v>20</v>
      </c>
      <c r="V39" s="3" t="s">
        <v>20</v>
      </c>
      <c r="W39" s="30" t="s">
        <v>20</v>
      </c>
      <c r="X39" s="9">
        <v>63647871.600000001</v>
      </c>
      <c r="Y39" s="3"/>
      <c r="Z39" s="109" t="e">
        <f t="shared" si="0"/>
        <v>#VALUE!</v>
      </c>
      <c r="AA39" s="3"/>
      <c r="AB39" s="3"/>
      <c r="AC39" s="3"/>
      <c r="AD39" s="3"/>
      <c r="AE39" s="4" t="s">
        <v>105</v>
      </c>
      <c r="AF39" s="25">
        <v>0.4</v>
      </c>
      <c r="AG39" s="35">
        <v>12000000</v>
      </c>
      <c r="AH39" s="35">
        <v>12000000</v>
      </c>
      <c r="AI39" s="35">
        <v>7719000</v>
      </c>
      <c r="AJ39" s="47">
        <f t="shared" si="10"/>
        <v>0.64324999999999999</v>
      </c>
      <c r="AK39" s="47">
        <f t="shared" si="3"/>
        <v>0.64324999999999999</v>
      </c>
      <c r="AL39" s="35">
        <f t="shared" si="4"/>
        <v>0.12127663983032545</v>
      </c>
      <c r="AM39" s="35">
        <v>139000</v>
      </c>
      <c r="AN39" s="47">
        <f t="shared" si="5"/>
        <v>1.8007513926674441E-2</v>
      </c>
      <c r="AO39" s="35">
        <v>418</v>
      </c>
      <c r="AP39" s="43"/>
      <c r="AQ39" s="3" t="s">
        <v>20</v>
      </c>
      <c r="AR39" s="3" t="s">
        <v>20</v>
      </c>
      <c r="AS39" s="30">
        <v>3</v>
      </c>
      <c r="AT39" s="29">
        <v>1822824.7600000002</v>
      </c>
      <c r="AU39" s="3">
        <f t="shared" si="9"/>
        <v>1822824.7600000002</v>
      </c>
      <c r="AV39" s="75">
        <v>0</v>
      </c>
      <c r="AW39" s="104">
        <f t="shared" si="6"/>
        <v>0</v>
      </c>
      <c r="AX39" s="117">
        <v>0</v>
      </c>
      <c r="AY39" s="95" t="e">
        <f t="shared" si="7"/>
        <v>#DIV/0!</v>
      </c>
      <c r="AZ39" s="117">
        <v>0</v>
      </c>
      <c r="BA39" s="95" t="e">
        <f t="shared" si="8"/>
        <v>#DIV/0!</v>
      </c>
      <c r="BB39" s="3">
        <v>63799.29</v>
      </c>
      <c r="BC39" s="9" t="s">
        <v>20</v>
      </c>
      <c r="BD39" s="9" t="s">
        <v>20</v>
      </c>
      <c r="BE39" s="9" t="s">
        <v>20</v>
      </c>
      <c r="BF39" s="9" t="s">
        <v>20</v>
      </c>
      <c r="BG39" s="55">
        <v>44712</v>
      </c>
      <c r="BH39" s="5" t="s">
        <v>22</v>
      </c>
      <c r="BI39" s="5" t="s">
        <v>20</v>
      </c>
      <c r="BJ39" s="5" t="e">
        <f t="shared" ref="BJ39:BJ40" si="23">90-BI39</f>
        <v>#VALUE!</v>
      </c>
      <c r="BK39" s="101" t="s">
        <v>270</v>
      </c>
      <c r="BL39" s="101" t="s">
        <v>270</v>
      </c>
      <c r="BM39" s="20" t="str">
        <f t="shared" ref="BM39:BM40" si="24">+AE39</f>
        <v>BMW/Mingua/Wyetree/ABB/Cummins/Draexlmaier</v>
      </c>
      <c r="BN39" s="101" t="s">
        <v>270</v>
      </c>
      <c r="BO39" s="5" t="s">
        <v>97</v>
      </c>
      <c r="BP39" s="24">
        <v>2</v>
      </c>
      <c r="BQ39" s="3" t="s">
        <v>137</v>
      </c>
      <c r="BR39" s="3" t="s">
        <v>20</v>
      </c>
      <c r="BS39" s="6" t="s">
        <v>61</v>
      </c>
      <c r="BT39" s="3" t="s">
        <v>20</v>
      </c>
      <c r="BU39" s="3" t="s">
        <v>20</v>
      </c>
      <c r="BV39" s="3"/>
      <c r="BW39" s="3"/>
      <c r="BX39" s="28" t="s">
        <v>116</v>
      </c>
      <c r="BY39" s="151"/>
    </row>
    <row r="40" spans="1:78" ht="18.75" customHeight="1" x14ac:dyDescent="0.25">
      <c r="A40" s="119" t="s">
        <v>104</v>
      </c>
      <c r="B40" s="124" t="s">
        <v>383</v>
      </c>
      <c r="C40" s="23" t="s">
        <v>48</v>
      </c>
      <c r="D40" s="9">
        <v>250000</v>
      </c>
      <c r="E40" s="9">
        <v>250000</v>
      </c>
      <c r="F40" s="3" t="s">
        <v>16</v>
      </c>
      <c r="G40" s="26" t="s">
        <v>20</v>
      </c>
      <c r="H40" s="111" t="s">
        <v>20</v>
      </c>
      <c r="I40" s="111" t="s">
        <v>20</v>
      </c>
      <c r="J40" s="111"/>
      <c r="K40" s="9" t="s">
        <v>20</v>
      </c>
      <c r="L40" s="9" t="s">
        <v>20</v>
      </c>
      <c r="M40" s="9" t="s">
        <v>20</v>
      </c>
      <c r="N40" s="21" t="s">
        <v>20</v>
      </c>
      <c r="O40" s="9" t="s">
        <v>20</v>
      </c>
      <c r="P40" s="3" t="s">
        <v>20</v>
      </c>
      <c r="Q40" s="21" t="s">
        <v>20</v>
      </c>
      <c r="R40" s="3" t="s">
        <v>20</v>
      </c>
      <c r="S40" s="70" t="s">
        <v>82</v>
      </c>
      <c r="T40" s="71">
        <v>1.19</v>
      </c>
      <c r="U40" s="3" t="s">
        <v>20</v>
      </c>
      <c r="V40" s="3" t="s">
        <v>20</v>
      </c>
      <c r="W40" s="30" t="s">
        <v>20</v>
      </c>
      <c r="X40" s="9"/>
      <c r="Y40" s="3"/>
      <c r="Z40" s="109" t="e">
        <f t="shared" si="0"/>
        <v>#VALUE!</v>
      </c>
      <c r="AA40" s="3"/>
      <c r="AB40" s="3"/>
      <c r="AC40" s="3"/>
      <c r="AD40" s="3"/>
      <c r="AE40" s="4" t="s">
        <v>105</v>
      </c>
      <c r="AF40" s="25">
        <v>0.4</v>
      </c>
      <c r="AG40" s="35">
        <v>12000000</v>
      </c>
      <c r="AH40" s="35">
        <v>12000000</v>
      </c>
      <c r="AI40" s="35">
        <v>0</v>
      </c>
      <c r="AJ40" s="47">
        <f t="shared" si="10"/>
        <v>0</v>
      </c>
      <c r="AK40" s="52">
        <f t="shared" si="3"/>
        <v>0</v>
      </c>
      <c r="AL40" s="42" t="e">
        <f t="shared" si="4"/>
        <v>#DIV/0!</v>
      </c>
      <c r="AM40" s="35">
        <v>0</v>
      </c>
      <c r="AN40" s="52" t="e">
        <f t="shared" si="5"/>
        <v>#DIV/0!</v>
      </c>
      <c r="AO40" s="35">
        <v>0</v>
      </c>
      <c r="AP40" s="43"/>
      <c r="AQ40" s="3" t="s">
        <v>20</v>
      </c>
      <c r="AR40" s="3" t="s">
        <v>20</v>
      </c>
      <c r="AS40" s="30">
        <v>1</v>
      </c>
      <c r="AT40" s="29">
        <v>103727.45</v>
      </c>
      <c r="AU40" s="21">
        <f t="shared" si="9"/>
        <v>103727.45</v>
      </c>
      <c r="AV40" s="75">
        <v>0</v>
      </c>
      <c r="AW40" s="104">
        <f t="shared" si="6"/>
        <v>0</v>
      </c>
      <c r="AX40" s="105">
        <v>0</v>
      </c>
      <c r="AY40" s="106" t="e">
        <f t="shared" si="7"/>
        <v>#DIV/0!</v>
      </c>
      <c r="AZ40" s="105">
        <v>0</v>
      </c>
      <c r="BA40" s="106" t="e">
        <f t="shared" si="8"/>
        <v>#DIV/0!</v>
      </c>
      <c r="BB40" s="12">
        <v>0</v>
      </c>
      <c r="BC40" s="41" t="s">
        <v>20</v>
      </c>
      <c r="BD40" s="41" t="s">
        <v>20</v>
      </c>
      <c r="BE40" s="41" t="s">
        <v>20</v>
      </c>
      <c r="BF40" s="41" t="s">
        <v>20</v>
      </c>
      <c r="BG40" s="55" t="s">
        <v>20</v>
      </c>
      <c r="BH40" s="18" t="s">
        <v>54</v>
      </c>
      <c r="BI40" s="5" t="s">
        <v>20</v>
      </c>
      <c r="BJ40" s="54" t="e">
        <f t="shared" si="23"/>
        <v>#VALUE!</v>
      </c>
      <c r="BK40" s="101" t="s">
        <v>270</v>
      </c>
      <c r="BL40" s="101" t="s">
        <v>270</v>
      </c>
      <c r="BM40" s="107" t="str">
        <f t="shared" si="24"/>
        <v>BMW/Mingua/Wyetree/ABB/Cummins/Draexlmaier</v>
      </c>
      <c r="BN40" s="101" t="s">
        <v>270</v>
      </c>
      <c r="BO40" s="5" t="s">
        <v>97</v>
      </c>
      <c r="BP40" s="24">
        <v>2</v>
      </c>
      <c r="BQ40" s="3" t="s">
        <v>137</v>
      </c>
      <c r="BR40" s="3" t="s">
        <v>20</v>
      </c>
      <c r="BS40" s="6" t="s">
        <v>61</v>
      </c>
      <c r="BT40" s="3" t="s">
        <v>20</v>
      </c>
      <c r="BU40" s="3" t="s">
        <v>20</v>
      </c>
      <c r="BV40" s="3"/>
      <c r="BW40" s="3"/>
      <c r="BX40" s="28" t="s">
        <v>116</v>
      </c>
      <c r="BY40" s="151"/>
    </row>
    <row r="41" spans="1:78" ht="26.25" customHeight="1" x14ac:dyDescent="0.25">
      <c r="A41" s="131" t="s">
        <v>114</v>
      </c>
      <c r="B41" s="154" t="s">
        <v>385</v>
      </c>
      <c r="C41" s="2" t="s">
        <v>15</v>
      </c>
      <c r="D41" s="9">
        <v>6500000</v>
      </c>
      <c r="E41" s="9">
        <v>6500000</v>
      </c>
      <c r="F41" s="30" t="s">
        <v>298</v>
      </c>
      <c r="G41" s="26" t="s">
        <v>20</v>
      </c>
      <c r="H41" s="111" t="s">
        <v>20</v>
      </c>
      <c r="I41" s="111" t="s">
        <v>20</v>
      </c>
      <c r="J41" s="110" t="s">
        <v>314</v>
      </c>
      <c r="K41" s="9">
        <v>3500000</v>
      </c>
      <c r="L41" s="9">
        <v>7928752</v>
      </c>
      <c r="M41" s="9">
        <v>883431.64</v>
      </c>
      <c r="N41" s="25">
        <f t="shared" ref="N41:N45" si="25">+M41/L41</f>
        <v>0.11142127285605603</v>
      </c>
      <c r="O41" s="9">
        <f>7205910+4104948+883432</f>
        <v>12194290</v>
      </c>
      <c r="P41" s="33">
        <v>6176169.8200000003</v>
      </c>
      <c r="Q41" s="25">
        <f t="shared" ref="Q41:Q45" si="26">+P41/L41</f>
        <v>0.77895863308626634</v>
      </c>
      <c r="R41" s="33">
        <f>O41+M41-P41</f>
        <v>6901551.8200000003</v>
      </c>
      <c r="S41" s="15">
        <v>3</v>
      </c>
      <c r="T41" s="15">
        <v>5</v>
      </c>
      <c r="U41" s="15">
        <f t="shared" ref="U41:U48" si="27">P41/AR41</f>
        <v>9.0821672666869215</v>
      </c>
      <c r="V41" s="15">
        <f t="shared" ref="V41:V48" si="28">R41/AV41</f>
        <v>1.5633024580905575</v>
      </c>
      <c r="W41" s="15">
        <f>M41/AR41</f>
        <v>1.2991018959973391</v>
      </c>
      <c r="X41" s="9">
        <v>127020310.58</v>
      </c>
      <c r="Y41" s="15"/>
      <c r="Z41" s="109">
        <f t="shared" si="0"/>
        <v>6.9911123174171124</v>
      </c>
      <c r="AA41" s="15"/>
      <c r="AB41" s="15"/>
      <c r="AC41" s="15"/>
      <c r="AD41" s="15"/>
      <c r="AE41" s="4" t="s">
        <v>106</v>
      </c>
      <c r="AF41" s="25">
        <v>0.5</v>
      </c>
      <c r="AG41" s="9">
        <f>+X41*0.3</f>
        <v>38106093.173999995</v>
      </c>
      <c r="AH41" s="9">
        <v>32000000</v>
      </c>
      <c r="AI41" s="9">
        <v>22336611</v>
      </c>
      <c r="AJ41" s="47">
        <f t="shared" si="10"/>
        <v>0.69801909375000004</v>
      </c>
      <c r="AK41" s="47">
        <f t="shared" si="3"/>
        <v>0.58616901234158525</v>
      </c>
      <c r="AL41" s="47">
        <f t="shared" si="4"/>
        <v>0.17585070370247555</v>
      </c>
      <c r="AM41" s="9">
        <v>443505</v>
      </c>
      <c r="AN41" s="47">
        <f t="shared" si="5"/>
        <v>1.9855518816171352E-2</v>
      </c>
      <c r="AO41" s="9">
        <v>119</v>
      </c>
      <c r="AP41" s="43"/>
      <c r="AQ41" s="3">
        <v>578493.9</v>
      </c>
      <c r="AR41" s="3">
        <f>AQ41+ROUND(AV41*(27.6%)/360*30,2)</f>
        <v>680032.6</v>
      </c>
      <c r="AS41" s="30">
        <v>8</v>
      </c>
      <c r="AT41" s="29">
        <v>17086303.530000001</v>
      </c>
      <c r="AU41" s="3">
        <f t="shared" si="9"/>
        <v>12671577.65</v>
      </c>
      <c r="AV41" s="75">
        <v>4414725.8800000008</v>
      </c>
      <c r="AW41" s="104">
        <f t="shared" si="6"/>
        <v>0.67918859692307709</v>
      </c>
      <c r="AX41" s="117">
        <v>0</v>
      </c>
      <c r="AY41" s="95">
        <f t="shared" si="7"/>
        <v>0</v>
      </c>
      <c r="AZ41" s="117">
        <v>0</v>
      </c>
      <c r="BA41" s="95">
        <f t="shared" si="8"/>
        <v>0</v>
      </c>
      <c r="BB41" s="38">
        <f>296151.04+270695.71</f>
        <v>566846.75</v>
      </c>
      <c r="BC41" s="3"/>
      <c r="BD41" s="3"/>
      <c r="BE41" s="3"/>
      <c r="BF41" s="3"/>
      <c r="BG41" s="55">
        <v>44681</v>
      </c>
      <c r="BH41" s="5" t="s">
        <v>284</v>
      </c>
      <c r="BI41" s="5"/>
      <c r="BJ41" s="5"/>
      <c r="BK41" s="5"/>
      <c r="BL41" s="5"/>
      <c r="BM41" s="5"/>
      <c r="BN41" s="5"/>
      <c r="BO41" s="5" t="s">
        <v>97</v>
      </c>
      <c r="BP41" s="24">
        <v>2</v>
      </c>
      <c r="BQ41" s="3" t="s">
        <v>41</v>
      </c>
      <c r="BR41" s="3" t="s">
        <v>20</v>
      </c>
      <c r="BS41" s="6" t="s">
        <v>61</v>
      </c>
      <c r="BT41" s="33">
        <v>3500000</v>
      </c>
      <c r="BU41" s="3" t="s">
        <v>21</v>
      </c>
      <c r="BV41" s="3" t="s">
        <v>336</v>
      </c>
      <c r="BW41" s="3" t="s">
        <v>368</v>
      </c>
      <c r="BX41" s="28" t="s">
        <v>119</v>
      </c>
      <c r="BY41" s="151"/>
      <c r="BZ41" s="36" t="s">
        <v>320</v>
      </c>
    </row>
    <row r="42" spans="1:78" ht="26.25" customHeight="1" x14ac:dyDescent="0.25">
      <c r="A42" s="130" t="s">
        <v>107</v>
      </c>
      <c r="B42" s="154" t="s">
        <v>384</v>
      </c>
      <c r="C42" s="2" t="s">
        <v>15</v>
      </c>
      <c r="D42" s="9">
        <v>12000000</v>
      </c>
      <c r="E42" s="9">
        <v>12000000</v>
      </c>
      <c r="F42" s="3" t="s">
        <v>108</v>
      </c>
      <c r="G42" s="26" t="s">
        <v>20</v>
      </c>
      <c r="H42" s="111" t="s">
        <v>20</v>
      </c>
      <c r="I42" s="111" t="s">
        <v>20</v>
      </c>
      <c r="J42" s="111"/>
      <c r="K42" s="9">
        <v>11500000</v>
      </c>
      <c r="L42" s="9">
        <v>39900000</v>
      </c>
      <c r="M42" s="9">
        <v>434323.5</v>
      </c>
      <c r="N42" s="25">
        <f t="shared" si="25"/>
        <v>1.08853007518797E-2</v>
      </c>
      <c r="O42" s="9">
        <v>50899200.340000004</v>
      </c>
      <c r="P42" s="33">
        <v>522185.37</v>
      </c>
      <c r="Q42" s="25">
        <f t="shared" si="26"/>
        <v>1.3087352631578947E-2</v>
      </c>
      <c r="R42" s="33">
        <f>O42+M42-P42</f>
        <v>50811338.470000006</v>
      </c>
      <c r="S42" s="15">
        <v>2</v>
      </c>
      <c r="T42" s="15">
        <v>5</v>
      </c>
      <c r="U42" s="15">
        <f t="shared" si="27"/>
        <v>0.47947004092770673</v>
      </c>
      <c r="V42" s="15">
        <f t="shared" si="28"/>
        <v>7.4227871473611611</v>
      </c>
      <c r="W42" s="15">
        <f>M42/AR42</f>
        <v>0.39879536709514635</v>
      </c>
      <c r="X42" s="9">
        <v>612567995.42999995</v>
      </c>
      <c r="Y42" s="15"/>
      <c r="Z42" s="109">
        <f t="shared" si="0"/>
        <v>1.2022959153718369</v>
      </c>
      <c r="AA42" s="15"/>
      <c r="AB42" s="15"/>
      <c r="AC42" s="15"/>
      <c r="AD42" s="15"/>
      <c r="AE42" s="4" t="s">
        <v>109</v>
      </c>
      <c r="AF42" s="25">
        <v>0</v>
      </c>
      <c r="AG42" s="9">
        <v>12000000</v>
      </c>
      <c r="AH42" s="9">
        <v>12000000</v>
      </c>
      <c r="AI42" s="9">
        <v>10583412</v>
      </c>
      <c r="AJ42" s="47">
        <f t="shared" si="10"/>
        <v>0.88195100000000004</v>
      </c>
      <c r="AK42" s="47">
        <f t="shared" si="3"/>
        <v>0.88195100000000004</v>
      </c>
      <c r="AL42" s="35">
        <f t="shared" si="4"/>
        <v>1.7277122015770412E-2</v>
      </c>
      <c r="AM42" s="9">
        <v>0</v>
      </c>
      <c r="AN42" s="47">
        <f t="shared" si="5"/>
        <v>0</v>
      </c>
      <c r="AO42" s="9">
        <v>0</v>
      </c>
      <c r="AP42" s="43"/>
      <c r="AQ42" s="9">
        <v>975000</v>
      </c>
      <c r="AR42" s="9">
        <f>AQ42+ROUND(AV42*(20%)/360*30,2)</f>
        <v>1089088.6299999999</v>
      </c>
      <c r="AS42" s="30">
        <v>1</v>
      </c>
      <c r="AT42" s="29">
        <v>12000000</v>
      </c>
      <c r="AU42" s="3">
        <f t="shared" si="9"/>
        <v>5154682</v>
      </c>
      <c r="AV42" s="75">
        <v>6845318</v>
      </c>
      <c r="AW42" s="104">
        <f t="shared" si="6"/>
        <v>0.57044316666666661</v>
      </c>
      <c r="AX42" s="117">
        <f>795000+975000</f>
        <v>1770000</v>
      </c>
      <c r="AY42" s="95">
        <f t="shared" si="7"/>
        <v>0.25857089473418182</v>
      </c>
      <c r="AZ42" s="117">
        <v>0</v>
      </c>
      <c r="BA42" s="95">
        <f t="shared" si="8"/>
        <v>0</v>
      </c>
      <c r="BB42" s="38">
        <v>601200</v>
      </c>
      <c r="BC42" s="3"/>
      <c r="BD42" s="3"/>
      <c r="BE42" s="3"/>
      <c r="BF42" s="3"/>
      <c r="BG42" s="55">
        <v>44926</v>
      </c>
      <c r="BH42" s="5" t="s">
        <v>22</v>
      </c>
      <c r="BI42" s="5"/>
      <c r="BJ42" s="5"/>
      <c r="BK42" s="5"/>
      <c r="BL42" s="5"/>
      <c r="BM42" s="5"/>
      <c r="BN42" s="5"/>
      <c r="BO42" s="5" t="s">
        <v>97</v>
      </c>
      <c r="BP42" s="24">
        <v>1</v>
      </c>
      <c r="BQ42" s="3" t="s">
        <v>137</v>
      </c>
      <c r="BR42" s="25" t="s">
        <v>28</v>
      </c>
      <c r="BS42" s="6" t="s">
        <v>61</v>
      </c>
      <c r="BT42" s="9">
        <v>11500000</v>
      </c>
      <c r="BU42" s="3" t="s">
        <v>25</v>
      </c>
      <c r="BV42" s="3" t="s">
        <v>338</v>
      </c>
      <c r="BW42" s="3" t="s">
        <v>338</v>
      </c>
      <c r="BX42" s="28" t="s">
        <v>119</v>
      </c>
      <c r="BY42" s="151"/>
    </row>
    <row r="43" spans="1:78" ht="26.25" customHeight="1" x14ac:dyDescent="0.25">
      <c r="A43" s="131" t="s">
        <v>110</v>
      </c>
      <c r="B43" s="154" t="s">
        <v>385</v>
      </c>
      <c r="C43" s="2" t="s">
        <v>15</v>
      </c>
      <c r="D43" s="9">
        <v>4000000</v>
      </c>
      <c r="E43" s="9">
        <v>4000000</v>
      </c>
      <c r="F43" s="3" t="s">
        <v>108</v>
      </c>
      <c r="G43" s="26" t="s">
        <v>20</v>
      </c>
      <c r="H43" s="111" t="s">
        <v>20</v>
      </c>
      <c r="I43" s="111" t="s">
        <v>20</v>
      </c>
      <c r="J43" s="110" t="s">
        <v>314</v>
      </c>
      <c r="K43" s="9">
        <v>300000</v>
      </c>
      <c r="L43" s="9">
        <v>1300650.52</v>
      </c>
      <c r="M43" s="9">
        <v>993848.84000000008</v>
      </c>
      <c r="N43" s="25">
        <f t="shared" si="25"/>
        <v>0.76411674367377336</v>
      </c>
      <c r="O43" s="9">
        <v>993848.84000000008</v>
      </c>
      <c r="P43" s="9">
        <v>0</v>
      </c>
      <c r="Q43" s="25">
        <f t="shared" si="26"/>
        <v>0</v>
      </c>
      <c r="R43" s="33">
        <f>O43+M43-P43</f>
        <v>1987697.6800000002</v>
      </c>
      <c r="S43" s="15">
        <v>2.5</v>
      </c>
      <c r="T43" s="15">
        <v>2.7</v>
      </c>
      <c r="U43" s="15">
        <f t="shared" si="27"/>
        <v>0</v>
      </c>
      <c r="V43" s="15">
        <f t="shared" si="28"/>
        <v>2.6153916842105267</v>
      </c>
      <c r="W43" s="15">
        <f>M43/AR43</f>
        <v>2.017284505972365</v>
      </c>
      <c r="X43" s="9">
        <v>72940678.810000002</v>
      </c>
      <c r="Y43" s="15"/>
      <c r="Z43" s="109">
        <f t="shared" si="0"/>
        <v>0</v>
      </c>
      <c r="AA43" s="15"/>
      <c r="AB43" s="15"/>
      <c r="AC43" s="15"/>
      <c r="AD43" s="15"/>
      <c r="AE43" s="4" t="s">
        <v>111</v>
      </c>
      <c r="AF43" s="25">
        <v>0</v>
      </c>
      <c r="AG43" s="9">
        <f>+X43*0.3</f>
        <v>21882203.642999999</v>
      </c>
      <c r="AH43" s="9">
        <v>15000000</v>
      </c>
      <c r="AI43" s="9">
        <v>10463803</v>
      </c>
      <c r="AJ43" s="47">
        <f t="shared" si="10"/>
        <v>0.69758686666666669</v>
      </c>
      <c r="AK43" s="47">
        <f t="shared" si="3"/>
        <v>0.47818780826250629</v>
      </c>
      <c r="AL43" s="35">
        <f t="shared" si="4"/>
        <v>0.14345634247875189</v>
      </c>
      <c r="AM43" s="9">
        <v>153802</v>
      </c>
      <c r="AN43" s="47">
        <f t="shared" si="5"/>
        <v>1.4698480084152961E-2</v>
      </c>
      <c r="AO43" s="9">
        <v>58</v>
      </c>
      <c r="AP43" s="43"/>
      <c r="AQ43" s="9">
        <v>480000</v>
      </c>
      <c r="AR43" s="9">
        <f>AQ43+ROUND(AV43*(20%)/360*30,2)</f>
        <v>492666.67</v>
      </c>
      <c r="AS43" s="30">
        <v>1</v>
      </c>
      <c r="AT43" s="29">
        <v>4000000</v>
      </c>
      <c r="AU43" s="3">
        <f t="shared" si="9"/>
        <v>3240000</v>
      </c>
      <c r="AV43" s="17">
        <v>760000</v>
      </c>
      <c r="AW43" s="104">
        <f t="shared" si="6"/>
        <v>0.19</v>
      </c>
      <c r="AX43" s="117">
        <v>760000</v>
      </c>
      <c r="AY43" s="95">
        <f t="shared" si="7"/>
        <v>1</v>
      </c>
      <c r="AZ43" s="117">
        <v>0</v>
      </c>
      <c r="BA43" s="95">
        <f t="shared" si="8"/>
        <v>0</v>
      </c>
      <c r="BB43" s="38">
        <v>133600</v>
      </c>
      <c r="BC43" s="3"/>
      <c r="BD43" s="3"/>
      <c r="BE43" s="3"/>
      <c r="BF43" s="3"/>
      <c r="BG43" s="55">
        <v>44742</v>
      </c>
      <c r="BH43" s="5" t="s">
        <v>22</v>
      </c>
      <c r="BI43" s="5"/>
      <c r="BJ43" s="5"/>
      <c r="BK43" s="5"/>
      <c r="BL43" s="5"/>
      <c r="BM43" s="5"/>
      <c r="BN43" s="5"/>
      <c r="BO43" s="5" t="s">
        <v>97</v>
      </c>
      <c r="BP43" s="24">
        <v>1</v>
      </c>
      <c r="BQ43" s="3" t="s">
        <v>137</v>
      </c>
      <c r="BR43" s="25" t="s">
        <v>29</v>
      </c>
      <c r="BS43" s="6" t="s">
        <v>61</v>
      </c>
      <c r="BT43" s="9">
        <v>300000</v>
      </c>
      <c r="BU43" s="3" t="s">
        <v>25</v>
      </c>
      <c r="BV43" s="3" t="s">
        <v>339</v>
      </c>
      <c r="BW43" s="3" t="s">
        <v>339</v>
      </c>
      <c r="BX43" s="28" t="s">
        <v>119</v>
      </c>
      <c r="BY43" s="151"/>
      <c r="BZ43" s="36" t="s">
        <v>312</v>
      </c>
    </row>
    <row r="44" spans="1:78" ht="26.25" customHeight="1" x14ac:dyDescent="0.25">
      <c r="A44" s="130" t="s">
        <v>112</v>
      </c>
      <c r="B44" s="154" t="s">
        <v>384</v>
      </c>
      <c r="C44" s="23" t="s">
        <v>48</v>
      </c>
      <c r="D44" s="9">
        <v>144540.70000000001</v>
      </c>
      <c r="E44" s="9">
        <v>144540.70000000001</v>
      </c>
      <c r="F44" s="3" t="s">
        <v>108</v>
      </c>
      <c r="G44" s="26" t="s">
        <v>20</v>
      </c>
      <c r="H44" s="111" t="s">
        <v>20</v>
      </c>
      <c r="I44" s="111" t="s">
        <v>20</v>
      </c>
      <c r="J44" s="110" t="s">
        <v>314</v>
      </c>
      <c r="K44" s="9">
        <f>600000/20</f>
        <v>30000</v>
      </c>
      <c r="L44" s="9">
        <f>4457367/20</f>
        <v>222868.35</v>
      </c>
      <c r="M44" s="9">
        <v>807241.05333333334</v>
      </c>
      <c r="N44" s="25">
        <f t="shared" si="25"/>
        <v>3.6220533482360024</v>
      </c>
      <c r="O44" s="9">
        <f>197866+807241</f>
        <v>1005107</v>
      </c>
      <c r="P44" s="9">
        <v>13572.77</v>
      </c>
      <c r="Q44" s="25">
        <f t="shared" si="26"/>
        <v>6.0900392541157145E-2</v>
      </c>
      <c r="R44" s="33">
        <f>O44+M44-P44</f>
        <v>1798775.2833333332</v>
      </c>
      <c r="S44" s="15">
        <v>2</v>
      </c>
      <c r="T44" s="15">
        <v>5</v>
      </c>
      <c r="U44" s="15">
        <f t="shared" si="27"/>
        <v>1.3660030273386392</v>
      </c>
      <c r="V44" s="15">
        <f t="shared" si="28"/>
        <v>49.985418866596262</v>
      </c>
      <c r="W44" s="15">
        <f>M44/AR44</f>
        <v>81.243086167773058</v>
      </c>
      <c r="X44" s="9">
        <f>166443443.97/20</f>
        <v>8322172.1984999999</v>
      </c>
      <c r="Y44" s="15"/>
      <c r="Z44" s="109">
        <f t="shared" si="0"/>
        <v>1.6813775691850757E-2</v>
      </c>
      <c r="AA44" s="15"/>
      <c r="AB44" s="15"/>
      <c r="AC44" s="15"/>
      <c r="AD44" s="15"/>
      <c r="AE44" s="4" t="s">
        <v>272</v>
      </c>
      <c r="AF44" s="25">
        <v>1</v>
      </c>
      <c r="AG44" s="9">
        <f>+X44*0.3</f>
        <v>2496651.65955</v>
      </c>
      <c r="AH44" s="9">
        <v>18000000</v>
      </c>
      <c r="AI44" s="9">
        <v>6127526</v>
      </c>
      <c r="AJ44" s="47">
        <f t="shared" si="10"/>
        <v>0.34041811111111109</v>
      </c>
      <c r="AK44" s="47">
        <f t="shared" si="3"/>
        <v>2.4542975294777141</v>
      </c>
      <c r="AL44" s="35">
        <f t="shared" si="4"/>
        <v>0.7362892588433142</v>
      </c>
      <c r="AM44" s="9">
        <v>0</v>
      </c>
      <c r="AN44" s="47">
        <f t="shared" si="5"/>
        <v>0</v>
      </c>
      <c r="AO44" s="9">
        <v>0</v>
      </c>
      <c r="AP44" s="43"/>
      <c r="AQ44" s="9">
        <v>9336.35</v>
      </c>
      <c r="AR44" s="9">
        <f>AQ44+ROUND(AV44*(20%)/360*30,2)</f>
        <v>9936.1200000000008</v>
      </c>
      <c r="AS44" s="30">
        <v>2</v>
      </c>
      <c r="AT44" s="29">
        <v>144540.70000000001</v>
      </c>
      <c r="AU44" s="3">
        <f t="shared" si="9"/>
        <v>108554.70000000001</v>
      </c>
      <c r="AV44" s="17">
        <v>35986</v>
      </c>
      <c r="AW44" s="104">
        <f t="shared" si="6"/>
        <v>0.24896793775040524</v>
      </c>
      <c r="AX44" s="117">
        <v>0</v>
      </c>
      <c r="AY44" s="95">
        <f t="shared" si="7"/>
        <v>0</v>
      </c>
      <c r="AZ44" s="117">
        <v>0</v>
      </c>
      <c r="BA44" s="95">
        <f t="shared" si="8"/>
        <v>0</v>
      </c>
      <c r="BB44" s="38">
        <v>7241</v>
      </c>
      <c r="BC44" s="3"/>
      <c r="BD44" s="3"/>
      <c r="BE44" s="3"/>
      <c r="BF44" s="3"/>
      <c r="BG44" s="55">
        <v>44926</v>
      </c>
      <c r="BH44" s="5" t="s">
        <v>22</v>
      </c>
      <c r="BI44" s="5"/>
      <c r="BJ44" s="5"/>
      <c r="BK44" s="5"/>
      <c r="BL44" s="5"/>
      <c r="BM44" s="5"/>
      <c r="BN44" s="5"/>
      <c r="BO44" s="5" t="s">
        <v>97</v>
      </c>
      <c r="BP44" s="24">
        <v>1</v>
      </c>
      <c r="BQ44" s="3" t="s">
        <v>137</v>
      </c>
      <c r="BR44" s="25" t="s">
        <v>28</v>
      </c>
      <c r="BS44" s="6" t="s">
        <v>61</v>
      </c>
      <c r="BT44" s="9">
        <f>600000/20</f>
        <v>30000</v>
      </c>
      <c r="BU44" s="3" t="s">
        <v>21</v>
      </c>
      <c r="BV44" s="3" t="s">
        <v>340</v>
      </c>
      <c r="BW44" s="3" t="s">
        <v>372</v>
      </c>
      <c r="BX44" s="28" t="s">
        <v>119</v>
      </c>
      <c r="BY44" s="151"/>
      <c r="BZ44" s="36" t="s">
        <v>318</v>
      </c>
    </row>
    <row r="45" spans="1:78" ht="26.25" customHeight="1" x14ac:dyDescent="0.25">
      <c r="A45" s="119" t="s">
        <v>118</v>
      </c>
      <c r="B45" s="124" t="s">
        <v>383</v>
      </c>
      <c r="C45" s="2" t="s">
        <v>15</v>
      </c>
      <c r="D45" s="9">
        <v>3000000</v>
      </c>
      <c r="E45" s="9">
        <v>3000000</v>
      </c>
      <c r="F45" s="30" t="s">
        <v>298</v>
      </c>
      <c r="G45" s="26" t="s">
        <v>20</v>
      </c>
      <c r="H45" s="111" t="s">
        <v>20</v>
      </c>
      <c r="I45" s="111" t="s">
        <v>20</v>
      </c>
      <c r="J45" s="110" t="s">
        <v>314</v>
      </c>
      <c r="K45" s="9">
        <v>4800000</v>
      </c>
      <c r="L45" s="9">
        <v>4800000</v>
      </c>
      <c r="M45" s="9">
        <v>8537750.2999999989</v>
      </c>
      <c r="N45" s="25">
        <f t="shared" si="25"/>
        <v>1.7786979791666664</v>
      </c>
      <c r="O45" s="9">
        <f>8964876+8537750</f>
        <v>17502626</v>
      </c>
      <c r="P45" s="33">
        <v>578576.72</v>
      </c>
      <c r="Q45" s="25">
        <f t="shared" si="26"/>
        <v>0.12053681666666666</v>
      </c>
      <c r="R45" s="33">
        <f>O45+M45-P45</f>
        <v>25461799.579999998</v>
      </c>
      <c r="S45" s="15">
        <v>3</v>
      </c>
      <c r="T45" s="15">
        <v>3.1</v>
      </c>
      <c r="U45" s="15">
        <f t="shared" si="27"/>
        <v>2.2125304780114723</v>
      </c>
      <c r="V45" s="15">
        <f t="shared" si="28"/>
        <v>50.923599159999995</v>
      </c>
      <c r="W45" s="15">
        <f>M45/AQ45</f>
        <v>34.151001199999996</v>
      </c>
      <c r="X45" s="9">
        <v>112663403.31</v>
      </c>
      <c r="Y45" s="15"/>
      <c r="Z45" s="109">
        <f t="shared" si="0"/>
        <v>6.7766882336673634E-2</v>
      </c>
      <c r="AA45" s="15"/>
      <c r="AB45" s="15"/>
      <c r="AC45" s="15"/>
      <c r="AD45" s="15"/>
      <c r="AE45" s="4" t="s">
        <v>117</v>
      </c>
      <c r="AF45" s="25">
        <v>0.33</v>
      </c>
      <c r="AG45" s="17">
        <f>+X45*0.3</f>
        <v>33799020.993000001</v>
      </c>
      <c r="AH45" s="17">
        <v>3000000</v>
      </c>
      <c r="AI45" s="17">
        <v>1170372</v>
      </c>
      <c r="AJ45" s="47">
        <f t="shared" si="10"/>
        <v>0.39012400000000003</v>
      </c>
      <c r="AK45" s="47">
        <f t="shared" si="3"/>
        <v>3.4627393504752454E-2</v>
      </c>
      <c r="AL45" s="35">
        <f t="shared" si="4"/>
        <v>1.0388218051425736E-2</v>
      </c>
      <c r="AM45" s="17">
        <v>0</v>
      </c>
      <c r="AN45" s="47">
        <f t="shared" si="5"/>
        <v>0</v>
      </c>
      <c r="AO45" s="17">
        <v>0</v>
      </c>
      <c r="AP45" s="43"/>
      <c r="AQ45" s="9">
        <v>250000</v>
      </c>
      <c r="AR45" s="9">
        <f>AQ45+ROUND(AV45*(27.6%)/360*30,2)</f>
        <v>261500</v>
      </c>
      <c r="AS45" s="30">
        <v>1</v>
      </c>
      <c r="AT45" s="29">
        <v>3000000</v>
      </c>
      <c r="AU45" s="3">
        <f t="shared" si="9"/>
        <v>2500000</v>
      </c>
      <c r="AV45" s="17">
        <v>500000</v>
      </c>
      <c r="AW45" s="104">
        <f t="shared" si="6"/>
        <v>0.16666666666666666</v>
      </c>
      <c r="AX45" s="117">
        <v>0</v>
      </c>
      <c r="AY45" s="95">
        <f t="shared" si="7"/>
        <v>0</v>
      </c>
      <c r="AZ45" s="117">
        <v>0</v>
      </c>
      <c r="BA45" s="95">
        <f t="shared" si="8"/>
        <v>0</v>
      </c>
      <c r="BB45" s="38">
        <v>138000</v>
      </c>
      <c r="BC45" s="3"/>
      <c r="BD45" s="3"/>
      <c r="BE45" s="3"/>
      <c r="BF45" s="3"/>
      <c r="BG45" s="55">
        <v>44742</v>
      </c>
      <c r="BH45" s="5" t="s">
        <v>22</v>
      </c>
      <c r="BI45" s="5"/>
      <c r="BJ45" s="5"/>
      <c r="BK45" s="5"/>
      <c r="BL45" s="5"/>
      <c r="BM45" s="5"/>
      <c r="BN45" s="5"/>
      <c r="BO45" s="20" t="s">
        <v>93</v>
      </c>
      <c r="BP45" s="24">
        <v>2</v>
      </c>
      <c r="BQ45" s="3" t="s">
        <v>17</v>
      </c>
      <c r="BR45" s="25" t="s">
        <v>28</v>
      </c>
      <c r="BS45" s="6" t="s">
        <v>61</v>
      </c>
      <c r="BT45" s="33">
        <v>4800000</v>
      </c>
      <c r="BU45" s="3" t="s">
        <v>21</v>
      </c>
      <c r="BV45" s="3" t="s">
        <v>330</v>
      </c>
      <c r="BW45" s="3" t="s">
        <v>365</v>
      </c>
      <c r="BX45" s="28" t="s">
        <v>116</v>
      </c>
      <c r="BY45" s="151"/>
    </row>
    <row r="46" spans="1:78" ht="26.25" customHeight="1" x14ac:dyDescent="0.25">
      <c r="A46" s="129" t="s">
        <v>121</v>
      </c>
      <c r="B46" s="154" t="s">
        <v>386</v>
      </c>
      <c r="C46" s="23" t="s">
        <v>48</v>
      </c>
      <c r="D46" s="9">
        <v>110000</v>
      </c>
      <c r="E46" s="9">
        <v>110000</v>
      </c>
      <c r="F46" s="30" t="s">
        <v>100</v>
      </c>
      <c r="G46" s="26" t="s">
        <v>20</v>
      </c>
      <c r="H46" s="111" t="s">
        <v>20</v>
      </c>
      <c r="I46" s="111" t="s">
        <v>20</v>
      </c>
      <c r="J46" s="110" t="s">
        <v>314</v>
      </c>
      <c r="K46" s="9" t="s">
        <v>20</v>
      </c>
      <c r="L46" s="9" t="s">
        <v>20</v>
      </c>
      <c r="M46" s="9">
        <v>249529.9</v>
      </c>
      <c r="N46" s="3" t="s">
        <v>20</v>
      </c>
      <c r="O46" s="9">
        <v>356597.9</v>
      </c>
      <c r="P46" s="9">
        <v>0</v>
      </c>
      <c r="Q46" s="3" t="s">
        <v>20</v>
      </c>
      <c r="R46" s="9">
        <v>0</v>
      </c>
      <c r="S46" s="15">
        <v>1.2</v>
      </c>
      <c r="T46" s="15">
        <v>1.2</v>
      </c>
      <c r="U46" s="15">
        <f t="shared" si="27"/>
        <v>0</v>
      </c>
      <c r="V46" s="15">
        <f t="shared" si="28"/>
        <v>0</v>
      </c>
      <c r="W46" s="15">
        <f>M46/AR46</f>
        <v>2.1837121072895918</v>
      </c>
      <c r="X46" s="9">
        <v>2072719.76</v>
      </c>
      <c r="Y46" s="15"/>
      <c r="Z46" s="109">
        <f t="shared" si="0"/>
        <v>0</v>
      </c>
      <c r="AA46" s="15"/>
      <c r="AB46" s="15"/>
      <c r="AC46" s="15"/>
      <c r="AD46" s="15"/>
      <c r="AE46" s="31" t="s">
        <v>124</v>
      </c>
      <c r="AF46" s="25">
        <v>0</v>
      </c>
      <c r="AG46" s="9">
        <f>+X46*0.3</f>
        <v>621815.92799999996</v>
      </c>
      <c r="AH46" s="9">
        <v>3100000</v>
      </c>
      <c r="AI46" s="9">
        <v>1920734</v>
      </c>
      <c r="AJ46" s="47">
        <f t="shared" si="10"/>
        <v>0.61959161290322584</v>
      </c>
      <c r="AK46" s="47">
        <f t="shared" si="3"/>
        <v>3.0889109035495794</v>
      </c>
      <c r="AL46" s="35">
        <f t="shared" si="4"/>
        <v>0.92667327106487374</v>
      </c>
      <c r="AM46" s="9">
        <v>1920734</v>
      </c>
      <c r="AN46" s="47">
        <f t="shared" si="5"/>
        <v>1</v>
      </c>
      <c r="AO46" s="9">
        <v>428</v>
      </c>
      <c r="AP46" s="43"/>
      <c r="AQ46" s="9">
        <v>113061.95999999999</v>
      </c>
      <c r="AR46" s="9">
        <f>AQ46+ROUND(AV46*(27.6%)/360*30,2)</f>
        <v>114268.68</v>
      </c>
      <c r="AS46" s="30">
        <v>3</v>
      </c>
      <c r="AT46" s="29">
        <v>113061.95999999999</v>
      </c>
      <c r="AU46" s="3">
        <f t="shared" si="9"/>
        <v>60596.05</v>
      </c>
      <c r="AV46" s="17">
        <v>52465.909999999989</v>
      </c>
      <c r="AW46" s="104">
        <f t="shared" si="6"/>
        <v>0.47696281818181807</v>
      </c>
      <c r="AX46" s="117">
        <v>0</v>
      </c>
      <c r="AY46" s="95">
        <f t="shared" si="7"/>
        <v>0</v>
      </c>
      <c r="AZ46" s="117">
        <v>52465.909999999989</v>
      </c>
      <c r="BA46" s="95">
        <f t="shared" si="8"/>
        <v>1</v>
      </c>
      <c r="BB46" s="38">
        <v>0</v>
      </c>
      <c r="BC46" s="3"/>
      <c r="BD46" s="3"/>
      <c r="BE46" s="3"/>
      <c r="BF46" s="3"/>
      <c r="BG46" s="55">
        <v>44620</v>
      </c>
      <c r="BH46" s="5" t="s">
        <v>284</v>
      </c>
      <c r="BI46" s="5"/>
      <c r="BJ46" s="5"/>
      <c r="BK46" s="5"/>
      <c r="BL46" s="5"/>
      <c r="BM46" s="5"/>
      <c r="BN46" s="5"/>
      <c r="BO46" s="5" t="s">
        <v>97</v>
      </c>
      <c r="BP46" s="24">
        <v>2</v>
      </c>
      <c r="BQ46" s="3" t="s">
        <v>17</v>
      </c>
      <c r="BR46" s="32">
        <v>395896.91926026152</v>
      </c>
      <c r="BS46" s="6" t="s">
        <v>61</v>
      </c>
      <c r="BT46" s="3" t="s">
        <v>20</v>
      </c>
      <c r="BU46" s="3" t="s">
        <v>31</v>
      </c>
      <c r="BV46" s="3" t="s">
        <v>341</v>
      </c>
      <c r="BW46" s="3" t="s">
        <v>368</v>
      </c>
      <c r="BX46" s="28" t="s">
        <v>119</v>
      </c>
      <c r="BY46" s="151"/>
      <c r="BZ46" s="36" t="s">
        <v>311</v>
      </c>
    </row>
    <row r="47" spans="1:78" ht="26.25" customHeight="1" x14ac:dyDescent="0.25">
      <c r="A47" s="129" t="s">
        <v>122</v>
      </c>
      <c r="B47" s="154" t="s">
        <v>386</v>
      </c>
      <c r="C47" s="2" t="s">
        <v>15</v>
      </c>
      <c r="D47" s="9">
        <v>5000000</v>
      </c>
      <c r="E47" s="9">
        <v>5000000</v>
      </c>
      <c r="F47" s="30" t="s">
        <v>100</v>
      </c>
      <c r="G47" s="26" t="s">
        <v>20</v>
      </c>
      <c r="H47" s="111" t="s">
        <v>20</v>
      </c>
      <c r="I47" s="111" t="s">
        <v>20</v>
      </c>
      <c r="J47" s="110" t="s">
        <v>314</v>
      </c>
      <c r="K47" s="9">
        <v>356719.73</v>
      </c>
      <c r="L47" s="9">
        <v>356719.73</v>
      </c>
      <c r="M47" s="9">
        <v>0</v>
      </c>
      <c r="N47" s="25">
        <f t="shared" ref="N47:N48" si="29">+M47/L47</f>
        <v>0</v>
      </c>
      <c r="O47" s="9">
        <v>1033114.27</v>
      </c>
      <c r="P47" s="9">
        <v>0</v>
      </c>
      <c r="Q47" s="25">
        <f t="shared" ref="Q47:Q48" si="30">+P47/L47</f>
        <v>0</v>
      </c>
      <c r="R47" s="33">
        <f>O47+M47-P47</f>
        <v>1033114.27</v>
      </c>
      <c r="S47" s="15">
        <v>2</v>
      </c>
      <c r="T47" s="15">
        <v>1.2</v>
      </c>
      <c r="U47" s="15">
        <f t="shared" si="27"/>
        <v>0</v>
      </c>
      <c r="V47" s="15">
        <f t="shared" si="28"/>
        <v>0.62347502459994719</v>
      </c>
      <c r="W47" s="15">
        <f>M47/AR47</f>
        <v>0</v>
      </c>
      <c r="X47" s="9">
        <v>7762161.5999999996</v>
      </c>
      <c r="Y47" s="15"/>
      <c r="Z47" s="109" t="e">
        <f t="shared" si="0"/>
        <v>#DIV/0!</v>
      </c>
      <c r="AA47" s="15"/>
      <c r="AB47" s="15"/>
      <c r="AC47" s="15"/>
      <c r="AD47" s="15"/>
      <c r="AE47" s="31" t="s">
        <v>125</v>
      </c>
      <c r="AF47" s="25">
        <v>1</v>
      </c>
      <c r="AG47" s="9">
        <f>+X47*0.3</f>
        <v>2328648.48</v>
      </c>
      <c r="AH47" s="9">
        <v>5000000</v>
      </c>
      <c r="AI47" s="9">
        <f>2662273+400000</f>
        <v>3062273</v>
      </c>
      <c r="AJ47" s="47">
        <f t="shared" si="10"/>
        <v>0.61245459999999996</v>
      </c>
      <c r="AK47" s="47">
        <f t="shared" si="3"/>
        <v>1.3150430502073889</v>
      </c>
      <c r="AL47" s="35">
        <f t="shared" si="4"/>
        <v>0.3945129150622167</v>
      </c>
      <c r="AM47" s="9">
        <v>2662000</v>
      </c>
      <c r="AN47" s="47">
        <f t="shared" si="5"/>
        <v>0.86928892361980792</v>
      </c>
      <c r="AO47" s="9">
        <v>310</v>
      </c>
      <c r="AP47" s="43"/>
      <c r="AQ47" s="9">
        <v>1657025.91</v>
      </c>
      <c r="AR47" s="9">
        <f>AQ47+ROUND(AV47*(27.6%)/360*30,2)</f>
        <v>1695137.51</v>
      </c>
      <c r="AS47" s="30">
        <v>3</v>
      </c>
      <c r="AT47" s="29">
        <v>4863731.4640382938</v>
      </c>
      <c r="AU47" s="3">
        <f t="shared" si="9"/>
        <v>3206705.5540382937</v>
      </c>
      <c r="AV47" s="17">
        <v>1657025.9100000001</v>
      </c>
      <c r="AW47" s="104">
        <f t="shared" si="6"/>
        <v>0.33140518200000002</v>
      </c>
      <c r="AX47" s="117">
        <v>0</v>
      </c>
      <c r="AY47" s="95">
        <f t="shared" si="7"/>
        <v>0</v>
      </c>
      <c r="AZ47" s="117">
        <v>1657025.9100000001</v>
      </c>
      <c r="BA47" s="95">
        <f t="shared" si="8"/>
        <v>1</v>
      </c>
      <c r="BB47" s="38">
        <v>210874.55</v>
      </c>
      <c r="BC47" s="3"/>
      <c r="BD47" s="3"/>
      <c r="BE47" s="3"/>
      <c r="BF47" s="3"/>
      <c r="BG47" s="55">
        <v>44281</v>
      </c>
      <c r="BH47" s="5" t="s">
        <v>284</v>
      </c>
      <c r="BI47" s="5"/>
      <c r="BJ47" s="5"/>
      <c r="BK47" s="5"/>
      <c r="BL47" s="5"/>
      <c r="BM47" s="5"/>
      <c r="BN47" s="5"/>
      <c r="BO47" s="5" t="s">
        <v>97</v>
      </c>
      <c r="BP47" s="24">
        <v>2</v>
      </c>
      <c r="BQ47" s="3" t="s">
        <v>17</v>
      </c>
      <c r="BR47" s="32">
        <v>8535114.3300000001</v>
      </c>
      <c r="BS47" s="6" t="s">
        <v>61</v>
      </c>
      <c r="BT47" s="9">
        <v>356719.73</v>
      </c>
      <c r="BU47" s="3" t="s">
        <v>127</v>
      </c>
      <c r="BV47" s="3" t="s">
        <v>328</v>
      </c>
      <c r="BW47" s="3" t="s">
        <v>328</v>
      </c>
      <c r="BX47" s="28" t="s">
        <v>119</v>
      </c>
      <c r="BY47" s="151"/>
    </row>
    <row r="48" spans="1:78" ht="26.25" customHeight="1" x14ac:dyDescent="0.25">
      <c r="A48" s="128" t="s">
        <v>123</v>
      </c>
      <c r="B48" s="124" t="s">
        <v>383</v>
      </c>
      <c r="C48" s="2" t="s">
        <v>15</v>
      </c>
      <c r="D48" s="9">
        <v>3500000</v>
      </c>
      <c r="E48" s="9">
        <v>3500000</v>
      </c>
      <c r="F48" s="30" t="s">
        <v>100</v>
      </c>
      <c r="G48" s="26" t="s">
        <v>20</v>
      </c>
      <c r="H48" s="111" t="s">
        <v>20</v>
      </c>
      <c r="I48" s="111" t="s">
        <v>20</v>
      </c>
      <c r="J48" s="110" t="s">
        <v>314</v>
      </c>
      <c r="K48" s="9">
        <v>138511.51</v>
      </c>
      <c r="L48" s="9">
        <v>138511.51</v>
      </c>
      <c r="M48" s="9">
        <v>831069.06</v>
      </c>
      <c r="N48" s="25">
        <f t="shared" si="29"/>
        <v>6</v>
      </c>
      <c r="O48" s="9">
        <v>831069.06</v>
      </c>
      <c r="P48" s="9">
        <v>59612.08</v>
      </c>
      <c r="Q48" s="25">
        <f t="shared" si="30"/>
        <v>0.43037636366826121</v>
      </c>
      <c r="R48" s="9">
        <v>0</v>
      </c>
      <c r="S48" s="15">
        <v>1.2</v>
      </c>
      <c r="T48" s="15">
        <v>1.2</v>
      </c>
      <c r="U48" s="15">
        <f t="shared" si="27"/>
        <v>0.36577797358341907</v>
      </c>
      <c r="V48" s="15">
        <f t="shared" si="28"/>
        <v>0</v>
      </c>
      <c r="W48" s="15">
        <f>M48/AR48</f>
        <v>5.0994153647159592</v>
      </c>
      <c r="X48" s="9">
        <v>249985739.58000001</v>
      </c>
      <c r="Y48" s="15"/>
      <c r="Z48" s="109">
        <f t="shared" si="0"/>
        <v>7.1729393944710201E-2</v>
      </c>
      <c r="AA48" s="15"/>
      <c r="AB48" s="15"/>
      <c r="AC48" s="15"/>
      <c r="AD48" s="15"/>
      <c r="AE48" s="31" t="s">
        <v>126</v>
      </c>
      <c r="AF48" s="25">
        <v>1</v>
      </c>
      <c r="AG48" s="9">
        <v>17000000</v>
      </c>
      <c r="AH48" s="9">
        <v>17000000</v>
      </c>
      <c r="AI48" s="9">
        <v>79789626</v>
      </c>
      <c r="AJ48" s="47">
        <f t="shared" si="10"/>
        <v>4.6935074117647062</v>
      </c>
      <c r="AK48" s="47">
        <f t="shared" si="3"/>
        <v>4.6935074117647062</v>
      </c>
      <c r="AL48" s="35">
        <f t="shared" si="4"/>
        <v>0.31917671037577672</v>
      </c>
      <c r="AM48" s="9">
        <v>4249007</v>
      </c>
      <c r="AN48" s="47">
        <f t="shared" si="5"/>
        <v>5.3252624595583394E-2</v>
      </c>
      <c r="AO48" s="9">
        <v>180</v>
      </c>
      <c r="AP48" s="43"/>
      <c r="AQ48" s="9">
        <v>138511.51</v>
      </c>
      <c r="AR48" s="9">
        <f>AQ48+ROUND(AV48*(24%)/360*30,2)</f>
        <v>162973.40000000002</v>
      </c>
      <c r="AS48" s="30">
        <v>2</v>
      </c>
      <c r="AT48" s="29">
        <f>3500000+1223094.25</f>
        <v>4723094.25</v>
      </c>
      <c r="AU48" s="3">
        <f t="shared" si="9"/>
        <v>3500000</v>
      </c>
      <c r="AV48" s="17">
        <v>1223094.25</v>
      </c>
      <c r="AW48" s="104">
        <f t="shared" si="6"/>
        <v>0.34945549999999997</v>
      </c>
      <c r="AX48" s="117">
        <v>0</v>
      </c>
      <c r="AY48" s="95">
        <f t="shared" si="7"/>
        <v>0</v>
      </c>
      <c r="AZ48" s="117">
        <v>0</v>
      </c>
      <c r="BA48" s="95">
        <f t="shared" si="8"/>
        <v>0</v>
      </c>
      <c r="BB48" s="38">
        <v>48923.77</v>
      </c>
      <c r="BC48" s="3"/>
      <c r="BD48" s="3"/>
      <c r="BE48" s="3"/>
      <c r="BF48" s="3"/>
      <c r="BG48" s="55">
        <v>45076</v>
      </c>
      <c r="BH48" s="5" t="s">
        <v>22</v>
      </c>
      <c r="BI48" s="5"/>
      <c r="BJ48" s="5"/>
      <c r="BK48" s="5"/>
      <c r="BL48" s="5"/>
      <c r="BM48" s="5"/>
      <c r="BN48" s="5"/>
      <c r="BO48" s="5" t="s">
        <v>97</v>
      </c>
      <c r="BP48" s="24">
        <v>2</v>
      </c>
      <c r="BQ48" s="3" t="s">
        <v>17</v>
      </c>
      <c r="BR48" s="32">
        <v>8310690.3120000008</v>
      </c>
      <c r="BS48" s="54" t="s">
        <v>18</v>
      </c>
      <c r="BT48" s="33">
        <v>138511.51</v>
      </c>
      <c r="BU48" s="3" t="s">
        <v>21</v>
      </c>
      <c r="BV48" s="3" t="s">
        <v>342</v>
      </c>
      <c r="BW48" s="3" t="s">
        <v>373</v>
      </c>
      <c r="BX48" s="28" t="s">
        <v>116</v>
      </c>
      <c r="BY48" s="151"/>
    </row>
    <row r="49" spans="1:78" ht="26.25" customHeight="1" x14ac:dyDescent="0.25">
      <c r="A49" s="119" t="s">
        <v>131</v>
      </c>
      <c r="B49" s="124" t="s">
        <v>383</v>
      </c>
      <c r="C49" s="2" t="s">
        <v>15</v>
      </c>
      <c r="D49" s="9">
        <v>1500000</v>
      </c>
      <c r="E49" s="9">
        <v>1500000</v>
      </c>
      <c r="F49" s="3" t="s">
        <v>16</v>
      </c>
      <c r="G49" s="26" t="s">
        <v>20</v>
      </c>
      <c r="H49" s="111" t="s">
        <v>20</v>
      </c>
      <c r="I49" s="111" t="s">
        <v>20</v>
      </c>
      <c r="J49" s="110" t="s">
        <v>314</v>
      </c>
      <c r="K49" s="9" t="s">
        <v>20</v>
      </c>
      <c r="L49" s="9" t="s">
        <v>20</v>
      </c>
      <c r="M49" s="9">
        <v>1594780.99</v>
      </c>
      <c r="N49" s="21" t="s">
        <v>20</v>
      </c>
      <c r="O49" s="9" t="s">
        <v>20</v>
      </c>
      <c r="P49" s="3" t="s">
        <v>20</v>
      </c>
      <c r="Q49" s="21" t="s">
        <v>20</v>
      </c>
      <c r="R49" s="3" t="s">
        <v>20</v>
      </c>
      <c r="S49" s="70" t="s">
        <v>82</v>
      </c>
      <c r="T49" s="71">
        <v>1.19</v>
      </c>
      <c r="U49" s="3" t="s">
        <v>20</v>
      </c>
      <c r="V49" s="3" t="s">
        <v>20</v>
      </c>
      <c r="W49" s="30" t="s">
        <v>20</v>
      </c>
      <c r="X49" s="9">
        <v>17224723.580000002</v>
      </c>
      <c r="Y49" s="3"/>
      <c r="Z49" s="109" t="e">
        <f t="shared" si="0"/>
        <v>#VALUE!</v>
      </c>
      <c r="AA49" s="3"/>
      <c r="AB49" s="3"/>
      <c r="AC49" s="3"/>
      <c r="AD49" s="3"/>
      <c r="AE49" s="4" t="s">
        <v>78</v>
      </c>
      <c r="AF49" s="25">
        <v>1</v>
      </c>
      <c r="AG49" s="35">
        <v>15000000</v>
      </c>
      <c r="AH49" s="35">
        <v>15000000</v>
      </c>
      <c r="AI49" s="35">
        <v>1290000</v>
      </c>
      <c r="AJ49" s="47">
        <f t="shared" si="10"/>
        <v>8.5999999999999993E-2</v>
      </c>
      <c r="AK49" s="52">
        <f t="shared" si="3"/>
        <v>8.5999999999999993E-2</v>
      </c>
      <c r="AL49" s="42">
        <f t="shared" si="4"/>
        <v>7.4892348432101796E-2</v>
      </c>
      <c r="AM49" s="42">
        <v>0</v>
      </c>
      <c r="AN49" s="52">
        <f t="shared" si="5"/>
        <v>0</v>
      </c>
      <c r="AO49" s="42">
        <v>0</v>
      </c>
      <c r="AP49" s="43"/>
      <c r="AQ49" s="3" t="s">
        <v>20</v>
      </c>
      <c r="AR49" s="3" t="s">
        <v>20</v>
      </c>
      <c r="AS49" s="30">
        <v>2</v>
      </c>
      <c r="AT49" s="29">
        <v>2144564.9899999998</v>
      </c>
      <c r="AU49" s="21">
        <f t="shared" si="9"/>
        <v>709262.09999999986</v>
      </c>
      <c r="AV49" s="75">
        <v>1435302.89</v>
      </c>
      <c r="AW49" s="104">
        <f t="shared" si="6"/>
        <v>0.95686859333333329</v>
      </c>
      <c r="AX49" s="105">
        <v>0</v>
      </c>
      <c r="AY49" s="106">
        <f t="shared" si="7"/>
        <v>0</v>
      </c>
      <c r="AZ49" s="105">
        <v>0</v>
      </c>
      <c r="BA49" s="106">
        <f t="shared" si="8"/>
        <v>0</v>
      </c>
      <c r="BB49" s="38">
        <v>73359.929999999993</v>
      </c>
      <c r="BC49" s="41" t="s">
        <v>20</v>
      </c>
      <c r="BD49" s="41" t="s">
        <v>20</v>
      </c>
      <c r="BE49" s="41" t="s">
        <v>20</v>
      </c>
      <c r="BF49" s="41" t="s">
        <v>20</v>
      </c>
      <c r="BG49" s="55">
        <v>44771</v>
      </c>
      <c r="BH49" s="5" t="s">
        <v>22</v>
      </c>
      <c r="BI49" s="5" t="s">
        <v>20</v>
      </c>
      <c r="BJ49" s="54" t="e">
        <f t="shared" ref="BJ49:BJ51" si="31">90-BI49</f>
        <v>#VALUE!</v>
      </c>
      <c r="BK49" s="101" t="s">
        <v>270</v>
      </c>
      <c r="BL49" s="101" t="s">
        <v>270</v>
      </c>
      <c r="BM49" s="107" t="str">
        <f t="shared" ref="BM49:BM51" si="32">+AE49</f>
        <v>Braskem</v>
      </c>
      <c r="BN49" s="101" t="s">
        <v>270</v>
      </c>
      <c r="BO49" s="20" t="s">
        <v>132</v>
      </c>
      <c r="BP49" s="24">
        <v>2</v>
      </c>
      <c r="BQ49" s="3" t="s">
        <v>17</v>
      </c>
      <c r="BR49" s="3" t="s">
        <v>20</v>
      </c>
      <c r="BS49" s="54" t="s">
        <v>18</v>
      </c>
      <c r="BT49" s="3" t="s">
        <v>20</v>
      </c>
      <c r="BU49" s="21" t="s">
        <v>21</v>
      </c>
      <c r="BV49" s="3" t="s">
        <v>343</v>
      </c>
      <c r="BW49" s="3" t="s">
        <v>368</v>
      </c>
      <c r="BX49" s="28" t="s">
        <v>119</v>
      </c>
      <c r="BY49" s="151"/>
    </row>
    <row r="50" spans="1:78" ht="26.25" customHeight="1" x14ac:dyDescent="0.25">
      <c r="A50" s="119" t="s">
        <v>139</v>
      </c>
      <c r="B50" s="124" t="s">
        <v>383</v>
      </c>
      <c r="C50" s="2" t="s">
        <v>15</v>
      </c>
      <c r="D50" s="9">
        <v>1800000</v>
      </c>
      <c r="E50" s="9">
        <v>1800000</v>
      </c>
      <c r="F50" s="3" t="s">
        <v>16</v>
      </c>
      <c r="G50" s="26" t="s">
        <v>20</v>
      </c>
      <c r="H50" s="111" t="s">
        <v>20</v>
      </c>
      <c r="I50" s="111" t="s">
        <v>20</v>
      </c>
      <c r="J50" s="110" t="s">
        <v>314</v>
      </c>
      <c r="K50" s="9" t="s">
        <v>20</v>
      </c>
      <c r="L50" s="9" t="s">
        <v>20</v>
      </c>
      <c r="M50" s="9">
        <v>634359.62</v>
      </c>
      <c r="N50" s="3" t="s">
        <v>20</v>
      </c>
      <c r="O50" s="9" t="s">
        <v>20</v>
      </c>
      <c r="P50" s="3" t="s">
        <v>20</v>
      </c>
      <c r="Q50" s="3" t="s">
        <v>20</v>
      </c>
      <c r="R50" s="3" t="s">
        <v>20</v>
      </c>
      <c r="S50" s="70" t="s">
        <v>82</v>
      </c>
      <c r="T50" s="71">
        <v>1.19</v>
      </c>
      <c r="U50" s="30" t="s">
        <v>20</v>
      </c>
      <c r="V50" s="3" t="s">
        <v>20</v>
      </c>
      <c r="W50" s="30" t="s">
        <v>20</v>
      </c>
      <c r="X50" s="9">
        <v>48408104.270000003</v>
      </c>
      <c r="Y50" s="3"/>
      <c r="Z50" s="109" t="e">
        <f t="shared" si="0"/>
        <v>#VALUE!</v>
      </c>
      <c r="AA50" s="3"/>
      <c r="AB50" s="3"/>
      <c r="AC50" s="3"/>
      <c r="AD50" s="3"/>
      <c r="AE50" s="4" t="s">
        <v>147</v>
      </c>
      <c r="AF50" s="25">
        <v>0.5</v>
      </c>
      <c r="AG50" s="35">
        <v>7000000</v>
      </c>
      <c r="AH50" s="35">
        <v>7000000</v>
      </c>
      <c r="AI50" s="9">
        <v>4696714</v>
      </c>
      <c r="AJ50" s="47">
        <f t="shared" si="10"/>
        <v>0.67095914285714287</v>
      </c>
      <c r="AK50" s="47">
        <f t="shared" si="3"/>
        <v>0.67095914285714287</v>
      </c>
      <c r="AL50" s="35">
        <f t="shared" si="4"/>
        <v>9.7023299524470294E-2</v>
      </c>
      <c r="AM50" s="35">
        <v>521923</v>
      </c>
      <c r="AN50" s="47">
        <f t="shared" si="5"/>
        <v>0.11112513983180582</v>
      </c>
      <c r="AO50" s="35">
        <v>89</v>
      </c>
      <c r="AP50" s="43"/>
      <c r="AQ50" s="3" t="s">
        <v>20</v>
      </c>
      <c r="AR50" s="3" t="s">
        <v>20</v>
      </c>
      <c r="AS50" s="30">
        <v>3</v>
      </c>
      <c r="AT50" s="29">
        <v>2863718.79</v>
      </c>
      <c r="AU50" s="3">
        <f t="shared" si="9"/>
        <v>2383375.3730000001</v>
      </c>
      <c r="AV50" s="17">
        <v>480343.41699999996</v>
      </c>
      <c r="AW50" s="104">
        <f t="shared" si="6"/>
        <v>0.26685745388888887</v>
      </c>
      <c r="AX50" s="117">
        <v>0</v>
      </c>
      <c r="AY50" s="95">
        <f t="shared" si="7"/>
        <v>0</v>
      </c>
      <c r="AZ50" s="117">
        <v>0</v>
      </c>
      <c r="BA50" s="95">
        <f t="shared" si="8"/>
        <v>0</v>
      </c>
      <c r="BB50" s="38">
        <v>30469.15</v>
      </c>
      <c r="BC50" s="9" t="s">
        <v>20</v>
      </c>
      <c r="BD50" s="9" t="s">
        <v>20</v>
      </c>
      <c r="BE50" s="9" t="s">
        <v>20</v>
      </c>
      <c r="BF50" s="9" t="s">
        <v>20</v>
      </c>
      <c r="BG50" s="55">
        <v>44651</v>
      </c>
      <c r="BH50" s="5" t="s">
        <v>284</v>
      </c>
      <c r="BI50" s="5" t="s">
        <v>20</v>
      </c>
      <c r="BJ50" s="5" t="e">
        <f t="shared" si="31"/>
        <v>#VALUE!</v>
      </c>
      <c r="BK50" s="101" t="s">
        <v>270</v>
      </c>
      <c r="BL50" s="101" t="s">
        <v>270</v>
      </c>
      <c r="BM50" s="20" t="str">
        <f t="shared" si="32"/>
        <v>Continental/Cmex Concretos/Orange Capital/Faudi</v>
      </c>
      <c r="BN50" s="101" t="s">
        <v>270</v>
      </c>
      <c r="BO50" s="20" t="s">
        <v>148</v>
      </c>
      <c r="BP50" s="24">
        <v>2</v>
      </c>
      <c r="BQ50" s="3" t="s">
        <v>17</v>
      </c>
      <c r="BR50" s="3" t="s">
        <v>20</v>
      </c>
      <c r="BS50" s="6" t="s">
        <v>61</v>
      </c>
      <c r="BT50" s="3" t="s">
        <v>20</v>
      </c>
      <c r="BU50" s="3" t="s">
        <v>21</v>
      </c>
      <c r="BV50" s="3" t="s">
        <v>344</v>
      </c>
      <c r="BW50" s="3" t="s">
        <v>368</v>
      </c>
      <c r="BX50" s="28" t="s">
        <v>116</v>
      </c>
      <c r="BY50" s="151"/>
    </row>
    <row r="51" spans="1:78" ht="26.25" customHeight="1" x14ac:dyDescent="0.25">
      <c r="A51" s="119" t="s">
        <v>141</v>
      </c>
      <c r="B51" s="124" t="s">
        <v>383</v>
      </c>
      <c r="C51" s="2" t="s">
        <v>15</v>
      </c>
      <c r="D51" s="9">
        <v>5000000</v>
      </c>
      <c r="E51" s="9">
        <v>5000000</v>
      </c>
      <c r="F51" s="3" t="s">
        <v>16</v>
      </c>
      <c r="G51" s="26" t="s">
        <v>20</v>
      </c>
      <c r="H51" s="111" t="s">
        <v>20</v>
      </c>
      <c r="I51" s="111" t="s">
        <v>20</v>
      </c>
      <c r="J51" s="110" t="s">
        <v>314</v>
      </c>
      <c r="K51" s="9" t="s">
        <v>20</v>
      </c>
      <c r="L51" s="9" t="s">
        <v>20</v>
      </c>
      <c r="M51" s="9">
        <v>1584814.26</v>
      </c>
      <c r="N51" s="3" t="s">
        <v>20</v>
      </c>
      <c r="O51" s="9" t="s">
        <v>20</v>
      </c>
      <c r="P51" s="3" t="s">
        <v>20</v>
      </c>
      <c r="Q51" s="3" t="s">
        <v>20</v>
      </c>
      <c r="R51" s="3" t="s">
        <v>20</v>
      </c>
      <c r="S51" s="70" t="s">
        <v>82</v>
      </c>
      <c r="T51" s="71">
        <v>1.19</v>
      </c>
      <c r="U51" s="30" t="s">
        <v>20</v>
      </c>
      <c r="V51" s="3" t="s">
        <v>20</v>
      </c>
      <c r="W51" s="30" t="s">
        <v>20</v>
      </c>
      <c r="X51" s="9">
        <v>53577795.759999998</v>
      </c>
      <c r="Y51" s="3"/>
      <c r="Z51" s="109" t="e">
        <f t="shared" si="0"/>
        <v>#VALUE!</v>
      </c>
      <c r="AA51" s="3"/>
      <c r="AB51" s="3"/>
      <c r="AC51" s="3"/>
      <c r="AD51" s="3"/>
      <c r="AE51" s="4" t="s">
        <v>149</v>
      </c>
      <c r="AF51" s="25">
        <v>0.85</v>
      </c>
      <c r="AG51" s="35">
        <v>4000000</v>
      </c>
      <c r="AH51" s="35">
        <v>4000000</v>
      </c>
      <c r="AI51" s="35">
        <v>2505996</v>
      </c>
      <c r="AJ51" s="47">
        <f t="shared" si="10"/>
        <v>0.62649900000000003</v>
      </c>
      <c r="AK51" s="47">
        <f t="shared" si="3"/>
        <v>0.62649900000000003</v>
      </c>
      <c r="AL51" s="35">
        <f t="shared" si="4"/>
        <v>4.6773032829225153E-2</v>
      </c>
      <c r="AM51" s="35">
        <v>0</v>
      </c>
      <c r="AN51" s="47">
        <f t="shared" si="5"/>
        <v>0</v>
      </c>
      <c r="AO51" s="35">
        <v>0</v>
      </c>
      <c r="AP51" s="43"/>
      <c r="AQ51" s="3" t="s">
        <v>20</v>
      </c>
      <c r="AR51" s="3" t="s">
        <v>20</v>
      </c>
      <c r="AS51" s="30">
        <v>24</v>
      </c>
      <c r="AT51" s="29">
        <v>20027826.393999998</v>
      </c>
      <c r="AU51" s="3">
        <f t="shared" si="9"/>
        <v>15921274.878999997</v>
      </c>
      <c r="AV51" s="17">
        <v>4106551.5149999997</v>
      </c>
      <c r="AW51" s="104">
        <f t="shared" si="6"/>
        <v>0.82131030299999996</v>
      </c>
      <c r="AX51" s="117">
        <v>0</v>
      </c>
      <c r="AY51" s="95">
        <f t="shared" si="7"/>
        <v>0</v>
      </c>
      <c r="AZ51" s="117">
        <v>0</v>
      </c>
      <c r="BA51" s="95">
        <f t="shared" si="8"/>
        <v>0</v>
      </c>
      <c r="BB51" s="38">
        <v>266058.68</v>
      </c>
      <c r="BC51" s="9" t="s">
        <v>20</v>
      </c>
      <c r="BD51" s="9" t="s">
        <v>20</v>
      </c>
      <c r="BE51" s="9" t="s">
        <v>20</v>
      </c>
      <c r="BF51" s="9" t="s">
        <v>20</v>
      </c>
      <c r="BG51" s="55">
        <v>44681</v>
      </c>
      <c r="BH51" s="5" t="s">
        <v>22</v>
      </c>
      <c r="BI51" s="5" t="s">
        <v>20</v>
      </c>
      <c r="BJ51" s="5" t="e">
        <f t="shared" si="31"/>
        <v>#VALUE!</v>
      </c>
      <c r="BK51" s="101" t="s">
        <v>270</v>
      </c>
      <c r="BL51" s="101" t="s">
        <v>270</v>
      </c>
      <c r="BM51" s="20" t="str">
        <f t="shared" si="32"/>
        <v>Cimentaciones/ICA Flour/Samsung/IDINSA/Servifacil/Mexichem/Pimosa/Keller</v>
      </c>
      <c r="BN51" s="101" t="s">
        <v>270</v>
      </c>
      <c r="BO51" s="5" t="s">
        <v>97</v>
      </c>
      <c r="BP51" s="24">
        <v>2</v>
      </c>
      <c r="BQ51" s="3" t="s">
        <v>17</v>
      </c>
      <c r="BR51" s="3" t="s">
        <v>20</v>
      </c>
      <c r="BS51" s="54" t="s">
        <v>18</v>
      </c>
      <c r="BT51" s="3" t="s">
        <v>20</v>
      </c>
      <c r="BU51" s="3" t="s">
        <v>21</v>
      </c>
      <c r="BV51" s="3" t="s">
        <v>345</v>
      </c>
      <c r="BW51" s="3" t="s">
        <v>362</v>
      </c>
      <c r="BX51" s="28" t="s">
        <v>116</v>
      </c>
      <c r="BY51" s="151"/>
    </row>
    <row r="52" spans="1:78" ht="26.25" customHeight="1" x14ac:dyDescent="0.25">
      <c r="A52" s="129" t="s">
        <v>140</v>
      </c>
      <c r="B52" s="154" t="s">
        <v>386</v>
      </c>
      <c r="C52" s="2" t="s">
        <v>15</v>
      </c>
      <c r="D52" s="9">
        <v>5000000</v>
      </c>
      <c r="E52" s="9">
        <v>5000000</v>
      </c>
      <c r="F52" s="30" t="s">
        <v>298</v>
      </c>
      <c r="G52" s="26" t="s">
        <v>20</v>
      </c>
      <c r="H52" s="111" t="s">
        <v>20</v>
      </c>
      <c r="I52" s="111" t="s">
        <v>20</v>
      </c>
      <c r="J52" s="110" t="s">
        <v>314</v>
      </c>
      <c r="K52" s="9">
        <v>700000</v>
      </c>
      <c r="L52" s="9">
        <v>1401380.98</v>
      </c>
      <c r="M52" s="9">
        <f>61119+2041382</f>
        <v>2102501</v>
      </c>
      <c r="N52" s="25">
        <f>+M52/L52</f>
        <v>1.5003065048021418</v>
      </c>
      <c r="O52" s="9">
        <f>61119.24+1949931+2041382</f>
        <v>4052432.24</v>
      </c>
      <c r="P52" s="33">
        <v>500000</v>
      </c>
      <c r="Q52" s="25">
        <f>+P52/L52</f>
        <v>0.35679091348877878</v>
      </c>
      <c r="R52" s="33">
        <f>O52+M52-P52</f>
        <v>5654933.2400000002</v>
      </c>
      <c r="S52" s="15">
        <v>2.5</v>
      </c>
      <c r="T52" s="15">
        <v>2.5</v>
      </c>
      <c r="U52" s="15">
        <f t="shared" ref="U52" si="33">P52/AR52</f>
        <v>1.0524298669156127</v>
      </c>
      <c r="V52" s="15">
        <f>R52/AV52</f>
        <v>2.226185161158694</v>
      </c>
      <c r="W52" s="15">
        <f>M52/AQ52</f>
        <v>5.0460023596319816</v>
      </c>
      <c r="X52" s="9">
        <f>60899210.93+76227120.26</f>
        <v>137126331.19</v>
      </c>
      <c r="Y52" s="15"/>
      <c r="Z52" s="109">
        <f t="shared" si="0"/>
        <v>0.23781201530938631</v>
      </c>
      <c r="AA52" s="15"/>
      <c r="AB52" s="15"/>
      <c r="AC52" s="15"/>
      <c r="AD52" s="15"/>
      <c r="AE52" s="4" t="s">
        <v>150</v>
      </c>
      <c r="AF52" s="25">
        <v>0</v>
      </c>
      <c r="AG52" s="35">
        <f>+X52*0.3</f>
        <v>41137899.357000001</v>
      </c>
      <c r="AH52" s="35">
        <v>15000000</v>
      </c>
      <c r="AI52" s="35">
        <f>6518000+6914000</f>
        <v>13432000</v>
      </c>
      <c r="AJ52" s="47">
        <f t="shared" si="10"/>
        <v>0.89546666666666663</v>
      </c>
      <c r="AK52" s="47">
        <f t="shared" si="3"/>
        <v>0.3265115674340921</v>
      </c>
      <c r="AL52" s="35">
        <f t="shared" si="4"/>
        <v>9.7953470230227629E-2</v>
      </c>
      <c r="AM52" s="35">
        <f>3086000+16000</f>
        <v>3102000</v>
      </c>
      <c r="AN52" s="47">
        <f t="shared" si="5"/>
        <v>0.23094103633114949</v>
      </c>
      <c r="AO52" s="35">
        <v>69</v>
      </c>
      <c r="AP52" s="43"/>
      <c r="AQ52" s="9">
        <v>416666.67</v>
      </c>
      <c r="AR52" s="9">
        <f>AQ52+ROUND(AV52*(27.6%)/360*30,2)</f>
        <v>475091.04</v>
      </c>
      <c r="AS52" s="30">
        <v>1</v>
      </c>
      <c r="AT52" s="29">
        <v>5000000</v>
      </c>
      <c r="AU52" s="3">
        <f t="shared" si="9"/>
        <v>2459810.02</v>
      </c>
      <c r="AV52" s="17">
        <v>2540189.98</v>
      </c>
      <c r="AW52" s="104">
        <f t="shared" si="6"/>
        <v>0.50803799599999999</v>
      </c>
      <c r="AX52" s="117">
        <v>1666666.68</v>
      </c>
      <c r="AY52" s="95">
        <f t="shared" si="7"/>
        <v>0.65611890965730046</v>
      </c>
      <c r="AZ52" s="117">
        <v>0</v>
      </c>
      <c r="BA52" s="95">
        <f t="shared" si="8"/>
        <v>0</v>
      </c>
      <c r="BB52" s="38">
        <v>230000</v>
      </c>
      <c r="BC52" s="3"/>
      <c r="BD52" s="3"/>
      <c r="BE52" s="3">
        <v>70</v>
      </c>
      <c r="BF52" s="3"/>
      <c r="BG52" s="55">
        <v>44804</v>
      </c>
      <c r="BH52" s="5" t="s">
        <v>22</v>
      </c>
      <c r="BI52" s="5"/>
      <c r="BJ52" s="5"/>
      <c r="BK52" s="5"/>
      <c r="BL52" s="5"/>
      <c r="BM52" s="5"/>
      <c r="BN52" s="5"/>
      <c r="BO52" s="5" t="s">
        <v>151</v>
      </c>
      <c r="BP52" s="24">
        <v>1</v>
      </c>
      <c r="BQ52" s="3" t="s">
        <v>17</v>
      </c>
      <c r="BR52" s="3" t="s">
        <v>20</v>
      </c>
      <c r="BS52" s="6" t="s">
        <v>61</v>
      </c>
      <c r="BT52" s="3">
        <v>700000</v>
      </c>
      <c r="BU52" s="3" t="s">
        <v>21</v>
      </c>
      <c r="BV52" s="3" t="s">
        <v>348</v>
      </c>
      <c r="BW52" s="3" t="s">
        <v>328</v>
      </c>
      <c r="BX52" s="28" t="s">
        <v>119</v>
      </c>
      <c r="BY52" s="152"/>
      <c r="BZ52" s="138" t="s">
        <v>310</v>
      </c>
    </row>
    <row r="53" spans="1:78" ht="26.25" customHeight="1" x14ac:dyDescent="0.25">
      <c r="A53" s="119" t="s">
        <v>160</v>
      </c>
      <c r="B53" s="124" t="s">
        <v>383</v>
      </c>
      <c r="C53" s="2" t="s">
        <v>15</v>
      </c>
      <c r="D53" s="9">
        <v>10000000</v>
      </c>
      <c r="E53" s="9">
        <v>10000000</v>
      </c>
      <c r="F53" s="30" t="s">
        <v>100</v>
      </c>
      <c r="G53" s="3">
        <v>11300000</v>
      </c>
      <c r="H53" s="110">
        <v>0.7533333333333333</v>
      </c>
      <c r="I53" s="110">
        <f t="shared" si="11"/>
        <v>1.1299999999999999</v>
      </c>
      <c r="J53" s="110" t="s">
        <v>314</v>
      </c>
      <c r="K53" s="9" t="s">
        <v>20</v>
      </c>
      <c r="L53" s="9" t="s">
        <v>20</v>
      </c>
      <c r="M53" s="9">
        <v>4101962.56</v>
      </c>
      <c r="N53" s="21" t="s">
        <v>20</v>
      </c>
      <c r="O53" s="9" t="s">
        <v>20</v>
      </c>
      <c r="P53" s="3">
        <v>2580000</v>
      </c>
      <c r="Q53" s="21" t="s">
        <v>20</v>
      </c>
      <c r="R53" s="9">
        <v>0</v>
      </c>
      <c r="S53" s="15">
        <v>1.2</v>
      </c>
      <c r="T53" s="15">
        <v>1.2</v>
      </c>
      <c r="U53" s="15" t="s">
        <v>20</v>
      </c>
      <c r="V53" s="15">
        <f>R53/AV53</f>
        <v>0</v>
      </c>
      <c r="W53" s="15">
        <f>M53/AR53</f>
        <v>45.697846689343493</v>
      </c>
      <c r="X53" s="9">
        <v>202405829.81999981</v>
      </c>
      <c r="Y53" s="15"/>
      <c r="Z53" s="109">
        <f t="shared" si="0"/>
        <v>0.62896722294803198</v>
      </c>
      <c r="AA53" s="15"/>
      <c r="AB53" s="15"/>
      <c r="AC53" s="15"/>
      <c r="AD53" s="15"/>
      <c r="AE53" s="4" t="s">
        <v>162</v>
      </c>
      <c r="AF53" s="25">
        <v>1</v>
      </c>
      <c r="AG53" s="35">
        <v>25000000</v>
      </c>
      <c r="AH53" s="35">
        <v>25000000</v>
      </c>
      <c r="AI53" s="9">
        <v>7218933</v>
      </c>
      <c r="AJ53" s="47">
        <f t="shared" si="10"/>
        <v>0.28875731999999998</v>
      </c>
      <c r="AK53" s="52">
        <f t="shared" si="3"/>
        <v>0.28875731999999998</v>
      </c>
      <c r="AL53" s="42">
        <f t="shared" si="4"/>
        <v>3.5665637726046834E-2</v>
      </c>
      <c r="AM53" s="41">
        <v>217380</v>
      </c>
      <c r="AN53" s="52">
        <f t="shared" si="5"/>
        <v>3.0112483382239454E-2</v>
      </c>
      <c r="AO53" s="41">
        <v>60</v>
      </c>
      <c r="AP53" s="43"/>
      <c r="AQ53" s="9">
        <v>0</v>
      </c>
      <c r="AR53" s="9">
        <f>AQ53+ROUND(AV53*(24%)/360*30,2)</f>
        <v>89762.71</v>
      </c>
      <c r="AS53" s="30">
        <v>5</v>
      </c>
      <c r="AT53" s="29">
        <v>14000000</v>
      </c>
      <c r="AU53" s="21">
        <f t="shared" si="9"/>
        <v>9511864.7400000002</v>
      </c>
      <c r="AV53" s="75">
        <v>4488135.26</v>
      </c>
      <c r="AW53" s="104">
        <f t="shared" si="6"/>
        <v>0.44881352599999996</v>
      </c>
      <c r="AX53" s="105">
        <v>0</v>
      </c>
      <c r="AY53" s="106">
        <f t="shared" si="7"/>
        <v>0</v>
      </c>
      <c r="AZ53" s="105">
        <v>0</v>
      </c>
      <c r="BA53" s="106">
        <f t="shared" si="8"/>
        <v>0</v>
      </c>
      <c r="BB53" s="136">
        <v>131378.62</v>
      </c>
      <c r="BC53" s="21"/>
      <c r="BD53" s="21"/>
      <c r="BE53" s="21"/>
      <c r="BF53" s="21"/>
      <c r="BG53" s="55">
        <v>44804</v>
      </c>
      <c r="BH53" s="18" t="s">
        <v>22</v>
      </c>
      <c r="BI53" s="5"/>
      <c r="BJ53" s="5"/>
      <c r="BK53" s="5"/>
      <c r="BL53" s="5"/>
      <c r="BM53" s="5"/>
      <c r="BN53" s="5"/>
      <c r="BO53" s="5" t="s">
        <v>151</v>
      </c>
      <c r="BP53" s="24">
        <v>2</v>
      </c>
      <c r="BQ53" s="3" t="s">
        <v>161</v>
      </c>
      <c r="BR53" s="32">
        <v>14648825</v>
      </c>
      <c r="BS53" s="6" t="s">
        <v>61</v>
      </c>
      <c r="BT53" s="3" t="s">
        <v>20</v>
      </c>
      <c r="BU53" s="21" t="s">
        <v>21</v>
      </c>
      <c r="BV53" s="3" t="s">
        <v>349</v>
      </c>
      <c r="BW53" s="3" t="s">
        <v>368</v>
      </c>
      <c r="BX53" s="28" t="s">
        <v>119</v>
      </c>
      <c r="BY53" s="151"/>
    </row>
    <row r="54" spans="1:78" ht="26.25" customHeight="1" x14ac:dyDescent="0.25">
      <c r="A54" s="119" t="s">
        <v>155</v>
      </c>
      <c r="B54" s="124" t="s">
        <v>383</v>
      </c>
      <c r="C54" s="2" t="s">
        <v>15</v>
      </c>
      <c r="D54" s="9">
        <v>2500000</v>
      </c>
      <c r="E54" s="9">
        <v>2500000</v>
      </c>
      <c r="F54" s="3" t="s">
        <v>16</v>
      </c>
      <c r="G54" s="26" t="s">
        <v>20</v>
      </c>
      <c r="H54" s="111" t="s">
        <v>20</v>
      </c>
      <c r="I54" s="111" t="s">
        <v>20</v>
      </c>
      <c r="J54" s="110" t="s">
        <v>314</v>
      </c>
      <c r="K54" s="9" t="s">
        <v>20</v>
      </c>
      <c r="L54" s="9" t="s">
        <v>20</v>
      </c>
      <c r="M54" s="9">
        <v>5665951.6799999997</v>
      </c>
      <c r="N54" s="21" t="s">
        <v>20</v>
      </c>
      <c r="O54" s="9" t="s">
        <v>20</v>
      </c>
      <c r="P54" s="3" t="s">
        <v>20</v>
      </c>
      <c r="Q54" s="21" t="s">
        <v>20</v>
      </c>
      <c r="R54" s="3" t="s">
        <v>20</v>
      </c>
      <c r="S54" s="70" t="s">
        <v>82</v>
      </c>
      <c r="T54" s="71">
        <v>1.19</v>
      </c>
      <c r="U54" s="30" t="s">
        <v>20</v>
      </c>
      <c r="V54" s="3" t="s">
        <v>20</v>
      </c>
      <c r="W54" s="30" t="s">
        <v>20</v>
      </c>
      <c r="X54" s="9">
        <v>142307829.84999996</v>
      </c>
      <c r="Y54" s="3"/>
      <c r="Z54" s="109" t="e">
        <f t="shared" si="0"/>
        <v>#VALUE!</v>
      </c>
      <c r="AA54" s="3"/>
      <c r="AB54" s="3"/>
      <c r="AC54" s="3"/>
      <c r="AD54" s="3"/>
      <c r="AE54" s="4" t="s">
        <v>156</v>
      </c>
      <c r="AF54" s="25">
        <v>1</v>
      </c>
      <c r="AG54" s="35">
        <v>6000000</v>
      </c>
      <c r="AH54" s="35">
        <v>6000000</v>
      </c>
      <c r="AI54" s="35">
        <v>7283266</v>
      </c>
      <c r="AJ54" s="47">
        <f t="shared" si="10"/>
        <v>1.2138776666666666</v>
      </c>
      <c r="AK54" s="52">
        <f t="shared" si="3"/>
        <v>1.2138776666666666</v>
      </c>
      <c r="AL54" s="42">
        <f t="shared" si="4"/>
        <v>5.1179657561196391E-2</v>
      </c>
      <c r="AM54" s="42">
        <v>0</v>
      </c>
      <c r="AN54" s="52">
        <f t="shared" si="5"/>
        <v>0</v>
      </c>
      <c r="AO54" s="42">
        <v>0</v>
      </c>
      <c r="AP54" s="43"/>
      <c r="AQ54" s="3" t="s">
        <v>20</v>
      </c>
      <c r="AR54" s="3" t="s">
        <v>20</v>
      </c>
      <c r="AS54" s="30">
        <v>4</v>
      </c>
      <c r="AT54" s="29">
        <v>9548639.0760000013</v>
      </c>
      <c r="AU54" s="21">
        <f t="shared" si="9"/>
        <v>7115586.2100000009</v>
      </c>
      <c r="AV54" s="75">
        <v>2433052.8659999999</v>
      </c>
      <c r="AW54" s="104">
        <f t="shared" si="6"/>
        <v>0.97322114640000001</v>
      </c>
      <c r="AX54" s="105">
        <v>0</v>
      </c>
      <c r="AY54" s="106">
        <f t="shared" si="7"/>
        <v>0</v>
      </c>
      <c r="AZ54" s="105">
        <v>0</v>
      </c>
      <c r="BA54" s="106">
        <f t="shared" si="8"/>
        <v>0</v>
      </c>
      <c r="BB54" s="38">
        <v>108135.67999999999</v>
      </c>
      <c r="BC54" s="41" t="s">
        <v>20</v>
      </c>
      <c r="BD54" s="41" t="s">
        <v>20</v>
      </c>
      <c r="BE54" s="41" t="s">
        <v>20</v>
      </c>
      <c r="BF54" s="41" t="s">
        <v>20</v>
      </c>
      <c r="BG54" s="55">
        <v>44742</v>
      </c>
      <c r="BH54" s="18" t="s">
        <v>22</v>
      </c>
      <c r="BI54" s="5" t="s">
        <v>20</v>
      </c>
      <c r="BJ54" s="54" t="e">
        <f>90-BI54</f>
        <v>#VALUE!</v>
      </c>
      <c r="BK54" s="101" t="s">
        <v>270</v>
      </c>
      <c r="BL54" s="101" t="s">
        <v>270</v>
      </c>
      <c r="BM54" s="107" t="str">
        <f>+AE54</f>
        <v>ZTE Corporation / Estee Lauder Cosmeticos</v>
      </c>
      <c r="BN54" s="101" t="s">
        <v>270</v>
      </c>
      <c r="BO54" s="20" t="s">
        <v>151</v>
      </c>
      <c r="BP54" s="24">
        <v>2</v>
      </c>
      <c r="BQ54" s="3" t="s">
        <v>17</v>
      </c>
      <c r="BR54" s="3" t="s">
        <v>20</v>
      </c>
      <c r="BS54" s="6" t="s">
        <v>61</v>
      </c>
      <c r="BT54" s="3" t="s">
        <v>20</v>
      </c>
      <c r="BU54" s="21" t="s">
        <v>21</v>
      </c>
      <c r="BV54" s="21"/>
      <c r="BW54" s="21"/>
      <c r="BX54" s="28" t="s">
        <v>119</v>
      </c>
      <c r="BY54" s="151"/>
    </row>
    <row r="55" spans="1:78" ht="26.25" customHeight="1" x14ac:dyDescent="0.25">
      <c r="A55" s="119" t="s">
        <v>157</v>
      </c>
      <c r="B55" s="124" t="s">
        <v>383</v>
      </c>
      <c r="C55" s="2" t="s">
        <v>15</v>
      </c>
      <c r="D55" s="9">
        <v>3000000</v>
      </c>
      <c r="E55" s="9">
        <v>3000000</v>
      </c>
      <c r="F55" s="30" t="s">
        <v>298</v>
      </c>
      <c r="G55" s="3">
        <v>3000000</v>
      </c>
      <c r="H55" s="110">
        <v>1</v>
      </c>
      <c r="I55" s="110">
        <f t="shared" si="11"/>
        <v>1</v>
      </c>
      <c r="J55" s="110" t="s">
        <v>314</v>
      </c>
      <c r="K55" s="9">
        <v>800000</v>
      </c>
      <c r="L55" s="9">
        <v>1730000</v>
      </c>
      <c r="M55" s="9">
        <v>8900882.6300000008</v>
      </c>
      <c r="N55" s="25">
        <f>+M55/L55</f>
        <v>5.1450188612716765</v>
      </c>
      <c r="O55" s="9">
        <f>6883263+8900883</f>
        <v>15784146</v>
      </c>
      <c r="P55" s="33">
        <v>0</v>
      </c>
      <c r="Q55" s="25">
        <f>+P55/L55</f>
        <v>0</v>
      </c>
      <c r="R55" s="33">
        <f>O55+M55-P55</f>
        <v>24685028.630000003</v>
      </c>
      <c r="S55" s="15">
        <v>2.5</v>
      </c>
      <c r="T55" s="15">
        <v>2.5</v>
      </c>
      <c r="U55" s="15">
        <f>P55/AR55</f>
        <v>0</v>
      </c>
      <c r="V55" s="15">
        <f>R55/AV55</f>
        <v>37.027541093622951</v>
      </c>
      <c r="W55" s="40">
        <f>M55/AQ55</f>
        <v>53.405294711894108</v>
      </c>
      <c r="X55" s="9">
        <v>56236117.140000001</v>
      </c>
      <c r="Y55" s="40"/>
      <c r="Z55" s="109">
        <f t="shared" si="0"/>
        <v>0</v>
      </c>
      <c r="AA55" s="40"/>
      <c r="AB55" s="40"/>
      <c r="AC55" s="40"/>
      <c r="AD55" s="40"/>
      <c r="AE55" s="4" t="s">
        <v>273</v>
      </c>
      <c r="AF55" s="25">
        <v>1</v>
      </c>
      <c r="AG55" s="35">
        <f>+X55*0.3</f>
        <v>16870835.142000001</v>
      </c>
      <c r="AH55" s="35">
        <v>5000000</v>
      </c>
      <c r="AI55" s="35">
        <v>6187371</v>
      </c>
      <c r="AJ55" s="47">
        <f t="shared" si="10"/>
        <v>1.2374742000000001</v>
      </c>
      <c r="AK55" s="47">
        <f t="shared" si="3"/>
        <v>0.3667495383554854</v>
      </c>
      <c r="AL55" s="35">
        <f t="shared" si="4"/>
        <v>0.11002486150664562</v>
      </c>
      <c r="AM55" s="35">
        <v>0</v>
      </c>
      <c r="AN55" s="47">
        <f t="shared" si="5"/>
        <v>0</v>
      </c>
      <c r="AO55" s="35">
        <v>0</v>
      </c>
      <c r="AP55" s="43"/>
      <c r="AQ55" s="9">
        <v>166666.67000000001</v>
      </c>
      <c r="AR55" s="9">
        <f>AQ55+ROUND(AV55*(27.6%)/360*30,2)</f>
        <v>182000</v>
      </c>
      <c r="AS55" s="30">
        <v>1</v>
      </c>
      <c r="AT55" s="29">
        <v>2000000</v>
      </c>
      <c r="AU55" s="3">
        <f t="shared" si="9"/>
        <v>1333333.3</v>
      </c>
      <c r="AV55" s="17">
        <v>666666.69999999995</v>
      </c>
      <c r="AW55" s="104">
        <f t="shared" si="6"/>
        <v>0.22222223333333332</v>
      </c>
      <c r="AX55" s="117">
        <v>0</v>
      </c>
      <c r="AY55" s="95">
        <f t="shared" si="7"/>
        <v>0</v>
      </c>
      <c r="AZ55" s="117">
        <v>0</v>
      </c>
      <c r="BA55" s="95">
        <f t="shared" si="8"/>
        <v>0</v>
      </c>
      <c r="BB55" s="38">
        <v>92000</v>
      </c>
      <c r="BC55" s="3"/>
      <c r="BD55" s="3"/>
      <c r="BE55" s="3"/>
      <c r="BF55" s="3"/>
      <c r="BG55" s="55">
        <v>44834</v>
      </c>
      <c r="BH55" s="5" t="s">
        <v>22</v>
      </c>
      <c r="BI55" s="5"/>
      <c r="BJ55" s="5"/>
      <c r="BK55" s="5"/>
      <c r="BL55" s="5"/>
      <c r="BM55" s="5"/>
      <c r="BN55" s="5"/>
      <c r="BO55" s="5" t="s">
        <v>151</v>
      </c>
      <c r="BP55" s="24">
        <v>2</v>
      </c>
      <c r="BQ55" s="3" t="s">
        <v>17</v>
      </c>
      <c r="BR55" s="3" t="s">
        <v>20</v>
      </c>
      <c r="BS55" s="6" t="s">
        <v>61</v>
      </c>
      <c r="BT55" s="3">
        <v>800000</v>
      </c>
      <c r="BU55" s="3" t="s">
        <v>21</v>
      </c>
      <c r="BV55" s="3" t="s">
        <v>350</v>
      </c>
      <c r="BW55" s="3" t="s">
        <v>367</v>
      </c>
      <c r="BX55" s="28" t="s">
        <v>119</v>
      </c>
      <c r="BY55" s="152"/>
      <c r="BZ55" s="138" t="s">
        <v>321</v>
      </c>
    </row>
    <row r="56" spans="1:78" ht="26.25" customHeight="1" x14ac:dyDescent="0.25">
      <c r="A56" s="119" t="s">
        <v>163</v>
      </c>
      <c r="B56" s="124" t="s">
        <v>383</v>
      </c>
      <c r="C56" s="2" t="s">
        <v>15</v>
      </c>
      <c r="D56" s="9">
        <v>5000000</v>
      </c>
      <c r="E56" s="9">
        <v>5000000</v>
      </c>
      <c r="F56" s="3" t="s">
        <v>285</v>
      </c>
      <c r="G56" s="3">
        <f>4150000+2140000+2900000</f>
        <v>9190000</v>
      </c>
      <c r="H56" s="110">
        <v>1.5</v>
      </c>
      <c r="I56" s="110">
        <f t="shared" si="11"/>
        <v>1.8380000000000001</v>
      </c>
      <c r="J56" s="110" t="s">
        <v>314</v>
      </c>
      <c r="K56" s="9" t="s">
        <v>20</v>
      </c>
      <c r="L56" s="9" t="s">
        <v>20</v>
      </c>
      <c r="M56" s="9">
        <v>0</v>
      </c>
      <c r="N56" s="21" t="s">
        <v>20</v>
      </c>
      <c r="O56" s="9" t="s">
        <v>20</v>
      </c>
      <c r="P56" s="3">
        <v>537767.74</v>
      </c>
      <c r="Q56" s="21" t="s">
        <v>20</v>
      </c>
      <c r="R56" s="3" t="s">
        <v>20</v>
      </c>
      <c r="S56" s="70" t="s">
        <v>82</v>
      </c>
      <c r="T56" s="71">
        <v>1.19</v>
      </c>
      <c r="U56" s="30" t="s">
        <v>20</v>
      </c>
      <c r="V56" s="3" t="s">
        <v>20</v>
      </c>
      <c r="W56" s="30" t="s">
        <v>20</v>
      </c>
      <c r="X56" s="9">
        <v>250425247.04999992</v>
      </c>
      <c r="Y56" s="3"/>
      <c r="Z56" s="109" t="e">
        <f t="shared" si="0"/>
        <v>#DIV/0!</v>
      </c>
      <c r="AA56" s="3"/>
      <c r="AB56" s="3"/>
      <c r="AC56" s="3"/>
      <c r="AD56" s="3"/>
      <c r="AE56" s="4" t="s">
        <v>164</v>
      </c>
      <c r="AF56" s="25">
        <v>1</v>
      </c>
      <c r="AG56" s="35">
        <v>6000000</v>
      </c>
      <c r="AH56" s="35">
        <v>6000000</v>
      </c>
      <c r="AI56" s="35">
        <v>5222293</v>
      </c>
      <c r="AJ56" s="47">
        <f t="shared" si="10"/>
        <v>0.87038216666666668</v>
      </c>
      <c r="AK56" s="52">
        <f t="shared" si="3"/>
        <v>0.87038216666666668</v>
      </c>
      <c r="AL56" s="42">
        <f t="shared" si="4"/>
        <v>2.0853700102199824E-2</v>
      </c>
      <c r="AM56" s="42">
        <v>0</v>
      </c>
      <c r="AN56" s="52">
        <f t="shared" si="5"/>
        <v>0</v>
      </c>
      <c r="AO56" s="42">
        <v>0</v>
      </c>
      <c r="AP56" s="43"/>
      <c r="AQ56" s="3" t="s">
        <v>20</v>
      </c>
      <c r="AR56" s="3" t="s">
        <v>20</v>
      </c>
      <c r="AS56" s="30">
        <v>2</v>
      </c>
      <c r="AT56" s="29">
        <f>3582016.93+5000000</f>
        <v>8582016.9299999997</v>
      </c>
      <c r="AU56" s="21">
        <f t="shared" si="9"/>
        <v>3998683.5999999996</v>
      </c>
      <c r="AV56" s="75">
        <v>4583333.33</v>
      </c>
      <c r="AW56" s="104">
        <f t="shared" si="6"/>
        <v>0.91666666600000002</v>
      </c>
      <c r="AX56" s="105">
        <v>0</v>
      </c>
      <c r="AY56" s="106">
        <f t="shared" si="7"/>
        <v>0</v>
      </c>
      <c r="AZ56" s="105">
        <v>0</v>
      </c>
      <c r="BA56" s="106">
        <f t="shared" si="8"/>
        <v>0</v>
      </c>
      <c r="BB56" s="38">
        <v>230000</v>
      </c>
      <c r="BC56" s="41" t="s">
        <v>20</v>
      </c>
      <c r="BD56" s="41" t="s">
        <v>20</v>
      </c>
      <c r="BE56" s="41" t="s">
        <v>20</v>
      </c>
      <c r="BF56" s="41" t="s">
        <v>20</v>
      </c>
      <c r="BG56" s="55">
        <v>45016</v>
      </c>
      <c r="BH56" s="18" t="s">
        <v>22</v>
      </c>
      <c r="BI56" s="5" t="s">
        <v>20</v>
      </c>
      <c r="BJ56" s="54" t="e">
        <f>90-BI56</f>
        <v>#VALUE!</v>
      </c>
      <c r="BK56" s="101" t="s">
        <v>270</v>
      </c>
      <c r="BL56" s="101" t="s">
        <v>270</v>
      </c>
      <c r="BM56" s="107" t="str">
        <f>+AE56</f>
        <v>Cyplus-IDESA</v>
      </c>
      <c r="BN56" s="101" t="s">
        <v>270</v>
      </c>
      <c r="BO56" s="20" t="s">
        <v>93</v>
      </c>
      <c r="BP56" s="24">
        <v>3</v>
      </c>
      <c r="BQ56" s="3" t="s">
        <v>17</v>
      </c>
      <c r="BR56" s="3" t="s">
        <v>20</v>
      </c>
      <c r="BS56" s="6" t="s">
        <v>61</v>
      </c>
      <c r="BT56" s="3" t="s">
        <v>20</v>
      </c>
      <c r="BU56" s="21" t="s">
        <v>21</v>
      </c>
      <c r="BV56" s="3" t="s">
        <v>351</v>
      </c>
      <c r="BW56" s="3" t="s">
        <v>368</v>
      </c>
      <c r="BX56" s="28" t="s">
        <v>119</v>
      </c>
      <c r="BY56" s="151"/>
    </row>
    <row r="57" spans="1:78" ht="38.25" customHeight="1" x14ac:dyDescent="0.25">
      <c r="A57" s="130" t="s">
        <v>165</v>
      </c>
      <c r="B57" s="154" t="s">
        <v>384</v>
      </c>
      <c r="C57" s="2" t="s">
        <v>15</v>
      </c>
      <c r="D57" s="9">
        <v>5600000</v>
      </c>
      <c r="E57" s="9">
        <v>5600000</v>
      </c>
      <c r="F57" s="30" t="s">
        <v>298</v>
      </c>
      <c r="G57" s="26" t="s">
        <v>20</v>
      </c>
      <c r="H57" s="111" t="s">
        <v>20</v>
      </c>
      <c r="I57" s="111" t="s">
        <v>20</v>
      </c>
      <c r="J57" s="110" t="s">
        <v>314</v>
      </c>
      <c r="K57" s="9">
        <v>3000000</v>
      </c>
      <c r="L57" s="9">
        <v>7745856.4900000002</v>
      </c>
      <c r="M57" s="9">
        <v>18774208.140000001</v>
      </c>
      <c r="N57" s="25">
        <f t="shared" ref="N57:N59" si="34">+M57/L57</f>
        <v>2.4237743320235463</v>
      </c>
      <c r="O57" s="9">
        <f>2182144+18774208+985029</f>
        <v>21941381</v>
      </c>
      <c r="P57" s="33">
        <v>392702</v>
      </c>
      <c r="Q57" s="25">
        <f t="shared" ref="Q57:Q59" si="35">+P57/L57</f>
        <v>5.069833148948516E-2</v>
      </c>
      <c r="R57" s="9">
        <f>O57+M57-P57</f>
        <v>40322887.140000001</v>
      </c>
      <c r="S57" s="15" t="s">
        <v>167</v>
      </c>
      <c r="T57" s="15" t="s">
        <v>167</v>
      </c>
      <c r="U57" s="15">
        <f t="shared" ref="U57:U59" si="36">P57/AR57</f>
        <v>0.92701622168619602</v>
      </c>
      <c r="V57" s="15">
        <f>R57/AV57</f>
        <v>9.711847239031222</v>
      </c>
      <c r="W57" s="15">
        <f>M57/AQ57</f>
        <v>57.216634331428573</v>
      </c>
      <c r="X57" s="9">
        <f>108823492.84+388678350.78</f>
        <v>497501843.62</v>
      </c>
      <c r="Y57" s="15"/>
      <c r="Z57" s="109">
        <f t="shared" si="0"/>
        <v>2.0917100581372375E-2</v>
      </c>
      <c r="AA57" s="15"/>
      <c r="AB57" s="15"/>
      <c r="AC57" s="15"/>
      <c r="AD57" s="15"/>
      <c r="AE57" s="4" t="s">
        <v>274</v>
      </c>
      <c r="AF57" s="25">
        <v>0.5</v>
      </c>
      <c r="AG57" s="35">
        <f>+X57*0.3</f>
        <v>149250553.086</v>
      </c>
      <c r="AH57" s="35">
        <v>15000000</v>
      </c>
      <c r="AI57" s="35">
        <f>6416000+30000</f>
        <v>6446000</v>
      </c>
      <c r="AJ57" s="47">
        <f t="shared" si="10"/>
        <v>0.42973333333333336</v>
      </c>
      <c r="AK57" s="47">
        <f t="shared" si="3"/>
        <v>4.3189119683099172E-2</v>
      </c>
      <c r="AL57" s="47">
        <f t="shared" si="4"/>
        <v>1.2956735904929751E-2</v>
      </c>
      <c r="AM57" s="35">
        <v>0</v>
      </c>
      <c r="AN57" s="47">
        <f t="shared" si="5"/>
        <v>0</v>
      </c>
      <c r="AO57" s="35">
        <v>0</v>
      </c>
      <c r="AP57" s="43"/>
      <c r="AQ57" s="9">
        <v>328125</v>
      </c>
      <c r="AR57" s="9">
        <f>AQ57+ROUND(AV57*(27.6%)/360*30,2)</f>
        <v>423619.33999999997</v>
      </c>
      <c r="AS57" s="30">
        <v>1</v>
      </c>
      <c r="AT57" s="29">
        <v>5535904.5999999996</v>
      </c>
      <c r="AU57" s="3">
        <f t="shared" si="9"/>
        <v>1383976.9442657544</v>
      </c>
      <c r="AV57" s="17">
        <v>4151927.6557342452</v>
      </c>
      <c r="AW57" s="104">
        <f t="shared" si="6"/>
        <v>0.74141565280968669</v>
      </c>
      <c r="AX57" s="117">
        <v>328125</v>
      </c>
      <c r="AY57" s="95">
        <f t="shared" si="7"/>
        <v>7.9029556198269776E-2</v>
      </c>
      <c r="AZ57" s="117">
        <v>0</v>
      </c>
      <c r="BA57" s="95">
        <f t="shared" si="8"/>
        <v>0</v>
      </c>
      <c r="BB57" s="38">
        <v>254651.61</v>
      </c>
      <c r="BC57" s="3"/>
      <c r="BD57" s="3"/>
      <c r="BE57" s="3"/>
      <c r="BF57" s="3"/>
      <c r="BG57" s="55">
        <v>45200</v>
      </c>
      <c r="BH57" s="5" t="s">
        <v>22</v>
      </c>
      <c r="BI57" s="5"/>
      <c r="BJ57" s="5"/>
      <c r="BK57" s="5"/>
      <c r="BL57" s="5"/>
      <c r="BM57" s="5"/>
      <c r="BN57" s="5"/>
      <c r="BO57" s="5" t="s">
        <v>132</v>
      </c>
      <c r="BP57" s="24">
        <v>1</v>
      </c>
      <c r="BQ57" s="24" t="s">
        <v>166</v>
      </c>
      <c r="BR57" s="3" t="s">
        <v>20</v>
      </c>
      <c r="BS57" s="6" t="s">
        <v>61</v>
      </c>
      <c r="BT57" s="3">
        <v>3000000</v>
      </c>
      <c r="BU57" s="3" t="s">
        <v>21</v>
      </c>
      <c r="BV57" s="3" t="s">
        <v>352</v>
      </c>
      <c r="BW57" s="3" t="s">
        <v>352</v>
      </c>
      <c r="BX57" s="28" t="s">
        <v>116</v>
      </c>
      <c r="BY57" s="152"/>
      <c r="BZ57" s="138" t="s">
        <v>317</v>
      </c>
    </row>
    <row r="58" spans="1:78" ht="26.25" customHeight="1" x14ac:dyDescent="0.25">
      <c r="A58" s="119" t="s">
        <v>168</v>
      </c>
      <c r="B58" s="124" t="s">
        <v>383</v>
      </c>
      <c r="C58" s="2" t="s">
        <v>15</v>
      </c>
      <c r="D58" s="9">
        <v>3000000</v>
      </c>
      <c r="E58" s="9">
        <v>3000000</v>
      </c>
      <c r="F58" s="30" t="s">
        <v>298</v>
      </c>
      <c r="G58" s="3">
        <v>1056000</v>
      </c>
      <c r="H58" s="110">
        <v>0.35</v>
      </c>
      <c r="I58" s="110">
        <f t="shared" si="11"/>
        <v>0.35199999999999998</v>
      </c>
      <c r="J58" s="110"/>
      <c r="K58" s="9">
        <v>900000</v>
      </c>
      <c r="L58" s="9">
        <v>2213041.98</v>
      </c>
      <c r="M58" s="9">
        <v>592708.9</v>
      </c>
      <c r="N58" s="25">
        <f t="shared" si="34"/>
        <v>0.26782542100715145</v>
      </c>
      <c r="O58" s="9">
        <f>2034105+117531</f>
        <v>2151636</v>
      </c>
      <c r="P58" s="33">
        <v>825672.1</v>
      </c>
      <c r="Q58" s="25">
        <f t="shared" si="35"/>
        <v>0.37309373589017952</v>
      </c>
      <c r="R58" s="9">
        <f>O58+M58-P58</f>
        <v>1918672.7999999998</v>
      </c>
      <c r="S58" s="15" t="s">
        <v>170</v>
      </c>
      <c r="T58" s="15" t="s">
        <v>170</v>
      </c>
      <c r="U58" s="15">
        <f t="shared" si="36"/>
        <v>1.587449363133862</v>
      </c>
      <c r="V58" s="15" t="e">
        <f>R58/AV58</f>
        <v>#DIV/0!</v>
      </c>
      <c r="W58" s="15">
        <f>M58/AQ58</f>
        <v>1.1395508771929825</v>
      </c>
      <c r="X58" s="9"/>
      <c r="Y58" s="15"/>
      <c r="Z58" s="109">
        <f t="shared" si="0"/>
        <v>1.3930482569099265</v>
      </c>
      <c r="AA58" s="15"/>
      <c r="AB58" s="15"/>
      <c r="AC58" s="15"/>
      <c r="AD58" s="15"/>
      <c r="AE58" s="4" t="s">
        <v>169</v>
      </c>
      <c r="AF58" s="25">
        <v>1</v>
      </c>
      <c r="AG58" s="35">
        <v>14923848</v>
      </c>
      <c r="AH58" s="35">
        <v>14923848</v>
      </c>
      <c r="AI58" s="35">
        <v>6406000</v>
      </c>
      <c r="AJ58" s="47">
        <f t="shared" si="10"/>
        <v>0.42924586205916865</v>
      </c>
      <c r="AK58" s="52">
        <f t="shared" si="3"/>
        <v>0.42924586205916865</v>
      </c>
      <c r="AL58" s="42" t="e">
        <f t="shared" si="4"/>
        <v>#DIV/0!</v>
      </c>
      <c r="AM58" s="42">
        <v>0</v>
      </c>
      <c r="AN58" s="52">
        <f t="shared" si="5"/>
        <v>0</v>
      </c>
      <c r="AO58" s="42">
        <v>0</v>
      </c>
      <c r="AP58" s="43"/>
      <c r="AQ58" s="9">
        <v>520125</v>
      </c>
      <c r="AR58" s="9">
        <f>AQ58+ROUND(AV58*(27.6%)/360*30,2)</f>
        <v>520125</v>
      </c>
      <c r="AS58" s="30">
        <v>1</v>
      </c>
      <c r="AT58" s="29">
        <v>3000000</v>
      </c>
      <c r="AU58" s="21">
        <f t="shared" si="9"/>
        <v>3000000</v>
      </c>
      <c r="AV58" s="75">
        <v>0</v>
      </c>
      <c r="AW58" s="104">
        <f t="shared" si="6"/>
        <v>0</v>
      </c>
      <c r="AX58" s="105">
        <v>0</v>
      </c>
      <c r="AY58" s="106" t="e">
        <f t="shared" si="7"/>
        <v>#DIV/0!</v>
      </c>
      <c r="AZ58" s="105">
        <v>0</v>
      </c>
      <c r="BA58" s="106" t="e">
        <f t="shared" si="8"/>
        <v>#DIV/0!</v>
      </c>
      <c r="BB58" s="3">
        <v>0</v>
      </c>
      <c r="BC58" s="3"/>
      <c r="BD58" s="3"/>
      <c r="BE58" s="3"/>
      <c r="BF58" s="3"/>
      <c r="BG58" s="55">
        <v>44835</v>
      </c>
      <c r="BH58" s="18" t="s">
        <v>54</v>
      </c>
      <c r="BI58" s="5"/>
      <c r="BJ58" s="5"/>
      <c r="BK58" s="5"/>
      <c r="BL58" s="5"/>
      <c r="BM58" s="5"/>
      <c r="BN58" s="5"/>
      <c r="BO58" s="5" t="s">
        <v>97</v>
      </c>
      <c r="BP58" s="24">
        <v>2</v>
      </c>
      <c r="BQ58" s="24" t="s">
        <v>17</v>
      </c>
      <c r="BR58" s="3" t="s">
        <v>20</v>
      </c>
      <c r="BS58" s="6" t="s">
        <v>61</v>
      </c>
      <c r="BT58" s="3">
        <v>900000</v>
      </c>
      <c r="BU58" s="21" t="s">
        <v>21</v>
      </c>
      <c r="BV58" s="21"/>
      <c r="BW58" s="21"/>
      <c r="BX58" s="28" t="s">
        <v>116</v>
      </c>
      <c r="BY58" s="151"/>
    </row>
    <row r="59" spans="1:78" ht="26.25" customHeight="1" x14ac:dyDescent="0.25">
      <c r="A59" s="129" t="s">
        <v>171</v>
      </c>
      <c r="B59" s="154" t="s">
        <v>386</v>
      </c>
      <c r="C59" s="2" t="s">
        <v>15</v>
      </c>
      <c r="D59" s="9">
        <v>4000000</v>
      </c>
      <c r="E59" s="9">
        <v>4000000</v>
      </c>
      <c r="F59" s="30" t="s">
        <v>298</v>
      </c>
      <c r="G59" s="26" t="s">
        <v>20</v>
      </c>
      <c r="H59" s="111" t="s">
        <v>20</v>
      </c>
      <c r="I59" s="111" t="s">
        <v>20</v>
      </c>
      <c r="J59" s="110" t="s">
        <v>314</v>
      </c>
      <c r="K59" s="9">
        <v>1500000</v>
      </c>
      <c r="L59" s="9">
        <v>8800000</v>
      </c>
      <c r="M59" s="9">
        <v>8783695</v>
      </c>
      <c r="N59" s="25">
        <f t="shared" si="34"/>
        <v>0.99814715909090912</v>
      </c>
      <c r="O59" s="9">
        <f>8044072+8783695</f>
        <v>16827767</v>
      </c>
      <c r="P59" s="33">
        <v>0</v>
      </c>
      <c r="Q59" s="25">
        <f t="shared" si="35"/>
        <v>0</v>
      </c>
      <c r="R59" s="9">
        <f>O59+M59-P59</f>
        <v>25611462</v>
      </c>
      <c r="S59" s="15" t="s">
        <v>173</v>
      </c>
      <c r="T59" s="15">
        <v>13</v>
      </c>
      <c r="U59" s="15">
        <f t="shared" si="36"/>
        <v>0</v>
      </c>
      <c r="V59" s="15">
        <f>R59/AV59</f>
        <v>6.9849441754682324</v>
      </c>
      <c r="W59" s="15">
        <f>M59/AQ59</f>
        <v>16.88766161980293</v>
      </c>
      <c r="X59" s="9">
        <v>120889896.45</v>
      </c>
      <c r="Y59" s="15"/>
      <c r="Z59" s="109">
        <f t="shared" si="0"/>
        <v>0</v>
      </c>
      <c r="AA59" s="15"/>
      <c r="AB59" s="15"/>
      <c r="AC59" s="15"/>
      <c r="AD59" s="15"/>
      <c r="AE59" s="4" t="s">
        <v>172</v>
      </c>
      <c r="AF59" s="25">
        <v>0</v>
      </c>
      <c r="AG59" s="35">
        <f>+X59*0.3</f>
        <v>36266968.935000002</v>
      </c>
      <c r="AH59" s="35">
        <v>21000000</v>
      </c>
      <c r="AI59" s="35">
        <v>5013000</v>
      </c>
      <c r="AJ59" s="47">
        <f t="shared" si="10"/>
        <v>0.23871428571428571</v>
      </c>
      <c r="AK59" s="47">
        <f t="shared" si="3"/>
        <v>0.13822495089084014</v>
      </c>
      <c r="AL59" s="35">
        <f t="shared" si="4"/>
        <v>4.1467485267252038E-2</v>
      </c>
      <c r="AM59" s="35">
        <v>0</v>
      </c>
      <c r="AN59" s="47">
        <f t="shared" si="5"/>
        <v>0</v>
      </c>
      <c r="AO59" s="35">
        <v>0</v>
      </c>
      <c r="AP59" s="43"/>
      <c r="AQ59" s="9">
        <v>520125</v>
      </c>
      <c r="AR59" s="9">
        <f>AQ59+ROUND(AV59*(27.6%)/360*30,2)</f>
        <v>604458.32999999996</v>
      </c>
      <c r="AS59" s="30">
        <v>1</v>
      </c>
      <c r="AT59" s="29">
        <v>4000000</v>
      </c>
      <c r="AU59" s="3">
        <f t="shared" si="9"/>
        <v>333333.33000000007</v>
      </c>
      <c r="AV59" s="17">
        <v>3666666.67</v>
      </c>
      <c r="AW59" s="104">
        <f t="shared" si="6"/>
        <v>0.91666666750000003</v>
      </c>
      <c r="AX59" s="117">
        <v>0</v>
      </c>
      <c r="AY59" s="95">
        <f>+AZ59/AV59</f>
        <v>1</v>
      </c>
      <c r="AZ59" s="117">
        <v>3666666.67</v>
      </c>
      <c r="BA59" s="95" t="e">
        <f>+#REF!/AV59</f>
        <v>#REF!</v>
      </c>
      <c r="BB59" s="38">
        <v>184000</v>
      </c>
      <c r="BC59" s="3"/>
      <c r="BD59" s="3"/>
      <c r="BE59" s="3"/>
      <c r="BF59" s="3"/>
      <c r="BG59" s="55">
        <v>44835</v>
      </c>
      <c r="BH59" s="5" t="s">
        <v>22</v>
      </c>
      <c r="BI59" s="5"/>
      <c r="BJ59" s="5"/>
      <c r="BK59" s="5"/>
      <c r="BL59" s="5"/>
      <c r="BM59" s="5"/>
      <c r="BN59" s="5"/>
      <c r="BO59" s="5" t="s">
        <v>97</v>
      </c>
      <c r="BP59" s="24">
        <v>1</v>
      </c>
      <c r="BQ59" s="24" t="s">
        <v>41</v>
      </c>
      <c r="BR59" s="3" t="s">
        <v>20</v>
      </c>
      <c r="BS59" s="6" t="s">
        <v>61</v>
      </c>
      <c r="BT59" s="3">
        <v>1500000</v>
      </c>
      <c r="BU59" s="3" t="s">
        <v>21</v>
      </c>
      <c r="BV59" s="3" t="s">
        <v>353</v>
      </c>
      <c r="BW59" s="3" t="s">
        <v>353</v>
      </c>
      <c r="BX59" s="28" t="s">
        <v>116</v>
      </c>
      <c r="BY59" s="151"/>
    </row>
    <row r="60" spans="1:78" ht="26.25" customHeight="1" x14ac:dyDescent="0.25">
      <c r="A60" s="119" t="s">
        <v>174</v>
      </c>
      <c r="B60" s="124" t="s">
        <v>383</v>
      </c>
      <c r="C60" s="2" t="s">
        <v>15</v>
      </c>
      <c r="D60" s="9">
        <v>7500000</v>
      </c>
      <c r="E60" s="9">
        <v>7500000</v>
      </c>
      <c r="F60" s="30" t="s">
        <v>100</v>
      </c>
      <c r="G60" s="26" t="s">
        <v>20</v>
      </c>
      <c r="H60" s="111" t="s">
        <v>20</v>
      </c>
      <c r="I60" s="111" t="s">
        <v>20</v>
      </c>
      <c r="J60" s="110" t="s">
        <v>314</v>
      </c>
      <c r="K60" s="9" t="s">
        <v>20</v>
      </c>
      <c r="L60" s="9" t="s">
        <v>20</v>
      </c>
      <c r="M60" s="9">
        <v>0</v>
      </c>
      <c r="N60" s="3" t="s">
        <v>20</v>
      </c>
      <c r="O60" s="9" t="s">
        <v>20</v>
      </c>
      <c r="P60" s="3" t="s">
        <v>20</v>
      </c>
      <c r="Q60" s="3" t="s">
        <v>20</v>
      </c>
      <c r="R60" s="9">
        <v>0</v>
      </c>
      <c r="S60" s="15">
        <v>1.2</v>
      </c>
      <c r="T60" s="15">
        <v>1.2</v>
      </c>
      <c r="U60" s="15" t="s">
        <v>20</v>
      </c>
      <c r="V60" s="15">
        <f>R60/AV60</f>
        <v>0</v>
      </c>
      <c r="W60" s="15">
        <f>M60/AR60</f>
        <v>0</v>
      </c>
      <c r="X60" s="9">
        <v>0</v>
      </c>
      <c r="Y60" s="15"/>
      <c r="Z60" s="109" t="e">
        <f t="shared" si="0"/>
        <v>#VALUE!</v>
      </c>
      <c r="AA60" s="15"/>
      <c r="AB60" s="15"/>
      <c r="AC60" s="15"/>
      <c r="AD60" s="15"/>
      <c r="AE60" s="15"/>
      <c r="AF60" s="25">
        <v>0</v>
      </c>
      <c r="AG60" s="35">
        <v>0</v>
      </c>
      <c r="AH60" s="35">
        <v>0</v>
      </c>
      <c r="AI60" s="9">
        <v>0</v>
      </c>
      <c r="AJ60" s="47" t="e">
        <f t="shared" si="10"/>
        <v>#DIV/0!</v>
      </c>
      <c r="AK60" s="47" t="e">
        <f t="shared" si="3"/>
        <v>#DIV/0!</v>
      </c>
      <c r="AL60" s="35" t="e">
        <f t="shared" si="4"/>
        <v>#DIV/0!</v>
      </c>
      <c r="AM60" s="114"/>
      <c r="AN60" s="47" t="e">
        <f t="shared" si="5"/>
        <v>#DIV/0!</v>
      </c>
      <c r="AO60" s="114"/>
      <c r="AP60" s="43"/>
      <c r="AQ60" s="9">
        <v>0</v>
      </c>
      <c r="AR60" s="9">
        <f>AQ60+ROUND(AV60*(24%)/360*30,2)</f>
        <v>7033.82</v>
      </c>
      <c r="AS60" s="30">
        <v>0</v>
      </c>
      <c r="AT60" s="29">
        <v>7500000</v>
      </c>
      <c r="AU60" s="3">
        <f t="shared" si="9"/>
        <v>7148308.8200000003</v>
      </c>
      <c r="AV60" s="17">
        <v>351691.17999999993</v>
      </c>
      <c r="AW60" s="104">
        <f t="shared" si="6"/>
        <v>4.6892157333333323E-2</v>
      </c>
      <c r="AX60" s="117">
        <v>0</v>
      </c>
      <c r="AY60" s="95">
        <f t="shared" si="7"/>
        <v>0</v>
      </c>
      <c r="AZ60" s="117">
        <v>0</v>
      </c>
      <c r="BA60" s="95">
        <f t="shared" si="8"/>
        <v>0</v>
      </c>
      <c r="BB60" s="38">
        <v>0</v>
      </c>
      <c r="BC60" s="3"/>
      <c r="BD60" s="3"/>
      <c r="BE60" s="3"/>
      <c r="BF60" s="3"/>
      <c r="BG60" s="55">
        <v>44985</v>
      </c>
      <c r="BH60" s="5" t="s">
        <v>22</v>
      </c>
      <c r="BI60" s="5"/>
      <c r="BJ60" s="5"/>
      <c r="BK60" s="5"/>
      <c r="BL60" s="5"/>
      <c r="BM60" s="5"/>
      <c r="BN60" s="5"/>
      <c r="BO60" s="5" t="s">
        <v>97</v>
      </c>
      <c r="BP60" s="24">
        <v>2</v>
      </c>
      <c r="BQ60" s="3" t="s">
        <v>17</v>
      </c>
      <c r="BR60" s="32">
        <v>0</v>
      </c>
      <c r="BS60" s="6" t="s">
        <v>61</v>
      </c>
      <c r="BT60" s="3" t="s">
        <v>20</v>
      </c>
      <c r="BU60" s="3" t="s">
        <v>21</v>
      </c>
      <c r="BV60" s="3" t="s">
        <v>354</v>
      </c>
      <c r="BW60" s="3" t="s">
        <v>368</v>
      </c>
      <c r="BX60" s="28" t="s">
        <v>116</v>
      </c>
      <c r="BY60" s="151"/>
    </row>
    <row r="61" spans="1:78" ht="26.25" customHeight="1" x14ac:dyDescent="0.25">
      <c r="A61" s="119" t="s">
        <v>175</v>
      </c>
      <c r="B61" s="124" t="s">
        <v>383</v>
      </c>
      <c r="C61" s="2" t="s">
        <v>15</v>
      </c>
      <c r="D61" s="9">
        <v>1000000</v>
      </c>
      <c r="E61" s="9">
        <v>1000000</v>
      </c>
      <c r="F61" s="3" t="s">
        <v>16</v>
      </c>
      <c r="G61" s="26" t="s">
        <v>20</v>
      </c>
      <c r="H61" s="111" t="s">
        <v>20</v>
      </c>
      <c r="I61" s="111" t="s">
        <v>20</v>
      </c>
      <c r="J61" s="110" t="s">
        <v>314</v>
      </c>
      <c r="K61" s="9" t="s">
        <v>20</v>
      </c>
      <c r="L61" s="9" t="s">
        <v>20</v>
      </c>
      <c r="M61" s="9">
        <v>507185.61</v>
      </c>
      <c r="N61" s="3" t="s">
        <v>20</v>
      </c>
      <c r="O61" s="9" t="s">
        <v>20</v>
      </c>
      <c r="P61" s="3" t="s">
        <v>20</v>
      </c>
      <c r="Q61" s="3" t="s">
        <v>20</v>
      </c>
      <c r="R61" s="3" t="s">
        <v>20</v>
      </c>
      <c r="S61" s="70" t="s">
        <v>82</v>
      </c>
      <c r="T61" s="71">
        <v>1.19</v>
      </c>
      <c r="U61" s="30" t="s">
        <v>20</v>
      </c>
      <c r="V61" s="3" t="s">
        <v>20</v>
      </c>
      <c r="W61" s="30" t="s">
        <v>20</v>
      </c>
      <c r="X61" s="9">
        <v>17691884.23</v>
      </c>
      <c r="Y61" s="3"/>
      <c r="Z61" s="109" t="e">
        <f t="shared" si="0"/>
        <v>#VALUE!</v>
      </c>
      <c r="AA61" s="3"/>
      <c r="AB61" s="3"/>
      <c r="AC61" s="3"/>
      <c r="AD61" s="3"/>
      <c r="AE61" s="4" t="s">
        <v>275</v>
      </c>
      <c r="AF61" s="25">
        <v>1</v>
      </c>
      <c r="AG61" s="35">
        <v>3000000</v>
      </c>
      <c r="AH61" s="35">
        <v>3000000</v>
      </c>
      <c r="AI61" s="35">
        <v>2762743</v>
      </c>
      <c r="AJ61" s="47">
        <f t="shared" si="10"/>
        <v>0.92091433333333328</v>
      </c>
      <c r="AK61" s="47">
        <f t="shared" si="3"/>
        <v>0.92091433333333328</v>
      </c>
      <c r="AL61" s="35">
        <f t="shared" si="4"/>
        <v>0.15615877676359857</v>
      </c>
      <c r="AM61" s="35">
        <v>600000</v>
      </c>
      <c r="AN61" s="47">
        <f t="shared" si="5"/>
        <v>0.21717546655624501</v>
      </c>
      <c r="AO61" s="35">
        <v>30</v>
      </c>
      <c r="AP61" s="43"/>
      <c r="AQ61" s="3" t="s">
        <v>20</v>
      </c>
      <c r="AR61" s="3" t="s">
        <v>20</v>
      </c>
      <c r="AS61" s="30">
        <v>10</v>
      </c>
      <c r="AT61" s="29">
        <v>1832511.7240000002</v>
      </c>
      <c r="AU61" s="3">
        <f t="shared" si="9"/>
        <v>1589547.8430000001</v>
      </c>
      <c r="AV61" s="17">
        <v>242963.88099999999</v>
      </c>
      <c r="AW61" s="104">
        <f t="shared" si="6"/>
        <v>0.24296388099999999</v>
      </c>
      <c r="AX61" s="117">
        <v>0</v>
      </c>
      <c r="AY61" s="95">
        <f t="shared" si="7"/>
        <v>0</v>
      </c>
      <c r="AZ61" s="117">
        <v>0</v>
      </c>
      <c r="BA61" s="95">
        <f t="shared" si="8"/>
        <v>0</v>
      </c>
      <c r="BB61" s="38">
        <v>18782.240000000002</v>
      </c>
      <c r="BC61" s="9" t="s">
        <v>20</v>
      </c>
      <c r="BD61" s="9" t="s">
        <v>20</v>
      </c>
      <c r="BE61" s="9" t="s">
        <v>20</v>
      </c>
      <c r="BF61" s="9" t="s">
        <v>20</v>
      </c>
      <c r="BG61" s="55">
        <v>44712</v>
      </c>
      <c r="BH61" s="5" t="s">
        <v>22</v>
      </c>
      <c r="BI61" s="5" t="s">
        <v>20</v>
      </c>
      <c r="BJ61" s="5" t="e">
        <f>90-BI61</f>
        <v>#VALUE!</v>
      </c>
      <c r="BK61" s="101" t="s">
        <v>270</v>
      </c>
      <c r="BL61" s="101" t="s">
        <v>270</v>
      </c>
      <c r="BM61" s="20" t="str">
        <f>+AE61</f>
        <v>Braskem / Celanese / Ihophos</v>
      </c>
      <c r="BN61" s="101" t="s">
        <v>270</v>
      </c>
      <c r="BO61" s="20" t="s">
        <v>132</v>
      </c>
      <c r="BP61" s="24">
        <v>2</v>
      </c>
      <c r="BQ61" s="3" t="s">
        <v>17</v>
      </c>
      <c r="BR61" s="3" t="s">
        <v>20</v>
      </c>
      <c r="BS61" s="6" t="s">
        <v>61</v>
      </c>
      <c r="BT61" s="3" t="s">
        <v>20</v>
      </c>
      <c r="BU61" s="3" t="s">
        <v>21</v>
      </c>
      <c r="BV61" s="3" t="s">
        <v>331</v>
      </c>
      <c r="BW61" s="3" t="s">
        <v>364</v>
      </c>
      <c r="BX61" s="28" t="s">
        <v>119</v>
      </c>
      <c r="BY61" s="151"/>
    </row>
    <row r="62" spans="1:78" ht="26.25" customHeight="1" x14ac:dyDescent="0.25">
      <c r="A62" s="140" t="s">
        <v>246</v>
      </c>
      <c r="B62" s="154" t="s">
        <v>384</v>
      </c>
      <c r="C62" s="69" t="s">
        <v>15</v>
      </c>
      <c r="D62" s="9">
        <v>5000000</v>
      </c>
      <c r="E62" s="9">
        <v>5000000</v>
      </c>
      <c r="F62" s="30" t="s">
        <v>298</v>
      </c>
      <c r="G62" s="26" t="s">
        <v>20</v>
      </c>
      <c r="H62" s="111" t="s">
        <v>20</v>
      </c>
      <c r="I62" s="111" t="s">
        <v>20</v>
      </c>
      <c r="J62" s="110" t="s">
        <v>314</v>
      </c>
      <c r="K62" s="9">
        <v>1500000</v>
      </c>
      <c r="L62" s="9">
        <v>3190817</v>
      </c>
      <c r="M62" s="9">
        <v>0</v>
      </c>
      <c r="N62" s="25">
        <f>+M62/L62</f>
        <v>0</v>
      </c>
      <c r="O62" s="9">
        <v>0</v>
      </c>
      <c r="P62" s="33">
        <v>150000</v>
      </c>
      <c r="Q62" s="25">
        <f>+P62/L62</f>
        <v>4.7009903733119134E-2</v>
      </c>
      <c r="R62" s="9">
        <f>O62+M62-P62</f>
        <v>-150000</v>
      </c>
      <c r="S62" s="70">
        <v>3</v>
      </c>
      <c r="T62" s="39">
        <v>6</v>
      </c>
      <c r="U62" s="15">
        <f>P62/AR62</f>
        <v>0.39473684210526316</v>
      </c>
      <c r="V62" s="70">
        <f>R62/AV62</f>
        <v>-3.3750000033750005E-2</v>
      </c>
      <c r="W62" s="70">
        <f>M62/AQ62</f>
        <v>0</v>
      </c>
      <c r="X62" s="9">
        <v>45974016.130000003</v>
      </c>
      <c r="Y62" s="3"/>
      <c r="Z62" s="109" t="e">
        <f t="shared" si="0"/>
        <v>#DIV/0!</v>
      </c>
      <c r="AA62" s="30"/>
      <c r="AB62" s="30"/>
      <c r="AC62" s="30"/>
      <c r="AD62" s="30"/>
      <c r="AE62" s="31" t="s">
        <v>249</v>
      </c>
      <c r="AF62" s="25">
        <v>0</v>
      </c>
      <c r="AG62" s="35">
        <v>10000000</v>
      </c>
      <c r="AH62" s="35">
        <v>10000000</v>
      </c>
      <c r="AI62" s="35">
        <v>4013884</v>
      </c>
      <c r="AJ62" s="47">
        <f t="shared" si="10"/>
        <v>0.40138839999999998</v>
      </c>
      <c r="AK62" s="47">
        <f t="shared" si="3"/>
        <v>0.40138839999999998</v>
      </c>
      <c r="AL62" s="35">
        <f t="shared" si="4"/>
        <v>8.7307665022129097E-2</v>
      </c>
      <c r="AM62" s="35">
        <v>143474</v>
      </c>
      <c r="AN62" s="47">
        <f t="shared" si="5"/>
        <v>3.5744431079722284E-2</v>
      </c>
      <c r="AO62" s="35">
        <v>30</v>
      </c>
      <c r="AP62" s="43"/>
      <c r="AQ62" s="30">
        <v>277777.78000000003</v>
      </c>
      <c r="AR62" s="30">
        <f>AQ62+ROUND(AV62*(27.6%)/360*30,2)</f>
        <v>380000</v>
      </c>
      <c r="AS62" s="30">
        <v>1</v>
      </c>
      <c r="AT62" s="29">
        <v>5000000</v>
      </c>
      <c r="AU62" s="3">
        <f t="shared" si="9"/>
        <v>555555.56000000052</v>
      </c>
      <c r="AV62" s="17">
        <v>4444444.4399999995</v>
      </c>
      <c r="AW62" s="104">
        <f t="shared" si="6"/>
        <v>0.88888888799999988</v>
      </c>
      <c r="AX62" s="117">
        <v>0</v>
      </c>
      <c r="AY62" s="95">
        <f t="shared" si="7"/>
        <v>0</v>
      </c>
      <c r="AZ62" s="117">
        <v>0</v>
      </c>
      <c r="BA62" s="95">
        <f t="shared" si="8"/>
        <v>0</v>
      </c>
      <c r="BB62" s="38">
        <v>230000</v>
      </c>
      <c r="BC62" s="3"/>
      <c r="BD62" s="3"/>
      <c r="BE62" s="3"/>
      <c r="BF62" s="3"/>
      <c r="BG62" s="55">
        <v>45107</v>
      </c>
      <c r="BH62" s="5" t="s">
        <v>22</v>
      </c>
      <c r="BI62" s="5"/>
      <c r="BJ62" s="101"/>
      <c r="BK62" s="101"/>
      <c r="BL62" s="101"/>
      <c r="BM62" s="101"/>
      <c r="BN62" s="101"/>
      <c r="BO62" s="102" t="s">
        <v>132</v>
      </c>
      <c r="BP62" s="32">
        <v>2</v>
      </c>
      <c r="BQ62" s="30" t="s">
        <v>17</v>
      </c>
      <c r="BR62" s="30" t="s">
        <v>20</v>
      </c>
      <c r="BS62" s="6" t="s">
        <v>61</v>
      </c>
      <c r="BT62" s="3">
        <v>1500000</v>
      </c>
      <c r="BU62" s="3" t="s">
        <v>21</v>
      </c>
      <c r="BV62" s="3" t="s">
        <v>355</v>
      </c>
      <c r="BW62" s="3" t="s">
        <v>368</v>
      </c>
      <c r="BX62" s="46" t="s">
        <v>119</v>
      </c>
      <c r="BY62" s="148"/>
    </row>
    <row r="63" spans="1:78" ht="26.25" customHeight="1" x14ac:dyDescent="0.25">
      <c r="A63" s="128" t="s">
        <v>247</v>
      </c>
      <c r="B63" s="124" t="s">
        <v>383</v>
      </c>
      <c r="C63" s="69" t="s">
        <v>15</v>
      </c>
      <c r="D63" s="29">
        <v>3000000</v>
      </c>
      <c r="E63" s="29">
        <v>3000000</v>
      </c>
      <c r="F63" s="30" t="s">
        <v>16</v>
      </c>
      <c r="G63" s="24">
        <v>6200000</v>
      </c>
      <c r="H63" s="110">
        <v>2</v>
      </c>
      <c r="I63" s="110">
        <f t="shared" si="11"/>
        <v>2.0666666666666669</v>
      </c>
      <c r="J63" s="110" t="s">
        <v>314</v>
      </c>
      <c r="K63" s="3" t="s">
        <v>20</v>
      </c>
      <c r="L63" s="3" t="s">
        <v>20</v>
      </c>
      <c r="M63" s="9">
        <v>7606574.5099999988</v>
      </c>
      <c r="N63" s="3" t="s">
        <v>20</v>
      </c>
      <c r="O63" s="3" t="s">
        <v>20</v>
      </c>
      <c r="P63" s="3" t="s">
        <v>20</v>
      </c>
      <c r="Q63" s="3" t="s">
        <v>20</v>
      </c>
      <c r="R63" s="3" t="s">
        <v>20</v>
      </c>
      <c r="S63" s="70" t="s">
        <v>82</v>
      </c>
      <c r="T63" s="71">
        <v>1.19</v>
      </c>
      <c r="U63" s="30" t="s">
        <v>20</v>
      </c>
      <c r="V63" s="30" t="s">
        <v>20</v>
      </c>
      <c r="W63" s="30" t="s">
        <v>20</v>
      </c>
      <c r="X63" s="38">
        <v>67860782.959999993</v>
      </c>
      <c r="Y63" s="3"/>
      <c r="Z63" s="109" t="e">
        <f t="shared" si="0"/>
        <v>#VALUE!</v>
      </c>
      <c r="AA63" s="3"/>
      <c r="AB63" s="3"/>
      <c r="AC63" s="3"/>
      <c r="AD63" s="3"/>
      <c r="AE63" s="31" t="s">
        <v>250</v>
      </c>
      <c r="AF63" s="25">
        <v>1</v>
      </c>
      <c r="AG63" s="35">
        <v>5000000</v>
      </c>
      <c r="AH63" s="35">
        <v>3000000</v>
      </c>
      <c r="AI63" s="35">
        <v>3449063</v>
      </c>
      <c r="AJ63" s="47">
        <f t="shared" si="10"/>
        <v>1.1496876666666667</v>
      </c>
      <c r="AK63" s="47">
        <f t="shared" si="3"/>
        <v>0.6898126</v>
      </c>
      <c r="AL63" s="35">
        <f t="shared" si="4"/>
        <v>5.0825570374468318E-2</v>
      </c>
      <c r="AM63" s="35">
        <v>319423</v>
      </c>
      <c r="AN63" s="47">
        <f t="shared" si="5"/>
        <v>9.2611529566145934E-2</v>
      </c>
      <c r="AO63" s="35">
        <v>60</v>
      </c>
      <c r="AP63" s="43"/>
      <c r="AQ63" s="3" t="s">
        <v>20</v>
      </c>
      <c r="AR63" s="3" t="s">
        <v>20</v>
      </c>
      <c r="AS63" s="30">
        <v>7</v>
      </c>
      <c r="AT63" s="29">
        <v>6449373.7309999997</v>
      </c>
      <c r="AU63" s="3">
        <f t="shared" si="9"/>
        <v>5369566.9849999994</v>
      </c>
      <c r="AV63" s="75">
        <v>1079806.7459999998</v>
      </c>
      <c r="AW63" s="104">
        <f t="shared" si="6"/>
        <v>0.35993558199999992</v>
      </c>
      <c r="AX63" s="117">
        <v>0</v>
      </c>
      <c r="AY63" s="95">
        <f t="shared" si="7"/>
        <v>0</v>
      </c>
      <c r="AZ63" s="117">
        <v>0</v>
      </c>
      <c r="BA63" s="95">
        <f t="shared" si="8"/>
        <v>0</v>
      </c>
      <c r="BB63" s="38">
        <v>86224.25</v>
      </c>
      <c r="BC63" s="9" t="s">
        <v>20</v>
      </c>
      <c r="BD63" s="9" t="s">
        <v>20</v>
      </c>
      <c r="BE63" s="9" t="s">
        <v>20</v>
      </c>
      <c r="BF63" s="9" t="s">
        <v>20</v>
      </c>
      <c r="BG63" s="55">
        <v>44742</v>
      </c>
      <c r="BH63" s="5" t="s">
        <v>22</v>
      </c>
      <c r="BI63" s="5" t="s">
        <v>20</v>
      </c>
      <c r="BJ63" s="5" t="e">
        <f>90-BI63</f>
        <v>#VALUE!</v>
      </c>
      <c r="BK63" s="101" t="s">
        <v>270</v>
      </c>
      <c r="BL63" s="101" t="s">
        <v>270</v>
      </c>
      <c r="BM63" s="20" t="str">
        <f>+AE63</f>
        <v>Aeropuertos y Servicios Auxiliares/Hokchi</v>
      </c>
      <c r="BN63" s="101" t="s">
        <v>270</v>
      </c>
      <c r="BO63" s="102" t="s">
        <v>93</v>
      </c>
      <c r="BP63" s="32">
        <v>2</v>
      </c>
      <c r="BQ63" s="30" t="s">
        <v>17</v>
      </c>
      <c r="BR63" s="30" t="s">
        <v>20</v>
      </c>
      <c r="BS63" s="6" t="s">
        <v>61</v>
      </c>
      <c r="BT63" s="3" t="s">
        <v>20</v>
      </c>
      <c r="BU63" s="3" t="s">
        <v>21</v>
      </c>
      <c r="BV63" s="3" t="s">
        <v>336</v>
      </c>
      <c r="BW63" s="3" t="s">
        <v>368</v>
      </c>
      <c r="BX63" s="46" t="s">
        <v>119</v>
      </c>
      <c r="BY63" s="148"/>
    </row>
    <row r="64" spans="1:78" ht="26.25" customHeight="1" x14ac:dyDescent="0.25">
      <c r="A64" s="128" t="s">
        <v>279</v>
      </c>
      <c r="B64" s="124" t="s">
        <v>383</v>
      </c>
      <c r="C64" s="2" t="s">
        <v>15</v>
      </c>
      <c r="D64" s="9">
        <v>7000000</v>
      </c>
      <c r="E64" s="9">
        <v>7000000</v>
      </c>
      <c r="F64" s="30" t="s">
        <v>298</v>
      </c>
      <c r="G64" s="26">
        <v>12300000</v>
      </c>
      <c r="H64" s="111" t="s">
        <v>281</v>
      </c>
      <c r="I64" s="110">
        <f t="shared" si="11"/>
        <v>1.7571428571428571</v>
      </c>
      <c r="J64" s="110"/>
      <c r="K64" s="9">
        <v>3000000</v>
      </c>
      <c r="L64" s="9">
        <v>4700000</v>
      </c>
      <c r="M64" s="9">
        <v>317425.71999999997</v>
      </c>
      <c r="N64" s="25">
        <f>+M64/L64</f>
        <v>6.7537387234042554E-2</v>
      </c>
      <c r="O64" s="9">
        <v>0</v>
      </c>
      <c r="P64" s="33">
        <v>0</v>
      </c>
      <c r="Q64" s="25">
        <f>+P64/L64</f>
        <v>0</v>
      </c>
      <c r="R64" s="9">
        <f>O64+M64-P64</f>
        <v>317425.71999999997</v>
      </c>
      <c r="S64" s="15">
        <v>3</v>
      </c>
      <c r="T64" s="39">
        <v>7</v>
      </c>
      <c r="U64" s="15">
        <f>P64/AR64</f>
        <v>0</v>
      </c>
      <c r="V64" s="15" t="e">
        <f>R64/AV64</f>
        <v>#DIV/0!</v>
      </c>
      <c r="W64" s="15">
        <f>M64/AQ64</f>
        <v>2.1766335583230529</v>
      </c>
      <c r="X64" s="9">
        <v>85675912</v>
      </c>
      <c r="Y64" s="3" t="s">
        <v>20</v>
      </c>
      <c r="Z64" s="25">
        <f t="shared" ref="Z64:Z65" si="37">+P64/M64</f>
        <v>0</v>
      </c>
      <c r="AA64" s="3"/>
      <c r="AB64" s="3">
        <v>468</v>
      </c>
      <c r="AC64" s="3" t="s">
        <v>20</v>
      </c>
      <c r="AD64" s="3" t="s">
        <v>20</v>
      </c>
      <c r="AE64" s="3" t="s">
        <v>20</v>
      </c>
      <c r="AF64" s="3" t="s">
        <v>20</v>
      </c>
      <c r="AG64" s="35">
        <v>18000000</v>
      </c>
      <c r="AH64" s="35">
        <v>18000000</v>
      </c>
      <c r="AI64" s="35">
        <v>4825000</v>
      </c>
      <c r="AJ64" s="47">
        <f t="shared" ref="AJ64:AJ65" si="38">+AI64/AH64</f>
        <v>0.26805555555555555</v>
      </c>
      <c r="AK64" s="47">
        <f t="shared" ref="AK64:AK65" si="39">+AI64/AG64</f>
        <v>0.26805555555555555</v>
      </c>
      <c r="AL64" s="47">
        <f t="shared" ref="AL64:AL65" si="40">+AI64/X64</f>
        <v>5.6316879358109431E-2</v>
      </c>
      <c r="AM64" s="35">
        <v>0</v>
      </c>
      <c r="AN64" s="47">
        <f t="shared" ref="AN64:AN65" si="41">+AM64/AI64</f>
        <v>0</v>
      </c>
      <c r="AO64" s="35">
        <v>0</v>
      </c>
      <c r="AP64" s="43">
        <v>10</v>
      </c>
      <c r="AQ64" s="3">
        <v>145833.32999999999</v>
      </c>
      <c r="AR64" s="3">
        <f>AQ64+ROUND(AV64*(27.6%)/360*30,2)</f>
        <v>145833.32999999999</v>
      </c>
      <c r="AS64" s="3">
        <v>1</v>
      </c>
      <c r="AT64" s="9">
        <v>3500000</v>
      </c>
      <c r="AU64" s="3">
        <f t="shared" si="9"/>
        <v>3500000</v>
      </c>
      <c r="AV64" s="9">
        <v>0</v>
      </c>
      <c r="AW64" s="116">
        <f t="shared" ref="AW64:AW65" si="42">+AV64/E64</f>
        <v>0</v>
      </c>
      <c r="AX64" s="117">
        <v>0</v>
      </c>
      <c r="AY64" s="95" t="e">
        <f t="shared" ref="AY64:AY65" si="43">+AX64/AV64</f>
        <v>#DIV/0!</v>
      </c>
      <c r="AZ64" s="117">
        <v>0</v>
      </c>
      <c r="BA64" s="95" t="e">
        <f t="shared" ref="BA64:BA65" si="44">+AZ64/AV64</f>
        <v>#DIV/0!</v>
      </c>
      <c r="BB64" s="38">
        <v>0</v>
      </c>
      <c r="BC64" s="3"/>
      <c r="BD64" s="3" t="s">
        <v>282</v>
      </c>
      <c r="BE64" s="3">
        <v>0</v>
      </c>
      <c r="BF64" s="3">
        <v>0</v>
      </c>
      <c r="BG64" s="55">
        <v>45322</v>
      </c>
      <c r="BH64" s="5" t="s">
        <v>22</v>
      </c>
      <c r="BI64" s="5" t="s">
        <v>20</v>
      </c>
      <c r="BJ64" s="5"/>
      <c r="BK64" s="5" t="s">
        <v>270</v>
      </c>
      <c r="BL64" s="5" t="s">
        <v>270</v>
      </c>
      <c r="BM64" s="5" t="s">
        <v>20</v>
      </c>
      <c r="BN64" s="5" t="s">
        <v>270</v>
      </c>
      <c r="BO64" s="20" t="s">
        <v>132</v>
      </c>
      <c r="BP64" s="24">
        <v>2</v>
      </c>
      <c r="BQ64" s="3" t="s">
        <v>280</v>
      </c>
      <c r="BR64" s="3" t="s">
        <v>20</v>
      </c>
      <c r="BS64" s="6" t="s">
        <v>61</v>
      </c>
      <c r="BT64" s="3">
        <v>3000000</v>
      </c>
      <c r="BU64" s="3" t="s">
        <v>21</v>
      </c>
      <c r="BV64" s="3"/>
      <c r="BW64" s="3"/>
      <c r="BX64" s="28" t="s">
        <v>119</v>
      </c>
      <c r="BY64" s="151"/>
    </row>
    <row r="65" spans="1:78" ht="26.25" customHeight="1" x14ac:dyDescent="0.25">
      <c r="A65" s="128" t="s">
        <v>286</v>
      </c>
      <c r="B65" s="124" t="s">
        <v>383</v>
      </c>
      <c r="C65" s="69" t="s">
        <v>15</v>
      </c>
      <c r="D65" s="29">
        <v>10000000</v>
      </c>
      <c r="E65" s="29">
        <v>10000000</v>
      </c>
      <c r="F65" s="30" t="s">
        <v>16</v>
      </c>
      <c r="G65" s="24" t="s">
        <v>20</v>
      </c>
      <c r="H65" s="110" t="s">
        <v>20</v>
      </c>
      <c r="I65" s="110" t="e">
        <f t="shared" ref="I65:I66" si="45">+(G65/E65)</f>
        <v>#VALUE!</v>
      </c>
      <c r="J65" s="110" t="s">
        <v>314</v>
      </c>
      <c r="K65" s="3" t="s">
        <v>20</v>
      </c>
      <c r="L65" s="3" t="s">
        <v>20</v>
      </c>
      <c r="M65" s="9">
        <v>19657702.939999998</v>
      </c>
      <c r="N65" s="3" t="s">
        <v>20</v>
      </c>
      <c r="O65" s="3" t="s">
        <v>20</v>
      </c>
      <c r="P65" s="3" t="s">
        <v>20</v>
      </c>
      <c r="Q65" s="3" t="s">
        <v>20</v>
      </c>
      <c r="R65" s="3" t="s">
        <v>20</v>
      </c>
      <c r="S65" s="70" t="s">
        <v>82</v>
      </c>
      <c r="T65" s="71">
        <v>1.19</v>
      </c>
      <c r="U65" s="30" t="s">
        <v>20</v>
      </c>
      <c r="V65" s="30" t="s">
        <v>20</v>
      </c>
      <c r="W65" s="30" t="s">
        <v>20</v>
      </c>
      <c r="X65" s="38">
        <v>110881272.90000001</v>
      </c>
      <c r="Y65" s="3"/>
      <c r="Z65" s="109" t="e">
        <f t="shared" si="37"/>
        <v>#VALUE!</v>
      </c>
      <c r="AA65" s="3"/>
      <c r="AB65" s="3"/>
      <c r="AC65" s="3"/>
      <c r="AD65" s="3"/>
      <c r="AE65" s="31" t="s">
        <v>287</v>
      </c>
      <c r="AF65" s="25">
        <v>1</v>
      </c>
      <c r="AG65" s="35">
        <v>32000000</v>
      </c>
      <c r="AH65" s="35">
        <v>32000000</v>
      </c>
      <c r="AI65" s="35">
        <v>0</v>
      </c>
      <c r="AJ65" s="47">
        <f t="shared" si="38"/>
        <v>0</v>
      </c>
      <c r="AK65" s="47">
        <f t="shared" si="39"/>
        <v>0</v>
      </c>
      <c r="AL65" s="35">
        <f t="shared" si="40"/>
        <v>0</v>
      </c>
      <c r="AM65" s="35">
        <v>0</v>
      </c>
      <c r="AN65" s="47" t="e">
        <f t="shared" si="41"/>
        <v>#DIV/0!</v>
      </c>
      <c r="AO65" s="35">
        <v>0</v>
      </c>
      <c r="AP65" s="43"/>
      <c r="AQ65" s="3" t="s">
        <v>20</v>
      </c>
      <c r="AR65" s="3" t="s">
        <v>20</v>
      </c>
      <c r="AS65" s="30">
        <v>6</v>
      </c>
      <c r="AT65" s="29">
        <v>12838489.766000001</v>
      </c>
      <c r="AU65" s="3">
        <f t="shared" ref="AU65:AU66" si="46">AT65-AV65</f>
        <v>11191720.706</v>
      </c>
      <c r="AV65" s="75">
        <v>1646769.06</v>
      </c>
      <c r="AW65" s="104">
        <f t="shared" si="42"/>
        <v>0.16467690600000001</v>
      </c>
      <c r="AX65" s="117">
        <v>0</v>
      </c>
      <c r="AY65" s="95">
        <f t="shared" si="43"/>
        <v>0</v>
      </c>
      <c r="AZ65" s="117">
        <v>0</v>
      </c>
      <c r="BA65" s="95">
        <f t="shared" si="44"/>
        <v>0</v>
      </c>
      <c r="BB65" s="38">
        <v>221336.03</v>
      </c>
      <c r="BC65" s="9" t="s">
        <v>20</v>
      </c>
      <c r="BD65" s="9" t="s">
        <v>20</v>
      </c>
      <c r="BE65" s="9" t="s">
        <v>20</v>
      </c>
      <c r="BF65" s="9" t="s">
        <v>20</v>
      </c>
      <c r="BG65" s="55">
        <v>44712</v>
      </c>
      <c r="BH65" s="5" t="s">
        <v>22</v>
      </c>
      <c r="BI65" s="5" t="s">
        <v>20</v>
      </c>
      <c r="BJ65" s="5" t="e">
        <f>90-BI65</f>
        <v>#VALUE!</v>
      </c>
      <c r="BK65" s="101" t="s">
        <v>270</v>
      </c>
      <c r="BL65" s="101" t="s">
        <v>270</v>
      </c>
      <c r="BM65" s="20" t="str">
        <f>+AE65</f>
        <v>GNP Seguros/AT&amp;T/Axa Seguros</v>
      </c>
      <c r="BN65" s="101" t="s">
        <v>270</v>
      </c>
      <c r="BO65" s="102" t="s">
        <v>93</v>
      </c>
      <c r="BP65" s="32">
        <v>2</v>
      </c>
      <c r="BQ65" s="30" t="s">
        <v>17</v>
      </c>
      <c r="BR65" s="30" t="s">
        <v>20</v>
      </c>
      <c r="BS65" s="6" t="s">
        <v>61</v>
      </c>
      <c r="BT65" s="3" t="s">
        <v>20</v>
      </c>
      <c r="BU65" s="3" t="s">
        <v>21</v>
      </c>
      <c r="BV65" s="3" t="s">
        <v>356</v>
      </c>
      <c r="BW65" s="3" t="s">
        <v>374</v>
      </c>
      <c r="BX65" s="46" t="s">
        <v>119</v>
      </c>
      <c r="BY65" s="148"/>
    </row>
    <row r="66" spans="1:78" ht="26.25" customHeight="1" x14ac:dyDescent="0.25">
      <c r="A66" s="129" t="s">
        <v>291</v>
      </c>
      <c r="B66" s="154" t="s">
        <v>386</v>
      </c>
      <c r="C66" s="2" t="s">
        <v>15</v>
      </c>
      <c r="D66" s="9">
        <v>3000000</v>
      </c>
      <c r="E66" s="9">
        <v>3000000</v>
      </c>
      <c r="F66" s="30" t="s">
        <v>298</v>
      </c>
      <c r="G66" s="26">
        <v>0</v>
      </c>
      <c r="H66" s="111" t="s">
        <v>289</v>
      </c>
      <c r="I66" s="110">
        <f t="shared" si="45"/>
        <v>0</v>
      </c>
      <c r="J66" s="110" t="s">
        <v>314</v>
      </c>
      <c r="K66" s="9">
        <v>3000000</v>
      </c>
      <c r="L66" s="9">
        <v>1950000</v>
      </c>
      <c r="M66" s="9">
        <v>3680548.88</v>
      </c>
      <c r="N66" s="25">
        <f>+M66/L66</f>
        <v>1.8874609641025641</v>
      </c>
      <c r="O66" s="9">
        <f>1733603+3680549</f>
        <v>5414152</v>
      </c>
      <c r="P66" s="33">
        <v>500000</v>
      </c>
      <c r="Q66" s="25">
        <f>+P66/L66</f>
        <v>0.25641025641025639</v>
      </c>
      <c r="R66" s="9">
        <f>O66+M66-P66</f>
        <v>8594700.879999999</v>
      </c>
      <c r="S66" s="15">
        <v>8.1</v>
      </c>
      <c r="T66" s="39">
        <v>8.1</v>
      </c>
      <c r="U66" s="15">
        <f>P66/AR66</f>
        <v>1.6039474558361888</v>
      </c>
      <c r="V66" s="15">
        <f>R66/AV66</f>
        <v>3.2022550084685357</v>
      </c>
      <c r="W66" s="15">
        <f>M66/AQ66</f>
        <v>14.72219552</v>
      </c>
      <c r="X66" s="9">
        <v>75377456.070000008</v>
      </c>
      <c r="Y66" s="3" t="s">
        <v>20</v>
      </c>
      <c r="Z66" s="25">
        <f t="shared" ref="Z66" si="47">+P66/M66</f>
        <v>0.13584930299852452</v>
      </c>
      <c r="AA66" s="3"/>
      <c r="AB66" s="3">
        <v>468</v>
      </c>
      <c r="AC66" s="3" t="s">
        <v>20</v>
      </c>
      <c r="AD66" s="3" t="s">
        <v>20</v>
      </c>
      <c r="AE66" s="3" t="s">
        <v>20</v>
      </c>
      <c r="AF66" s="3" t="s">
        <v>20</v>
      </c>
      <c r="AG66" s="35">
        <v>6000000</v>
      </c>
      <c r="AH66" s="35">
        <v>6000000</v>
      </c>
      <c r="AI66" s="35">
        <v>7734000</v>
      </c>
      <c r="AJ66" s="47">
        <f t="shared" ref="AJ66" si="48">+AI66/AH66</f>
        <v>1.2889999999999999</v>
      </c>
      <c r="AK66" s="47">
        <f t="shared" ref="AK66" si="49">+AI66/AG66</f>
        <v>1.2889999999999999</v>
      </c>
      <c r="AL66" s="47">
        <f t="shared" ref="AL66" si="50">+AI66/X66</f>
        <v>0.10260362186829104</v>
      </c>
      <c r="AM66" s="35">
        <v>55000</v>
      </c>
      <c r="AN66" s="47">
        <f t="shared" ref="AN66" si="51">+AM66/AI66</f>
        <v>7.1114559089733645E-3</v>
      </c>
      <c r="AO66" s="35">
        <v>30</v>
      </c>
      <c r="AP66" s="43">
        <v>0</v>
      </c>
      <c r="AQ66" s="3">
        <v>250000</v>
      </c>
      <c r="AR66" s="3">
        <f>AQ66+ROUND(AV66*(27.6%)/360*30,2)</f>
        <v>311730.91000000003</v>
      </c>
      <c r="AS66" s="3">
        <v>1</v>
      </c>
      <c r="AT66" s="9">
        <v>3000000</v>
      </c>
      <c r="AU66" s="3">
        <f t="shared" si="46"/>
        <v>316047.33000000007</v>
      </c>
      <c r="AV66" s="9">
        <v>2683952.67</v>
      </c>
      <c r="AW66" s="116">
        <f t="shared" ref="AW66" si="52">+AV66/E66</f>
        <v>0.89465088999999998</v>
      </c>
      <c r="AX66" s="117">
        <v>683952.68</v>
      </c>
      <c r="AY66" s="95">
        <f t="shared" ref="AY66" si="53">+AX66/AV66</f>
        <v>0.25483038044780426</v>
      </c>
      <c r="AZ66" s="117">
        <v>0</v>
      </c>
      <c r="BA66" s="95">
        <f t="shared" ref="BA66" si="54">+AZ66/AV66</f>
        <v>0</v>
      </c>
      <c r="BB66" s="38">
        <v>138000</v>
      </c>
      <c r="BC66" s="3"/>
      <c r="BD66" s="3" t="s">
        <v>282</v>
      </c>
      <c r="BE66" s="3">
        <v>0</v>
      </c>
      <c r="BF66" s="3">
        <v>0</v>
      </c>
      <c r="BG66" s="55">
        <v>44957</v>
      </c>
      <c r="BH66" s="5" t="s">
        <v>22</v>
      </c>
      <c r="BI66" s="5" t="s">
        <v>20</v>
      </c>
      <c r="BJ66" s="5"/>
      <c r="BK66" s="5" t="s">
        <v>270</v>
      </c>
      <c r="BL66" s="5" t="s">
        <v>270</v>
      </c>
      <c r="BM66" s="5" t="s">
        <v>20</v>
      </c>
      <c r="BN66" s="5" t="s">
        <v>270</v>
      </c>
      <c r="BO66" s="102" t="s">
        <v>93</v>
      </c>
      <c r="BP66" s="24">
        <v>2</v>
      </c>
      <c r="BQ66" s="3" t="s">
        <v>290</v>
      </c>
      <c r="BR66" s="3" t="s">
        <v>20</v>
      </c>
      <c r="BS66" s="6" t="s">
        <v>61</v>
      </c>
      <c r="BT66" s="3">
        <v>3000000</v>
      </c>
      <c r="BU66" s="3" t="s">
        <v>21</v>
      </c>
      <c r="BV66" s="3" t="s">
        <v>357</v>
      </c>
      <c r="BW66" s="3" t="s">
        <v>378</v>
      </c>
      <c r="BX66" s="28" t="s">
        <v>116</v>
      </c>
      <c r="BY66" s="152"/>
      <c r="BZ66" s="138" t="s">
        <v>323</v>
      </c>
    </row>
    <row r="67" spans="1:78" ht="26.25" customHeight="1" x14ac:dyDescent="0.25">
      <c r="A67" s="128" t="s">
        <v>292</v>
      </c>
      <c r="B67" s="124" t="s">
        <v>383</v>
      </c>
      <c r="C67" s="2" t="s">
        <v>15</v>
      </c>
      <c r="D67" s="9">
        <v>1000000</v>
      </c>
      <c r="E67" s="9">
        <v>1000000</v>
      </c>
      <c r="F67" s="30" t="s">
        <v>298</v>
      </c>
      <c r="G67" s="26">
        <v>0</v>
      </c>
      <c r="H67" s="111">
        <v>0</v>
      </c>
      <c r="I67" s="110">
        <f t="shared" ref="I67" si="55">+(G67/E67)</f>
        <v>0</v>
      </c>
      <c r="J67" s="110" t="s">
        <v>315</v>
      </c>
      <c r="K67" s="9">
        <v>3000000</v>
      </c>
      <c r="L67" s="9">
        <v>4700000</v>
      </c>
      <c r="M67" s="9">
        <v>281951.92000000004</v>
      </c>
      <c r="N67" s="25">
        <f>+M67/L67</f>
        <v>5.9989770212765969E-2</v>
      </c>
      <c r="O67" s="9">
        <f>3901074+281952</f>
        <v>4183026</v>
      </c>
      <c r="P67" s="33">
        <v>611265.00999999989</v>
      </c>
      <c r="Q67" s="25">
        <f>+P67/L67</f>
        <v>0.13005638510638295</v>
      </c>
      <c r="R67" s="9">
        <f>O67+M67-P67</f>
        <v>3853712.91</v>
      </c>
      <c r="S67" s="15">
        <v>1</v>
      </c>
      <c r="T67" s="39">
        <v>1</v>
      </c>
      <c r="U67" s="15">
        <f>P67/AR67</f>
        <v>5.8540946435176133</v>
      </c>
      <c r="V67" s="15">
        <f>R67/AV67</f>
        <v>4.2040504472727278</v>
      </c>
      <c r="W67" s="15">
        <f>M67/AQ67</f>
        <v>3.3834231753369273</v>
      </c>
      <c r="X67" s="9">
        <v>26572803.649999995</v>
      </c>
      <c r="Y67" s="3" t="s">
        <v>20</v>
      </c>
      <c r="Z67" s="25">
        <f t="shared" ref="Z67" si="56">+P67/M67</f>
        <v>2.1679760506684964</v>
      </c>
      <c r="AA67" s="3"/>
      <c r="AB67" s="3">
        <v>468</v>
      </c>
      <c r="AC67" s="3" t="s">
        <v>20</v>
      </c>
      <c r="AD67" s="3" t="s">
        <v>20</v>
      </c>
      <c r="AE67" s="3" t="s">
        <v>20</v>
      </c>
      <c r="AF67" s="3" t="s">
        <v>20</v>
      </c>
      <c r="AG67" s="35">
        <v>8000000</v>
      </c>
      <c r="AH67" s="35">
        <v>8000000</v>
      </c>
      <c r="AI67" s="35">
        <v>5213224</v>
      </c>
      <c r="AJ67" s="47">
        <f t="shared" ref="AJ67" si="57">+AI67/AH67</f>
        <v>0.65165300000000004</v>
      </c>
      <c r="AK67" s="47">
        <f t="shared" ref="AK67" si="58">+AI67/AG67</f>
        <v>0.65165300000000004</v>
      </c>
      <c r="AL67" s="47">
        <f t="shared" ref="AL67" si="59">+AI67/X67</f>
        <v>0.1961864494490404</v>
      </c>
      <c r="AM67" s="35">
        <v>0</v>
      </c>
      <c r="AN67" s="47">
        <f t="shared" ref="AN67" si="60">+AM67/AI67</f>
        <v>0</v>
      </c>
      <c r="AO67" s="35">
        <v>0</v>
      </c>
      <c r="AP67" s="43">
        <v>0</v>
      </c>
      <c r="AQ67" s="3">
        <v>83333.33</v>
      </c>
      <c r="AR67" s="3">
        <f>AQ67+ROUND(AV67*(27.6%)/360*30,2)</f>
        <v>104416.66</v>
      </c>
      <c r="AS67" s="3">
        <v>1</v>
      </c>
      <c r="AT67" s="9">
        <v>1000000</v>
      </c>
      <c r="AU67" s="3">
        <f t="shared" ref="AU67" si="61">AT67-AV67</f>
        <v>83333.333333333372</v>
      </c>
      <c r="AV67" s="9">
        <v>916666.66666666663</v>
      </c>
      <c r="AW67" s="116">
        <f t="shared" ref="AW67" si="62">+AV67/E67</f>
        <v>0.91666666666666663</v>
      </c>
      <c r="AX67" s="117">
        <v>0</v>
      </c>
      <c r="AY67" s="95">
        <f t="shared" ref="AY67" si="63">+AX67/AV67</f>
        <v>0</v>
      </c>
      <c r="AZ67" s="117">
        <v>0</v>
      </c>
      <c r="BA67" s="95">
        <f t="shared" ref="BA67" si="64">+AZ67/AV67</f>
        <v>0</v>
      </c>
      <c r="BB67" s="38">
        <v>46000</v>
      </c>
      <c r="BC67" s="3"/>
      <c r="BD67" s="3" t="s">
        <v>282</v>
      </c>
      <c r="BE67" s="3">
        <v>0</v>
      </c>
      <c r="BF67" s="3">
        <v>0</v>
      </c>
      <c r="BG67" s="55">
        <v>45046</v>
      </c>
      <c r="BH67" s="5" t="s">
        <v>22</v>
      </c>
      <c r="BI67" s="5" t="s">
        <v>20</v>
      </c>
      <c r="BJ67" s="5"/>
      <c r="BK67" s="5" t="s">
        <v>270</v>
      </c>
      <c r="BL67" s="5" t="s">
        <v>270</v>
      </c>
      <c r="BM67" s="5" t="s">
        <v>20</v>
      </c>
      <c r="BN67" s="5" t="s">
        <v>270</v>
      </c>
      <c r="BO67" s="102" t="s">
        <v>295</v>
      </c>
      <c r="BP67" s="24">
        <v>2</v>
      </c>
      <c r="BQ67" s="3" t="s">
        <v>290</v>
      </c>
      <c r="BR67" s="3" t="s">
        <v>20</v>
      </c>
      <c r="BS67" s="6" t="s">
        <v>61</v>
      </c>
      <c r="BT67" s="3">
        <v>1000000</v>
      </c>
      <c r="BU67" s="3" t="s">
        <v>21</v>
      </c>
      <c r="BV67" s="3" t="s">
        <v>358</v>
      </c>
      <c r="BW67" s="3" t="s">
        <v>368</v>
      </c>
      <c r="BX67" s="28" t="s">
        <v>116</v>
      </c>
      <c r="BY67" s="151"/>
    </row>
    <row r="68" spans="1:78" ht="26.25" customHeight="1" x14ac:dyDescent="0.25">
      <c r="A68" s="128" t="s">
        <v>293</v>
      </c>
      <c r="B68" s="124" t="s">
        <v>383</v>
      </c>
      <c r="C68" s="2" t="s">
        <v>15</v>
      </c>
      <c r="D68" s="9">
        <v>3500000</v>
      </c>
      <c r="E68" s="9">
        <v>3500000</v>
      </c>
      <c r="F68" s="30" t="s">
        <v>298</v>
      </c>
      <c r="G68" s="26">
        <v>0</v>
      </c>
      <c r="H68" s="111">
        <v>0</v>
      </c>
      <c r="I68" s="110">
        <f t="shared" ref="I68:I69" si="65">+(G68/E68)</f>
        <v>0</v>
      </c>
      <c r="J68" s="110" t="s">
        <v>315</v>
      </c>
      <c r="K68" s="9">
        <v>3000000</v>
      </c>
      <c r="L68" s="9">
        <v>4700000</v>
      </c>
      <c r="M68" s="9">
        <v>0</v>
      </c>
      <c r="N68" s="25">
        <f>+M68/L68</f>
        <v>0</v>
      </c>
      <c r="O68" s="9">
        <v>0</v>
      </c>
      <c r="P68" s="33">
        <v>0</v>
      </c>
      <c r="Q68" s="25">
        <f>+P68/L68</f>
        <v>0</v>
      </c>
      <c r="R68" s="9">
        <f>O68+M68-P68</f>
        <v>0</v>
      </c>
      <c r="S68" s="15">
        <v>1</v>
      </c>
      <c r="T68" s="39">
        <v>1</v>
      </c>
      <c r="U68" s="15">
        <f>P68/AR68</f>
        <v>0</v>
      </c>
      <c r="V68" s="15">
        <f>R68/AV68</f>
        <v>0</v>
      </c>
      <c r="W68" s="15">
        <f>M68/AQ68</f>
        <v>0</v>
      </c>
      <c r="X68" s="9">
        <v>89467299</v>
      </c>
      <c r="Y68" s="3" t="s">
        <v>20</v>
      </c>
      <c r="Z68" s="25" t="e">
        <f t="shared" ref="Z68:Z69" si="66">+P68/M68</f>
        <v>#DIV/0!</v>
      </c>
      <c r="AA68" s="3"/>
      <c r="AB68" s="3">
        <v>468</v>
      </c>
      <c r="AC68" s="3" t="s">
        <v>20</v>
      </c>
      <c r="AD68" s="3" t="s">
        <v>20</v>
      </c>
      <c r="AE68" s="3" t="s">
        <v>20</v>
      </c>
      <c r="AF68" s="3" t="s">
        <v>20</v>
      </c>
      <c r="AG68" s="35">
        <v>8000000</v>
      </c>
      <c r="AH68" s="35">
        <v>8000000</v>
      </c>
      <c r="AI68" s="35">
        <v>5587000</v>
      </c>
      <c r="AJ68" s="47">
        <f t="shared" ref="AJ68:AJ69" si="67">+AI68/AH68</f>
        <v>0.69837499999999997</v>
      </c>
      <c r="AK68" s="47">
        <f t="shared" ref="AK68:AK69" si="68">+AI68/AG68</f>
        <v>0.69837499999999997</v>
      </c>
      <c r="AL68" s="47">
        <f t="shared" ref="AL68:AL69" si="69">+AI68/X68</f>
        <v>6.244739767990537E-2</v>
      </c>
      <c r="AM68" s="35">
        <v>0</v>
      </c>
      <c r="AN68" s="47">
        <f t="shared" ref="AN68:AN69" si="70">+AM68/AI68</f>
        <v>0</v>
      </c>
      <c r="AO68" s="35">
        <v>0</v>
      </c>
      <c r="AP68" s="43">
        <v>19</v>
      </c>
      <c r="AQ68" s="3">
        <v>291666.67</v>
      </c>
      <c r="AR68" s="3">
        <f>AQ68+ROUND(AV68*(27.6%)/360*30,2)</f>
        <v>372166.67</v>
      </c>
      <c r="AS68" s="3">
        <v>1</v>
      </c>
      <c r="AT68" s="9">
        <v>3500000</v>
      </c>
      <c r="AU68" s="3">
        <f t="shared" ref="AU68:AU69" si="71">AT68-AV68</f>
        <v>0</v>
      </c>
      <c r="AV68" s="9">
        <v>3500000</v>
      </c>
      <c r="AW68" s="116">
        <f t="shared" ref="AW68:AW69" si="72">+AV68/E68</f>
        <v>1</v>
      </c>
      <c r="AX68" s="117">
        <v>0</v>
      </c>
      <c r="AY68" s="95">
        <f t="shared" ref="AY68:AY69" si="73">+AX68/AV68</f>
        <v>0</v>
      </c>
      <c r="AZ68" s="117">
        <v>0</v>
      </c>
      <c r="BA68" s="95">
        <f t="shared" ref="BA68:BA69" si="74">+AZ68/AV68</f>
        <v>0</v>
      </c>
      <c r="BB68" s="38">
        <v>161000</v>
      </c>
      <c r="BC68" s="3"/>
      <c r="BD68" s="3" t="s">
        <v>282</v>
      </c>
      <c r="BE68" s="3">
        <v>0</v>
      </c>
      <c r="BF68" s="3">
        <v>0</v>
      </c>
      <c r="BG68" s="55">
        <v>45046</v>
      </c>
      <c r="BH68" s="5" t="s">
        <v>22</v>
      </c>
      <c r="BI68" s="5" t="s">
        <v>20</v>
      </c>
      <c r="BJ68" s="5"/>
      <c r="BK68" s="5" t="s">
        <v>270</v>
      </c>
      <c r="BL68" s="5" t="s">
        <v>270</v>
      </c>
      <c r="BM68" s="5" t="s">
        <v>20</v>
      </c>
      <c r="BN68" s="5" t="s">
        <v>270</v>
      </c>
      <c r="BO68" s="102" t="s">
        <v>148</v>
      </c>
      <c r="BP68" s="24">
        <v>2</v>
      </c>
      <c r="BQ68" s="122" t="s">
        <v>280</v>
      </c>
      <c r="BR68" s="3" t="s">
        <v>20</v>
      </c>
      <c r="BS68" s="6" t="s">
        <v>61</v>
      </c>
      <c r="BT68" s="3">
        <v>3500000</v>
      </c>
      <c r="BU68" s="3" t="s">
        <v>21</v>
      </c>
      <c r="BV68" s="3" t="s">
        <v>375</v>
      </c>
      <c r="BW68" s="3" t="s">
        <v>379</v>
      </c>
      <c r="BX68" s="28" t="s">
        <v>116</v>
      </c>
      <c r="BY68" s="151"/>
    </row>
    <row r="69" spans="1:78" ht="26.25" customHeight="1" x14ac:dyDescent="0.25">
      <c r="A69" s="131" t="s">
        <v>294</v>
      </c>
      <c r="B69" s="154" t="s">
        <v>385</v>
      </c>
      <c r="C69" s="69" t="s">
        <v>15</v>
      </c>
      <c r="D69" s="29">
        <v>6000000</v>
      </c>
      <c r="E69" s="29">
        <v>6000000</v>
      </c>
      <c r="F69" s="30" t="s">
        <v>16</v>
      </c>
      <c r="G69" s="24" t="s">
        <v>20</v>
      </c>
      <c r="H69" s="110" t="s">
        <v>20</v>
      </c>
      <c r="I69" s="110" t="e">
        <f t="shared" si="65"/>
        <v>#VALUE!</v>
      </c>
      <c r="J69" s="110" t="s">
        <v>315</v>
      </c>
      <c r="K69" s="3" t="s">
        <v>20</v>
      </c>
      <c r="L69" s="3" t="s">
        <v>20</v>
      </c>
      <c r="M69" s="9">
        <v>2217468.62</v>
      </c>
      <c r="N69" s="3" t="s">
        <v>20</v>
      </c>
      <c r="O69" s="3" t="s">
        <v>20</v>
      </c>
      <c r="P69" s="3" t="s">
        <v>20</v>
      </c>
      <c r="Q69" s="3" t="s">
        <v>20</v>
      </c>
      <c r="R69" s="3" t="s">
        <v>20</v>
      </c>
      <c r="S69" s="15" t="s">
        <v>296</v>
      </c>
      <c r="T69" s="39">
        <v>1.19</v>
      </c>
      <c r="U69" s="30" t="s">
        <v>20</v>
      </c>
      <c r="V69" s="30" t="s">
        <v>20</v>
      </c>
      <c r="W69" s="30" t="s">
        <v>20</v>
      </c>
      <c r="X69" s="38">
        <f>+(194401039)*1.16</f>
        <v>225505205.23999998</v>
      </c>
      <c r="Y69" s="3" t="s">
        <v>20</v>
      </c>
      <c r="Z69" s="109" t="e">
        <f t="shared" si="66"/>
        <v>#VALUE!</v>
      </c>
      <c r="AA69" s="3"/>
      <c r="AB69" s="3">
        <v>468</v>
      </c>
      <c r="AC69" s="3" t="s">
        <v>20</v>
      </c>
      <c r="AD69" s="3" t="s">
        <v>20</v>
      </c>
      <c r="AE69" s="31" t="s">
        <v>297</v>
      </c>
      <c r="AF69" s="25">
        <v>1</v>
      </c>
      <c r="AG69" s="35">
        <v>115000000</v>
      </c>
      <c r="AH69" s="35">
        <v>115000000</v>
      </c>
      <c r="AI69" s="35">
        <v>114164000</v>
      </c>
      <c r="AJ69" s="47">
        <f t="shared" si="67"/>
        <v>0.99273043478260869</v>
      </c>
      <c r="AK69" s="47">
        <f t="shared" si="68"/>
        <v>0.99273043478260869</v>
      </c>
      <c r="AL69" s="35">
        <f t="shared" si="69"/>
        <v>0.50625882395263511</v>
      </c>
      <c r="AM69" s="35">
        <v>2940000</v>
      </c>
      <c r="AN69" s="47">
        <f t="shared" si="70"/>
        <v>2.5752426334045758E-2</v>
      </c>
      <c r="AO69" s="35">
        <v>21</v>
      </c>
      <c r="AP69" s="43">
        <v>66</v>
      </c>
      <c r="AQ69" s="3" t="s">
        <v>20</v>
      </c>
      <c r="AR69" s="3" t="s">
        <v>20</v>
      </c>
      <c r="AS69" s="30">
        <v>1</v>
      </c>
      <c r="AT69" s="29">
        <v>5628890.6900000004</v>
      </c>
      <c r="AU69" s="3">
        <f t="shared" si="71"/>
        <v>663426.8900000006</v>
      </c>
      <c r="AV69" s="75">
        <v>4965463.8</v>
      </c>
      <c r="AW69" s="104">
        <f t="shared" si="72"/>
        <v>0.82757729999999996</v>
      </c>
      <c r="AX69" s="117">
        <v>0</v>
      </c>
      <c r="AY69" s="95">
        <f t="shared" si="73"/>
        <v>0</v>
      </c>
      <c r="AZ69" s="117">
        <v>0</v>
      </c>
      <c r="BA69" s="95">
        <f t="shared" si="74"/>
        <v>0</v>
      </c>
      <c r="BB69" s="38">
        <v>250172.92</v>
      </c>
      <c r="BC69" s="9" t="s">
        <v>20</v>
      </c>
      <c r="BD69" s="9" t="s">
        <v>20</v>
      </c>
      <c r="BE69" s="9" t="s">
        <v>20</v>
      </c>
      <c r="BF69" s="9" t="s">
        <v>20</v>
      </c>
      <c r="BG69" s="55">
        <v>44742</v>
      </c>
      <c r="BH69" s="5" t="s">
        <v>22</v>
      </c>
      <c r="BI69" s="5" t="s">
        <v>20</v>
      </c>
      <c r="BJ69" s="5" t="e">
        <f>90-BI69</f>
        <v>#VALUE!</v>
      </c>
      <c r="BK69" s="101" t="s">
        <v>270</v>
      </c>
      <c r="BL69" s="101" t="s">
        <v>270</v>
      </c>
      <c r="BM69" s="20" t="str">
        <f>+AE69</f>
        <v>Printel/One Time/Chaprint/Line Print</v>
      </c>
      <c r="BN69" s="101" t="s">
        <v>270</v>
      </c>
      <c r="BO69" s="102" t="s">
        <v>295</v>
      </c>
      <c r="BP69" s="32">
        <v>2</v>
      </c>
      <c r="BQ69" s="30" t="s">
        <v>17</v>
      </c>
      <c r="BR69" s="30" t="s">
        <v>20</v>
      </c>
      <c r="BS69" s="6" t="s">
        <v>61</v>
      </c>
      <c r="BT69" s="3" t="s">
        <v>20</v>
      </c>
      <c r="BU69" s="3" t="s">
        <v>21</v>
      </c>
      <c r="BV69" s="3" t="s">
        <v>376</v>
      </c>
      <c r="BW69" s="3" t="s">
        <v>380</v>
      </c>
      <c r="BX69" s="46" t="s">
        <v>116</v>
      </c>
      <c r="BY69" s="153"/>
      <c r="BZ69" s="138" t="s">
        <v>322</v>
      </c>
    </row>
    <row r="70" spans="1:78" ht="26.25" customHeight="1" x14ac:dyDescent="0.25">
      <c r="A70" s="128" t="s">
        <v>301</v>
      </c>
      <c r="B70" s="124" t="s">
        <v>383</v>
      </c>
      <c r="C70" s="69" t="s">
        <v>15</v>
      </c>
      <c r="D70" s="29">
        <v>3000000</v>
      </c>
      <c r="E70" s="29">
        <v>3000000</v>
      </c>
      <c r="F70" s="30" t="s">
        <v>16</v>
      </c>
      <c r="G70" s="24" t="s">
        <v>20</v>
      </c>
      <c r="H70" s="110" t="s">
        <v>20</v>
      </c>
      <c r="I70" s="110" t="e">
        <f t="shared" ref="I70:I71" si="75">+(G70/E70)</f>
        <v>#VALUE!</v>
      </c>
      <c r="J70" s="110" t="s">
        <v>315</v>
      </c>
      <c r="K70" s="3" t="s">
        <v>20</v>
      </c>
      <c r="L70" s="3" t="s">
        <v>20</v>
      </c>
      <c r="M70" s="9">
        <v>0</v>
      </c>
      <c r="N70" s="3" t="s">
        <v>20</v>
      </c>
      <c r="O70" s="3" t="s">
        <v>20</v>
      </c>
      <c r="P70" s="3" t="s">
        <v>20</v>
      </c>
      <c r="Q70" s="3" t="s">
        <v>20</v>
      </c>
      <c r="R70" s="3" t="s">
        <v>20</v>
      </c>
      <c r="S70" s="15" t="s">
        <v>296</v>
      </c>
      <c r="T70" s="39">
        <v>1.19</v>
      </c>
      <c r="U70" s="30" t="s">
        <v>20</v>
      </c>
      <c r="V70" s="30" t="s">
        <v>20</v>
      </c>
      <c r="W70" s="30" t="s">
        <v>20</v>
      </c>
      <c r="X70" s="38">
        <v>109644453.84999999</v>
      </c>
      <c r="Y70" s="3" t="s">
        <v>20</v>
      </c>
      <c r="Z70" s="109" t="e">
        <f t="shared" ref="Z70:Z71" si="76">+P70/M70</f>
        <v>#VALUE!</v>
      </c>
      <c r="AA70" s="3"/>
      <c r="AB70" s="3">
        <v>468</v>
      </c>
      <c r="AC70" s="3" t="s">
        <v>20</v>
      </c>
      <c r="AD70" s="3" t="s">
        <v>20</v>
      </c>
      <c r="AE70" s="31" t="s">
        <v>302</v>
      </c>
      <c r="AF70" s="25">
        <v>1</v>
      </c>
      <c r="AG70" s="35">
        <v>7500000</v>
      </c>
      <c r="AH70" s="35">
        <v>7500000</v>
      </c>
      <c r="AI70" s="35">
        <v>1673000</v>
      </c>
      <c r="AJ70" s="47">
        <f t="shared" ref="AJ70:AJ71" si="77">+AI70/AH70</f>
        <v>0.22306666666666666</v>
      </c>
      <c r="AK70" s="47">
        <f t="shared" ref="AK70:AK71" si="78">+AI70/AG70</f>
        <v>0.22306666666666666</v>
      </c>
      <c r="AL70" s="35">
        <f t="shared" ref="AL70:AL71" si="79">+AI70/X70</f>
        <v>1.5258409716635203E-2</v>
      </c>
      <c r="AM70" s="35">
        <v>31000</v>
      </c>
      <c r="AN70" s="47">
        <f t="shared" ref="AN70:AN71" si="80">+AM70/AI70</f>
        <v>1.852958756724447E-2</v>
      </c>
      <c r="AO70" s="35">
        <v>44</v>
      </c>
      <c r="AP70" s="43">
        <v>0</v>
      </c>
      <c r="AQ70" s="3" t="s">
        <v>20</v>
      </c>
      <c r="AR70" s="3" t="s">
        <v>20</v>
      </c>
      <c r="AS70" s="30">
        <v>1</v>
      </c>
      <c r="AT70" s="29">
        <v>1948587.0796799997</v>
      </c>
      <c r="AU70" s="3">
        <f t="shared" ref="AU70:AU71" si="81">AT70-AV70</f>
        <v>-3.2000034116208553E-4</v>
      </c>
      <c r="AV70" s="75">
        <v>1948587.08</v>
      </c>
      <c r="AW70" s="104">
        <f t="shared" ref="AW70:AW71" si="82">+AV70/E70</f>
        <v>0.64952902666666668</v>
      </c>
      <c r="AX70" s="117">
        <v>0</v>
      </c>
      <c r="AY70" s="95">
        <f t="shared" ref="AY70:AY71" si="83">+AX70/AV70</f>
        <v>0</v>
      </c>
      <c r="AZ70" s="117">
        <v>0</v>
      </c>
      <c r="BA70" s="95">
        <f t="shared" ref="BA70:BA71" si="84">+AZ70/AV70</f>
        <v>0</v>
      </c>
      <c r="BB70" s="38">
        <v>268905.02</v>
      </c>
      <c r="BC70" s="9" t="s">
        <v>20</v>
      </c>
      <c r="BD70" s="9" t="s">
        <v>20</v>
      </c>
      <c r="BE70" s="9" t="s">
        <v>20</v>
      </c>
      <c r="BF70" s="9" t="s">
        <v>20</v>
      </c>
      <c r="BG70" s="55">
        <v>44834</v>
      </c>
      <c r="BH70" s="5" t="s">
        <v>22</v>
      </c>
      <c r="BI70" s="5" t="s">
        <v>20</v>
      </c>
      <c r="BJ70" s="5" t="e">
        <f>90-BI70</f>
        <v>#VALUE!</v>
      </c>
      <c r="BK70" s="101" t="s">
        <v>270</v>
      </c>
      <c r="BL70" s="101" t="s">
        <v>270</v>
      </c>
      <c r="BM70" s="20" t="str">
        <f>+AE70</f>
        <v>Perenco/Petroservicios/Petrolera</v>
      </c>
      <c r="BN70" s="101" t="s">
        <v>270</v>
      </c>
      <c r="BO70" s="102" t="s">
        <v>97</v>
      </c>
      <c r="BP70" s="32">
        <v>2</v>
      </c>
      <c r="BQ70" s="30" t="s">
        <v>17</v>
      </c>
      <c r="BR70" s="30" t="s">
        <v>20</v>
      </c>
      <c r="BS70" s="6" t="s">
        <v>61</v>
      </c>
      <c r="BT70" s="3" t="s">
        <v>20</v>
      </c>
      <c r="BU70" s="3" t="s">
        <v>21</v>
      </c>
      <c r="BV70" s="3" t="s">
        <v>377</v>
      </c>
      <c r="BW70" s="3" t="s">
        <v>381</v>
      </c>
      <c r="BX70" s="46" t="s">
        <v>116</v>
      </c>
      <c r="BY70" s="148"/>
    </row>
    <row r="71" spans="1:78" ht="39.75" customHeight="1" x14ac:dyDescent="0.25">
      <c r="A71" s="128" t="s">
        <v>307</v>
      </c>
      <c r="B71" s="124" t="s">
        <v>383</v>
      </c>
      <c r="C71" s="69" t="s">
        <v>15</v>
      </c>
      <c r="D71" s="29">
        <v>5000000</v>
      </c>
      <c r="E71" s="29">
        <v>5000000</v>
      </c>
      <c r="F71" s="30" t="s">
        <v>298</v>
      </c>
      <c r="G71" s="24">
        <v>0</v>
      </c>
      <c r="H71" s="110">
        <v>0</v>
      </c>
      <c r="I71" s="110">
        <f t="shared" si="75"/>
        <v>0</v>
      </c>
      <c r="J71" s="110" t="s">
        <v>315</v>
      </c>
      <c r="K71" s="3">
        <v>2000000</v>
      </c>
      <c r="L71" s="3">
        <v>2260370</v>
      </c>
      <c r="M71" s="9">
        <v>3062641.17</v>
      </c>
      <c r="N71" s="25">
        <f>+M71/L71</f>
        <v>1.3549291354955162</v>
      </c>
      <c r="O71" s="3">
        <f>2810390+3062641</f>
        <v>5873031</v>
      </c>
      <c r="P71" s="3">
        <v>805128.16</v>
      </c>
      <c r="Q71" s="3">
        <f>+P71/L71</f>
        <v>0.35619308343324324</v>
      </c>
      <c r="R71" s="3">
        <f>O71+M71-P71</f>
        <v>8130544.0099999998</v>
      </c>
      <c r="S71" s="15">
        <v>1</v>
      </c>
      <c r="T71" s="39">
        <v>1</v>
      </c>
      <c r="U71" s="30">
        <f>P71/AR71</f>
        <v>1.5143476268692941</v>
      </c>
      <c r="V71" s="30">
        <f>R71/AV71</f>
        <v>1.6261088019999999</v>
      </c>
      <c r="W71" s="30">
        <f>M71/AQ71</f>
        <v>7.3503387491972898</v>
      </c>
      <c r="X71" s="38">
        <v>135380988.39999998</v>
      </c>
      <c r="Y71" s="3" t="s">
        <v>20</v>
      </c>
      <c r="Z71" s="109">
        <f t="shared" si="76"/>
        <v>0.26288687290127433</v>
      </c>
      <c r="AA71" s="3"/>
      <c r="AB71" s="3">
        <v>468</v>
      </c>
      <c r="AC71" s="3" t="s">
        <v>20</v>
      </c>
      <c r="AD71" s="3" t="s">
        <v>20</v>
      </c>
      <c r="AE71" s="32" t="s">
        <v>308</v>
      </c>
      <c r="AF71" s="25" t="s">
        <v>20</v>
      </c>
      <c r="AG71" s="35">
        <v>23000000</v>
      </c>
      <c r="AH71" s="35">
        <v>23000000</v>
      </c>
      <c r="AI71" s="35">
        <v>13556200</v>
      </c>
      <c r="AJ71" s="47">
        <f t="shared" si="77"/>
        <v>0.58940000000000003</v>
      </c>
      <c r="AK71" s="47">
        <f t="shared" si="78"/>
        <v>0.58940000000000003</v>
      </c>
      <c r="AL71" s="35">
        <f t="shared" si="79"/>
        <v>0.10013370533199625</v>
      </c>
      <c r="AM71" s="35">
        <v>0</v>
      </c>
      <c r="AN71" s="47">
        <f t="shared" si="80"/>
        <v>0</v>
      </c>
      <c r="AO71" s="35">
        <v>0</v>
      </c>
      <c r="AP71" s="43">
        <v>6</v>
      </c>
      <c r="AQ71" s="3">
        <v>416666.67</v>
      </c>
      <c r="AR71" s="3">
        <f>AQ71+ROUND(AV71*(27.6%)/360*30,2)</f>
        <v>531666.66999999993</v>
      </c>
      <c r="AS71" s="30">
        <v>1</v>
      </c>
      <c r="AT71" s="29">
        <v>5000000</v>
      </c>
      <c r="AU71" s="3">
        <f t="shared" si="81"/>
        <v>0</v>
      </c>
      <c r="AV71" s="75">
        <v>5000000</v>
      </c>
      <c r="AW71" s="104">
        <f t="shared" si="82"/>
        <v>1</v>
      </c>
      <c r="AX71" s="117">
        <v>0</v>
      </c>
      <c r="AY71" s="95">
        <f t="shared" si="83"/>
        <v>0</v>
      </c>
      <c r="AZ71" s="117">
        <v>0</v>
      </c>
      <c r="BA71" s="95">
        <f t="shared" si="84"/>
        <v>0</v>
      </c>
      <c r="BB71" s="38">
        <v>215000</v>
      </c>
      <c r="BC71" s="9"/>
      <c r="BD71" s="9" t="s">
        <v>282</v>
      </c>
      <c r="BE71" s="9">
        <v>0</v>
      </c>
      <c r="BF71" s="9">
        <v>0</v>
      </c>
      <c r="BG71" s="55">
        <v>45107</v>
      </c>
      <c r="BH71" s="5" t="s">
        <v>22</v>
      </c>
      <c r="BI71" s="5" t="s">
        <v>20</v>
      </c>
      <c r="BJ71" s="5"/>
      <c r="BK71" s="101" t="s">
        <v>270</v>
      </c>
      <c r="BL71" s="101" t="s">
        <v>270</v>
      </c>
      <c r="BM71" s="20" t="s">
        <v>20</v>
      </c>
      <c r="BN71" s="101" t="s">
        <v>270</v>
      </c>
      <c r="BO71" s="102" t="s">
        <v>93</v>
      </c>
      <c r="BP71" s="32">
        <v>2</v>
      </c>
      <c r="BQ71" s="30" t="s">
        <v>17</v>
      </c>
      <c r="BR71" s="30" t="s">
        <v>20</v>
      </c>
      <c r="BS71" s="6" t="s">
        <v>61</v>
      </c>
      <c r="BT71" s="3">
        <v>2300000</v>
      </c>
      <c r="BU71" s="3" t="s">
        <v>21</v>
      </c>
      <c r="BV71" s="3" t="s">
        <v>327</v>
      </c>
      <c r="BW71" s="3" t="s">
        <v>362</v>
      </c>
      <c r="BX71" s="46" t="s">
        <v>116</v>
      </c>
      <c r="BY71" s="148"/>
    </row>
    <row r="72" spans="1:78" x14ac:dyDescent="0.25">
      <c r="AV72" s="36"/>
      <c r="AW72" s="36"/>
      <c r="AX72" s="36"/>
      <c r="AY72" s="36"/>
      <c r="AZ72" s="36"/>
      <c r="BA72" s="36"/>
      <c r="BB72" s="133"/>
      <c r="BC72" s="44"/>
      <c r="BD72" s="44"/>
      <c r="BE72" s="44"/>
      <c r="BF72" s="44"/>
    </row>
    <row r="73" spans="1:78" x14ac:dyDescent="0.25">
      <c r="AZ73" s="10"/>
    </row>
    <row r="75" spans="1:78" x14ac:dyDescent="0.25">
      <c r="F75" s="37"/>
      <c r="G75" s="37"/>
      <c r="H75" s="60"/>
      <c r="I75" s="37"/>
      <c r="J75" s="3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DF3E-5FF2-4EAA-AEC1-B0A82EF8ADD3}">
  <dimension ref="A1:I79"/>
  <sheetViews>
    <sheetView zoomScale="80" zoomScaleNormal="80" workbookViewId="0">
      <pane xSplit="1" ySplit="2" topLeftCell="B3" activePane="bottomRight" state="frozen"/>
      <selection pane="topRight" activeCell="B1" sqref="B1"/>
      <selection pane="bottomLeft" activeCell="A4" sqref="A4"/>
      <selection pane="bottomRight" activeCell="G1" sqref="G1"/>
    </sheetView>
  </sheetViews>
  <sheetFormatPr baseColWidth="10" defaultColWidth="10.85546875" defaultRowHeight="15" x14ac:dyDescent="0.25"/>
  <cols>
    <col min="1" max="1" width="25.42578125" customWidth="1"/>
    <col min="2" max="2" width="11.42578125" customWidth="1"/>
    <col min="3" max="3" width="12.42578125" customWidth="1"/>
    <col min="4" max="4" width="14.85546875" customWidth="1"/>
    <col min="5" max="6" width="11.42578125" customWidth="1"/>
    <col min="7" max="7" width="15.85546875" customWidth="1"/>
    <col min="8" max="9" width="47.7109375" customWidth="1"/>
    <col min="10" max="10" width="11.5703125" customWidth="1"/>
  </cols>
  <sheetData>
    <row r="1" spans="1:9" ht="15.75" thickBot="1" x14ac:dyDescent="0.3">
      <c r="A1" s="157" t="s">
        <v>0</v>
      </c>
      <c r="B1" s="158"/>
      <c r="C1" s="158"/>
      <c r="D1" s="158"/>
      <c r="E1" s="158"/>
      <c r="F1" s="158"/>
      <c r="G1" s="141"/>
      <c r="H1" s="156"/>
      <c r="I1" s="156"/>
    </row>
    <row r="2" spans="1:9" ht="84" customHeight="1" thickBot="1" x14ac:dyDescent="0.3">
      <c r="A2" s="56" t="s">
        <v>1</v>
      </c>
      <c r="B2" s="88" t="s">
        <v>2</v>
      </c>
      <c r="C2" s="88" t="s">
        <v>3</v>
      </c>
      <c r="D2" s="88" t="s">
        <v>4</v>
      </c>
      <c r="E2" s="88" t="s">
        <v>5</v>
      </c>
      <c r="F2" s="88" t="s">
        <v>196</v>
      </c>
      <c r="G2" s="88" t="s">
        <v>185</v>
      </c>
      <c r="H2" s="88" t="s">
        <v>359</v>
      </c>
      <c r="I2" s="88" t="s">
        <v>360</v>
      </c>
    </row>
    <row r="3" spans="1:9" ht="25.5" x14ac:dyDescent="0.25">
      <c r="A3" s="48" t="s">
        <v>14</v>
      </c>
      <c r="B3" s="49" t="s">
        <v>15</v>
      </c>
      <c r="C3" s="21">
        <v>10000000</v>
      </c>
      <c r="D3" s="21">
        <v>5000000</v>
      </c>
      <c r="E3" s="21" t="s">
        <v>16</v>
      </c>
      <c r="F3" s="21">
        <v>16000000</v>
      </c>
      <c r="G3" s="34">
        <v>0</v>
      </c>
      <c r="H3" s="54"/>
      <c r="I3" s="54"/>
    </row>
    <row r="4" spans="1:9" ht="32.25" customHeight="1" x14ac:dyDescent="0.25">
      <c r="A4" s="124" t="s">
        <v>299</v>
      </c>
      <c r="B4" s="2" t="s">
        <v>15</v>
      </c>
      <c r="C4" s="9">
        <v>10000000</v>
      </c>
      <c r="D4" s="9">
        <v>10000000</v>
      </c>
      <c r="E4" s="30" t="s">
        <v>298</v>
      </c>
      <c r="F4" s="3">
        <v>43400000</v>
      </c>
      <c r="G4" s="103">
        <v>10512100.159806214</v>
      </c>
      <c r="H4" s="3" t="s">
        <v>325</v>
      </c>
      <c r="I4" s="3" t="s">
        <v>361</v>
      </c>
    </row>
    <row r="5" spans="1:9" x14ac:dyDescent="0.25">
      <c r="A5" s="123" t="s">
        <v>26</v>
      </c>
      <c r="B5" s="2" t="s">
        <v>15</v>
      </c>
      <c r="C5" s="9">
        <v>10000000</v>
      </c>
      <c r="D5" s="9">
        <v>10000000</v>
      </c>
      <c r="E5" s="30" t="s">
        <v>298</v>
      </c>
      <c r="F5" s="26" t="s">
        <v>20</v>
      </c>
      <c r="G5" s="103">
        <v>8567650.9900000021</v>
      </c>
      <c r="H5" s="3" t="s">
        <v>326</v>
      </c>
      <c r="I5" s="3" t="s">
        <v>362</v>
      </c>
    </row>
    <row r="6" spans="1:9" x14ac:dyDescent="0.25">
      <c r="A6" s="124" t="s">
        <v>32</v>
      </c>
      <c r="B6" s="2" t="s">
        <v>15</v>
      </c>
      <c r="C6" s="9">
        <v>15000000</v>
      </c>
      <c r="D6" s="9">
        <v>15000000</v>
      </c>
      <c r="E6" s="30" t="s">
        <v>298</v>
      </c>
      <c r="F6" s="26" t="s">
        <v>20</v>
      </c>
      <c r="G6" s="103">
        <v>11153563.02876804</v>
      </c>
      <c r="H6" s="3" t="s">
        <v>327</v>
      </c>
      <c r="I6" s="3" t="s">
        <v>362</v>
      </c>
    </row>
    <row r="7" spans="1:9" x14ac:dyDescent="0.25">
      <c r="A7" s="124" t="s">
        <v>34</v>
      </c>
      <c r="B7" s="2" t="s">
        <v>15</v>
      </c>
      <c r="C7" s="9">
        <v>5000000</v>
      </c>
      <c r="D7" s="9">
        <v>5000000</v>
      </c>
      <c r="E7" s="30" t="s">
        <v>298</v>
      </c>
      <c r="F7" s="26" t="s">
        <v>20</v>
      </c>
      <c r="G7" s="14">
        <v>4166666.8212294728</v>
      </c>
      <c r="H7" s="3" t="s">
        <v>346</v>
      </c>
      <c r="I7" s="3" t="s">
        <v>363</v>
      </c>
    </row>
    <row r="8" spans="1:9" x14ac:dyDescent="0.25">
      <c r="A8" s="124" t="s">
        <v>37</v>
      </c>
      <c r="B8" s="2" t="s">
        <v>15</v>
      </c>
      <c r="C8" s="9">
        <v>10000000</v>
      </c>
      <c r="D8" s="9">
        <v>10000000</v>
      </c>
      <c r="E8" s="30" t="s">
        <v>298</v>
      </c>
      <c r="F8" s="26" t="s">
        <v>20</v>
      </c>
      <c r="G8" s="14">
        <v>57398.209999997765</v>
      </c>
      <c r="H8" s="3" t="s">
        <v>331</v>
      </c>
      <c r="I8" s="3" t="s">
        <v>364</v>
      </c>
    </row>
    <row r="9" spans="1:9" x14ac:dyDescent="0.25">
      <c r="A9" s="125" t="s">
        <v>40</v>
      </c>
      <c r="B9" s="2" t="s">
        <v>15</v>
      </c>
      <c r="C9" s="9">
        <v>3000000</v>
      </c>
      <c r="D9" s="9">
        <v>3000000</v>
      </c>
      <c r="E9" s="30" t="s">
        <v>298</v>
      </c>
      <c r="F9" s="26" t="s">
        <v>20</v>
      </c>
      <c r="G9" s="34">
        <v>0</v>
      </c>
      <c r="H9" s="3"/>
      <c r="I9" s="3"/>
    </row>
    <row r="10" spans="1:9" x14ac:dyDescent="0.25">
      <c r="A10" s="137" t="s">
        <v>40</v>
      </c>
      <c r="B10" s="2" t="s">
        <v>15</v>
      </c>
      <c r="C10" s="9">
        <v>3000000</v>
      </c>
      <c r="D10" s="9">
        <v>3000000</v>
      </c>
      <c r="E10" s="3" t="s">
        <v>16</v>
      </c>
      <c r="F10" s="26" t="s">
        <v>20</v>
      </c>
      <c r="G10" s="6">
        <v>584916.83999999985</v>
      </c>
      <c r="H10" s="3" t="s">
        <v>333</v>
      </c>
      <c r="I10" s="3" t="s">
        <v>328</v>
      </c>
    </row>
    <row r="11" spans="1:9" x14ac:dyDescent="0.25">
      <c r="A11" s="124" t="s">
        <v>43</v>
      </c>
      <c r="B11" s="2" t="s">
        <v>15</v>
      </c>
      <c r="C11" s="9">
        <v>15000000</v>
      </c>
      <c r="D11" s="9">
        <v>15000000</v>
      </c>
      <c r="E11" s="30" t="s">
        <v>298</v>
      </c>
      <c r="F11" s="3">
        <v>8400000</v>
      </c>
      <c r="G11" s="12">
        <v>10523289.315098232</v>
      </c>
      <c r="H11" s="3" t="s">
        <v>329</v>
      </c>
      <c r="I11" s="3" t="s">
        <v>362</v>
      </c>
    </row>
    <row r="12" spans="1:9" x14ac:dyDescent="0.25">
      <c r="A12" s="126" t="s">
        <v>45</v>
      </c>
      <c r="B12" s="2" t="s">
        <v>15</v>
      </c>
      <c r="C12" s="9">
        <v>12700000</v>
      </c>
      <c r="D12" s="9">
        <v>12700000</v>
      </c>
      <c r="E12" s="3" t="s">
        <v>16</v>
      </c>
      <c r="F12" s="26" t="s">
        <v>20</v>
      </c>
      <c r="G12" s="12">
        <v>0</v>
      </c>
      <c r="H12" s="3"/>
      <c r="I12" s="3"/>
    </row>
    <row r="13" spans="1:9" x14ac:dyDescent="0.25">
      <c r="A13" s="139" t="s">
        <v>47</v>
      </c>
      <c r="B13" s="23" t="s">
        <v>48</v>
      </c>
      <c r="C13" s="9">
        <v>250000</v>
      </c>
      <c r="D13" s="9">
        <v>250000</v>
      </c>
      <c r="E13" s="3" t="s">
        <v>16</v>
      </c>
      <c r="F13" s="26" t="s">
        <v>20</v>
      </c>
      <c r="G13" s="75">
        <v>193758.24499999997</v>
      </c>
      <c r="H13" s="3" t="s">
        <v>330</v>
      </c>
      <c r="I13" s="3" t="s">
        <v>365</v>
      </c>
    </row>
    <row r="14" spans="1:9" x14ac:dyDescent="0.25">
      <c r="A14" s="126" t="s">
        <v>300</v>
      </c>
      <c r="B14" s="2" t="s">
        <v>15</v>
      </c>
      <c r="C14" s="9">
        <v>10000000</v>
      </c>
      <c r="D14" s="9">
        <v>10000000</v>
      </c>
      <c r="E14" s="3" t="s">
        <v>16</v>
      </c>
      <c r="F14" s="26" t="s">
        <v>20</v>
      </c>
      <c r="G14" s="75">
        <v>1876565.6360000004</v>
      </c>
      <c r="H14" s="3" t="s">
        <v>331</v>
      </c>
      <c r="I14" s="3" t="s">
        <v>364</v>
      </c>
    </row>
    <row r="15" spans="1:9" x14ac:dyDescent="0.25">
      <c r="A15" s="139" t="s">
        <v>53</v>
      </c>
      <c r="B15" s="2" t="s">
        <v>15</v>
      </c>
      <c r="C15" s="9">
        <v>5000000</v>
      </c>
      <c r="D15" s="9">
        <v>5000000</v>
      </c>
      <c r="E15" s="3" t="s">
        <v>16</v>
      </c>
      <c r="F15" s="26" t="s">
        <v>20</v>
      </c>
      <c r="G15" s="12">
        <v>2975637.3250000002</v>
      </c>
      <c r="H15" s="3" t="s">
        <v>331</v>
      </c>
      <c r="I15" s="3" t="s">
        <v>364</v>
      </c>
    </row>
    <row r="16" spans="1:9" x14ac:dyDescent="0.25">
      <c r="A16" s="126" t="s">
        <v>55</v>
      </c>
      <c r="B16" s="2" t="s">
        <v>15</v>
      </c>
      <c r="C16" s="9">
        <v>2500000</v>
      </c>
      <c r="D16" s="9">
        <v>2500000</v>
      </c>
      <c r="E16" s="3" t="s">
        <v>16</v>
      </c>
      <c r="F16" s="26" t="s">
        <v>20</v>
      </c>
      <c r="G16" s="12">
        <v>0</v>
      </c>
      <c r="H16" s="3"/>
      <c r="I16" s="3"/>
    </row>
    <row r="17" spans="1:9" x14ac:dyDescent="0.25">
      <c r="A17" s="126" t="s">
        <v>57</v>
      </c>
      <c r="B17" s="2" t="s">
        <v>15</v>
      </c>
      <c r="C17" s="9">
        <v>10000000</v>
      </c>
      <c r="D17" s="9">
        <v>10000000</v>
      </c>
      <c r="E17" s="3" t="s">
        <v>16</v>
      </c>
      <c r="F17" s="26" t="s">
        <v>20</v>
      </c>
      <c r="G17" s="17">
        <v>8354543.1069999998</v>
      </c>
      <c r="H17" s="3" t="s">
        <v>332</v>
      </c>
      <c r="I17" s="3" t="s">
        <v>328</v>
      </c>
    </row>
    <row r="18" spans="1:9" x14ac:dyDescent="0.25">
      <c r="A18" s="126" t="s">
        <v>59</v>
      </c>
      <c r="B18" s="2" t="s">
        <v>15</v>
      </c>
      <c r="C18" s="9">
        <v>5000000</v>
      </c>
      <c r="D18" s="9">
        <v>5000000</v>
      </c>
      <c r="E18" s="3" t="s">
        <v>16</v>
      </c>
      <c r="F18" s="26" t="s">
        <v>20</v>
      </c>
      <c r="G18" s="12">
        <v>0</v>
      </c>
      <c r="H18" s="3"/>
      <c r="I18" s="3"/>
    </row>
    <row r="19" spans="1:9" x14ac:dyDescent="0.25">
      <c r="A19" s="126" t="s">
        <v>81</v>
      </c>
      <c r="B19" s="2" t="s">
        <v>15</v>
      </c>
      <c r="C19" s="9">
        <v>5000000</v>
      </c>
      <c r="D19" s="9">
        <v>5000000</v>
      </c>
      <c r="E19" s="30" t="s">
        <v>298</v>
      </c>
      <c r="F19" s="26" t="s">
        <v>20</v>
      </c>
      <c r="G19" s="12">
        <v>0</v>
      </c>
      <c r="H19" s="3"/>
      <c r="I19" s="3"/>
    </row>
    <row r="20" spans="1:9" x14ac:dyDescent="0.25">
      <c r="A20" s="126" t="s">
        <v>81</v>
      </c>
      <c r="B20" s="2" t="s">
        <v>15</v>
      </c>
      <c r="C20" s="9">
        <v>5000000</v>
      </c>
      <c r="D20" s="9">
        <v>5000000</v>
      </c>
      <c r="E20" s="3" t="s">
        <v>16</v>
      </c>
      <c r="F20" s="26" t="s">
        <v>20</v>
      </c>
      <c r="G20" s="12">
        <v>0</v>
      </c>
      <c r="H20" s="3"/>
      <c r="I20" s="3"/>
    </row>
    <row r="21" spans="1:9" x14ac:dyDescent="0.25">
      <c r="A21" s="126" t="s">
        <v>63</v>
      </c>
      <c r="B21" s="2" t="s">
        <v>15</v>
      </c>
      <c r="C21" s="9">
        <v>5000000</v>
      </c>
      <c r="D21" s="9">
        <v>5000000</v>
      </c>
      <c r="E21" s="3" t="s">
        <v>285</v>
      </c>
      <c r="F21" s="26" t="s">
        <v>20</v>
      </c>
      <c r="G21" s="12">
        <v>3447603.7600000002</v>
      </c>
      <c r="H21" s="3" t="s">
        <v>366</v>
      </c>
      <c r="I21" s="3" t="s">
        <v>328</v>
      </c>
    </row>
    <row r="22" spans="1:9" x14ac:dyDescent="0.25">
      <c r="A22" s="126" t="s">
        <v>65</v>
      </c>
      <c r="B22" s="2" t="s">
        <v>15</v>
      </c>
      <c r="C22" s="9">
        <v>2000000</v>
      </c>
      <c r="D22" s="9">
        <v>2000000</v>
      </c>
      <c r="E22" s="3" t="s">
        <v>285</v>
      </c>
      <c r="F22" s="26" t="s">
        <v>20</v>
      </c>
      <c r="G22" s="12">
        <v>1133333.33</v>
      </c>
      <c r="H22" s="3" t="s">
        <v>327</v>
      </c>
      <c r="I22" s="3" t="s">
        <v>362</v>
      </c>
    </row>
    <row r="23" spans="1:9" x14ac:dyDescent="0.25">
      <c r="A23" s="124" t="s">
        <v>67</v>
      </c>
      <c r="B23" s="23" t="s">
        <v>48</v>
      </c>
      <c r="C23" s="9">
        <v>500000</v>
      </c>
      <c r="D23" s="9">
        <v>500000</v>
      </c>
      <c r="E23" s="30" t="s">
        <v>298</v>
      </c>
      <c r="F23" s="26" t="s">
        <v>20</v>
      </c>
      <c r="G23" s="108">
        <v>416666.65890855459</v>
      </c>
      <c r="H23" s="3" t="s">
        <v>335</v>
      </c>
      <c r="I23" s="3" t="s">
        <v>367</v>
      </c>
    </row>
    <row r="24" spans="1:9" x14ac:dyDescent="0.25">
      <c r="A24" s="124" t="s">
        <v>67</v>
      </c>
      <c r="B24" s="23" t="s">
        <v>48</v>
      </c>
      <c r="C24" s="9">
        <v>331859</v>
      </c>
      <c r="D24" s="9">
        <v>331859</v>
      </c>
      <c r="E24" s="3" t="s">
        <v>16</v>
      </c>
      <c r="F24" s="26" t="s">
        <v>20</v>
      </c>
      <c r="G24" s="12">
        <v>0</v>
      </c>
      <c r="H24" s="3"/>
      <c r="I24" s="3"/>
    </row>
    <row r="25" spans="1:9" x14ac:dyDescent="0.25">
      <c r="A25" s="126" t="s">
        <v>69</v>
      </c>
      <c r="B25" s="2" t="s">
        <v>15</v>
      </c>
      <c r="C25" s="9">
        <v>3000000</v>
      </c>
      <c r="D25" s="9">
        <v>3000000</v>
      </c>
      <c r="E25" s="3" t="s">
        <v>16</v>
      </c>
      <c r="F25" s="26" t="s">
        <v>20</v>
      </c>
      <c r="G25" s="75">
        <v>0</v>
      </c>
      <c r="H25" s="3"/>
      <c r="I25" s="3"/>
    </row>
    <row r="26" spans="1:9" x14ac:dyDescent="0.25">
      <c r="A26" s="124" t="s">
        <v>71</v>
      </c>
      <c r="B26" s="2" t="s">
        <v>15</v>
      </c>
      <c r="C26" s="9">
        <v>5000000</v>
      </c>
      <c r="D26" s="9">
        <v>5000000</v>
      </c>
      <c r="E26" s="30" t="s">
        <v>298</v>
      </c>
      <c r="F26" s="26" t="s">
        <v>20</v>
      </c>
      <c r="G26" s="75">
        <v>1309514.6555291151</v>
      </c>
      <c r="H26" s="3" t="s">
        <v>334</v>
      </c>
      <c r="I26" s="3" t="s">
        <v>334</v>
      </c>
    </row>
    <row r="27" spans="1:9" x14ac:dyDescent="0.25">
      <c r="A27" s="127" t="s">
        <v>73</v>
      </c>
      <c r="B27" s="2" t="s">
        <v>15</v>
      </c>
      <c r="C27" s="9">
        <v>5800000</v>
      </c>
      <c r="D27" s="9">
        <v>5800000</v>
      </c>
      <c r="E27" s="3" t="s">
        <v>16</v>
      </c>
      <c r="F27" s="3">
        <v>5800000</v>
      </c>
      <c r="G27" s="12">
        <v>4997087.5999999996</v>
      </c>
      <c r="H27" s="3" t="s">
        <v>327</v>
      </c>
      <c r="I27" s="3" t="s">
        <v>362</v>
      </c>
    </row>
    <row r="28" spans="1:9" x14ac:dyDescent="0.25">
      <c r="A28" s="126" t="s">
        <v>74</v>
      </c>
      <c r="B28" s="2" t="s">
        <v>15</v>
      </c>
      <c r="C28" s="9">
        <v>2000000</v>
      </c>
      <c r="D28" s="9">
        <v>2000000</v>
      </c>
      <c r="E28" s="3" t="s">
        <v>16</v>
      </c>
      <c r="F28" s="3">
        <v>3414000</v>
      </c>
      <c r="G28" s="75">
        <v>0</v>
      </c>
      <c r="H28" s="3"/>
      <c r="I28" s="3"/>
    </row>
    <row r="29" spans="1:9" x14ac:dyDescent="0.25">
      <c r="A29" s="128" t="s">
        <v>76</v>
      </c>
      <c r="B29" s="2" t="s">
        <v>15</v>
      </c>
      <c r="C29" s="9">
        <v>8000000</v>
      </c>
      <c r="D29" s="9">
        <v>8000000</v>
      </c>
      <c r="E29" s="3" t="s">
        <v>16</v>
      </c>
      <c r="F29" s="26" t="s">
        <v>20</v>
      </c>
      <c r="G29" s="75">
        <v>6370820.6550000012</v>
      </c>
      <c r="H29" s="3" t="s">
        <v>336</v>
      </c>
      <c r="I29" s="3" t="s">
        <v>368</v>
      </c>
    </row>
    <row r="30" spans="1:9" x14ac:dyDescent="0.25">
      <c r="A30" s="128" t="s">
        <v>77</v>
      </c>
      <c r="B30" s="2" t="s">
        <v>15</v>
      </c>
      <c r="C30" s="9">
        <v>7000000</v>
      </c>
      <c r="D30" s="9">
        <v>7000000</v>
      </c>
      <c r="E30" s="3" t="s">
        <v>16</v>
      </c>
      <c r="F30" s="26" t="s">
        <v>20</v>
      </c>
      <c r="G30" s="12">
        <v>0</v>
      </c>
      <c r="H30" s="3"/>
      <c r="I30" s="3"/>
    </row>
    <row r="31" spans="1:9" x14ac:dyDescent="0.25">
      <c r="A31" s="128" t="s">
        <v>79</v>
      </c>
      <c r="B31" s="2" t="s">
        <v>15</v>
      </c>
      <c r="C31" s="9">
        <v>5000000</v>
      </c>
      <c r="D31" s="9">
        <v>5000000</v>
      </c>
      <c r="E31" s="30" t="s">
        <v>298</v>
      </c>
      <c r="F31" s="26" t="s">
        <v>20</v>
      </c>
      <c r="G31" s="75">
        <v>0</v>
      </c>
      <c r="H31" s="3"/>
      <c r="I31" s="3"/>
    </row>
    <row r="32" spans="1:9" x14ac:dyDescent="0.25">
      <c r="A32" s="128" t="s">
        <v>79</v>
      </c>
      <c r="B32" s="23" t="s">
        <v>48</v>
      </c>
      <c r="C32" s="9">
        <v>5000000</v>
      </c>
      <c r="D32" s="9">
        <v>5000000</v>
      </c>
      <c r="E32" s="26" t="s">
        <v>16</v>
      </c>
      <c r="F32" s="26" t="s">
        <v>20</v>
      </c>
      <c r="G32" s="75">
        <v>0</v>
      </c>
      <c r="H32" s="3"/>
      <c r="I32" s="3"/>
    </row>
    <row r="33" spans="1:9" x14ac:dyDescent="0.25">
      <c r="A33" s="128" t="s">
        <v>86</v>
      </c>
      <c r="B33" s="2" t="s">
        <v>15</v>
      </c>
      <c r="C33" s="9">
        <v>3500000</v>
      </c>
      <c r="D33" s="9">
        <v>3500000</v>
      </c>
      <c r="E33" s="30" t="s">
        <v>298</v>
      </c>
      <c r="F33" s="26" t="s">
        <v>20</v>
      </c>
      <c r="G33" s="75">
        <v>3333333.3356025098</v>
      </c>
      <c r="H33" s="3" t="s">
        <v>347</v>
      </c>
      <c r="I33" s="3" t="s">
        <v>363</v>
      </c>
    </row>
    <row r="34" spans="1:9" x14ac:dyDescent="0.25">
      <c r="A34" s="128" t="s">
        <v>89</v>
      </c>
      <c r="B34" s="2" t="s">
        <v>48</v>
      </c>
      <c r="C34" s="9">
        <v>5000000</v>
      </c>
      <c r="D34" s="9">
        <v>5000000</v>
      </c>
      <c r="E34" s="30" t="s">
        <v>298</v>
      </c>
      <c r="F34" s="26" t="s">
        <v>20</v>
      </c>
      <c r="G34" s="75">
        <v>0</v>
      </c>
      <c r="H34" s="3"/>
      <c r="I34" s="3"/>
    </row>
    <row r="35" spans="1:9" x14ac:dyDescent="0.25">
      <c r="A35" s="128" t="s">
        <v>90</v>
      </c>
      <c r="B35" s="2" t="s">
        <v>15</v>
      </c>
      <c r="C35" s="9">
        <v>2000000</v>
      </c>
      <c r="D35" s="9">
        <v>2000000</v>
      </c>
      <c r="E35" s="3" t="s">
        <v>16</v>
      </c>
      <c r="F35" s="26" t="s">
        <v>20</v>
      </c>
      <c r="G35" s="75">
        <v>738435.60600000015</v>
      </c>
      <c r="H35" s="3" t="s">
        <v>337</v>
      </c>
      <c r="I35" s="3" t="s">
        <v>369</v>
      </c>
    </row>
    <row r="36" spans="1:9" x14ac:dyDescent="0.25">
      <c r="A36" s="128" t="s">
        <v>91</v>
      </c>
      <c r="B36" s="2" t="s">
        <v>15</v>
      </c>
      <c r="C36" s="9">
        <v>2000000</v>
      </c>
      <c r="D36" s="9">
        <v>2000000</v>
      </c>
      <c r="E36" s="30" t="s">
        <v>298</v>
      </c>
      <c r="F36" s="3">
        <v>1950000</v>
      </c>
      <c r="G36" s="75">
        <v>1333333.3416734941</v>
      </c>
      <c r="H36" s="3" t="s">
        <v>327</v>
      </c>
      <c r="I36" s="3" t="s">
        <v>362</v>
      </c>
    </row>
    <row r="37" spans="1:9" x14ac:dyDescent="0.25">
      <c r="A37" s="128" t="s">
        <v>87</v>
      </c>
      <c r="B37" s="2" t="s">
        <v>15</v>
      </c>
      <c r="C37" s="9">
        <v>1500000</v>
      </c>
      <c r="D37" s="9">
        <v>1500000</v>
      </c>
      <c r="E37" s="30" t="s">
        <v>298</v>
      </c>
      <c r="F37" s="3">
        <v>1822000</v>
      </c>
      <c r="G37" s="75">
        <v>0</v>
      </c>
      <c r="H37" s="3"/>
      <c r="I37" s="3"/>
    </row>
    <row r="38" spans="1:9" ht="26.25" customHeight="1" x14ac:dyDescent="0.25">
      <c r="A38" s="128" t="s">
        <v>99</v>
      </c>
      <c r="B38" s="2" t="s">
        <v>15</v>
      </c>
      <c r="C38" s="9">
        <v>7800000</v>
      </c>
      <c r="D38" s="9">
        <v>7800000</v>
      </c>
      <c r="E38" s="3" t="s">
        <v>100</v>
      </c>
      <c r="F38" s="3">
        <v>8630000</v>
      </c>
      <c r="G38" s="75">
        <v>0</v>
      </c>
      <c r="H38" s="3"/>
      <c r="I38" s="3"/>
    </row>
    <row r="39" spans="1:9" ht="26.25" customHeight="1" x14ac:dyDescent="0.25">
      <c r="A39" s="131" t="s">
        <v>101</v>
      </c>
      <c r="B39" s="2" t="s">
        <v>15</v>
      </c>
      <c r="C39" s="9">
        <v>2000000</v>
      </c>
      <c r="D39" s="9">
        <v>2000000</v>
      </c>
      <c r="E39" s="30" t="s">
        <v>298</v>
      </c>
      <c r="F39" s="26" t="s">
        <v>20</v>
      </c>
      <c r="G39" s="75">
        <v>1702128.58</v>
      </c>
      <c r="H39" s="3" t="s">
        <v>370</v>
      </c>
      <c r="I39" s="3" t="s">
        <v>371</v>
      </c>
    </row>
    <row r="40" spans="1:9" ht="26.25" customHeight="1" x14ac:dyDescent="0.25">
      <c r="A40" s="119" t="s">
        <v>104</v>
      </c>
      <c r="B40" s="2" t="s">
        <v>15</v>
      </c>
      <c r="C40" s="9">
        <v>5000000</v>
      </c>
      <c r="D40" s="9">
        <v>5000000</v>
      </c>
      <c r="E40" s="3" t="s">
        <v>16</v>
      </c>
      <c r="F40" s="26" t="s">
        <v>20</v>
      </c>
      <c r="G40" s="75">
        <v>0</v>
      </c>
      <c r="H40" s="3"/>
      <c r="I40" s="3"/>
    </row>
    <row r="41" spans="1:9" ht="18.75" customHeight="1" x14ac:dyDescent="0.25">
      <c r="A41" s="119" t="s">
        <v>104</v>
      </c>
      <c r="B41" s="23" t="s">
        <v>48</v>
      </c>
      <c r="C41" s="9">
        <v>250000</v>
      </c>
      <c r="D41" s="9">
        <v>250000</v>
      </c>
      <c r="E41" s="3" t="s">
        <v>16</v>
      </c>
      <c r="F41" s="26" t="s">
        <v>20</v>
      </c>
      <c r="G41" s="75">
        <v>0</v>
      </c>
      <c r="H41" s="3"/>
      <c r="I41" s="3"/>
    </row>
    <row r="42" spans="1:9" ht="26.25" customHeight="1" x14ac:dyDescent="0.25">
      <c r="A42" s="131" t="s">
        <v>114</v>
      </c>
      <c r="B42" s="2" t="s">
        <v>15</v>
      </c>
      <c r="C42" s="9">
        <v>6500000</v>
      </c>
      <c r="D42" s="9">
        <v>6500000</v>
      </c>
      <c r="E42" s="30" t="s">
        <v>298</v>
      </c>
      <c r="F42" s="26" t="s">
        <v>20</v>
      </c>
      <c r="G42" s="75">
        <v>4414725.8800000008</v>
      </c>
      <c r="H42" s="3" t="s">
        <v>336</v>
      </c>
      <c r="I42" s="3" t="s">
        <v>368</v>
      </c>
    </row>
    <row r="43" spans="1:9" ht="26.25" customHeight="1" x14ac:dyDescent="0.25">
      <c r="A43" s="130" t="s">
        <v>107</v>
      </c>
      <c r="B43" s="2" t="s">
        <v>15</v>
      </c>
      <c r="C43" s="9">
        <v>12000000</v>
      </c>
      <c r="D43" s="9">
        <v>12000000</v>
      </c>
      <c r="E43" s="3" t="s">
        <v>108</v>
      </c>
      <c r="F43" s="26" t="s">
        <v>20</v>
      </c>
      <c r="G43" s="75">
        <v>6845318</v>
      </c>
      <c r="H43" s="3" t="s">
        <v>338</v>
      </c>
      <c r="I43" s="3" t="s">
        <v>338</v>
      </c>
    </row>
    <row r="44" spans="1:9" ht="26.25" customHeight="1" x14ac:dyDescent="0.25">
      <c r="A44" s="131" t="s">
        <v>110</v>
      </c>
      <c r="B44" s="2" t="s">
        <v>15</v>
      </c>
      <c r="C44" s="9">
        <v>4000000</v>
      </c>
      <c r="D44" s="9">
        <v>4000000</v>
      </c>
      <c r="E44" s="3" t="s">
        <v>108</v>
      </c>
      <c r="F44" s="26" t="s">
        <v>20</v>
      </c>
      <c r="G44" s="17">
        <v>760000</v>
      </c>
      <c r="H44" s="3" t="s">
        <v>339</v>
      </c>
      <c r="I44" s="3" t="s">
        <v>339</v>
      </c>
    </row>
    <row r="45" spans="1:9" ht="26.25" customHeight="1" x14ac:dyDescent="0.25">
      <c r="A45" s="130" t="s">
        <v>112</v>
      </c>
      <c r="B45" s="23" t="s">
        <v>48</v>
      </c>
      <c r="C45" s="9">
        <v>144540.70000000001</v>
      </c>
      <c r="D45" s="9">
        <v>144540.70000000001</v>
      </c>
      <c r="E45" s="3" t="s">
        <v>108</v>
      </c>
      <c r="F45" s="26" t="s">
        <v>20</v>
      </c>
      <c r="G45" s="17">
        <v>35986</v>
      </c>
      <c r="H45" s="3" t="s">
        <v>340</v>
      </c>
      <c r="I45" s="3" t="s">
        <v>372</v>
      </c>
    </row>
    <row r="46" spans="1:9" ht="26.25" customHeight="1" x14ac:dyDescent="0.25">
      <c r="A46" s="119" t="s">
        <v>118</v>
      </c>
      <c r="B46" s="2" t="s">
        <v>15</v>
      </c>
      <c r="C46" s="9">
        <v>3000000</v>
      </c>
      <c r="D46" s="9">
        <v>3000000</v>
      </c>
      <c r="E46" s="30" t="s">
        <v>298</v>
      </c>
      <c r="F46" s="26" t="s">
        <v>20</v>
      </c>
      <c r="G46" s="17">
        <v>500000</v>
      </c>
      <c r="H46" s="3" t="s">
        <v>330</v>
      </c>
      <c r="I46" s="3" t="s">
        <v>365</v>
      </c>
    </row>
    <row r="47" spans="1:9" ht="26.25" customHeight="1" x14ac:dyDescent="0.25">
      <c r="A47" s="129" t="s">
        <v>121</v>
      </c>
      <c r="B47" s="23" t="s">
        <v>48</v>
      </c>
      <c r="C47" s="9">
        <v>110000</v>
      </c>
      <c r="D47" s="9">
        <v>110000</v>
      </c>
      <c r="E47" s="30" t="s">
        <v>100</v>
      </c>
      <c r="F47" s="26" t="s">
        <v>20</v>
      </c>
      <c r="G47" s="17">
        <v>52465.909999999989</v>
      </c>
      <c r="H47" s="3" t="s">
        <v>341</v>
      </c>
      <c r="I47" s="3" t="s">
        <v>368</v>
      </c>
    </row>
    <row r="48" spans="1:9" ht="26.25" customHeight="1" x14ac:dyDescent="0.25">
      <c r="A48" s="129" t="s">
        <v>122</v>
      </c>
      <c r="B48" s="2" t="s">
        <v>15</v>
      </c>
      <c r="C48" s="9">
        <v>5000000</v>
      </c>
      <c r="D48" s="9">
        <v>5000000</v>
      </c>
      <c r="E48" s="30" t="s">
        <v>100</v>
      </c>
      <c r="F48" s="26" t="s">
        <v>20</v>
      </c>
      <c r="G48" s="17">
        <v>1657025.9100000001</v>
      </c>
      <c r="H48" s="3" t="s">
        <v>328</v>
      </c>
      <c r="I48" s="3" t="s">
        <v>328</v>
      </c>
    </row>
    <row r="49" spans="1:9" ht="26.25" customHeight="1" x14ac:dyDescent="0.25">
      <c r="A49" s="128" t="s">
        <v>123</v>
      </c>
      <c r="B49" s="2" t="s">
        <v>15</v>
      </c>
      <c r="C49" s="9">
        <v>3500000</v>
      </c>
      <c r="D49" s="9">
        <v>3500000</v>
      </c>
      <c r="E49" s="30" t="s">
        <v>100</v>
      </c>
      <c r="F49" s="26" t="s">
        <v>20</v>
      </c>
      <c r="G49" s="17">
        <v>1223094.25</v>
      </c>
      <c r="H49" s="3" t="s">
        <v>342</v>
      </c>
      <c r="I49" s="3" t="s">
        <v>373</v>
      </c>
    </row>
    <row r="50" spans="1:9" ht="26.25" customHeight="1" x14ac:dyDescent="0.25">
      <c r="A50" s="119" t="s">
        <v>131</v>
      </c>
      <c r="B50" s="2" t="s">
        <v>15</v>
      </c>
      <c r="C50" s="9">
        <v>1500000</v>
      </c>
      <c r="D50" s="9">
        <v>1500000</v>
      </c>
      <c r="E50" s="3" t="s">
        <v>16</v>
      </c>
      <c r="F50" s="26" t="s">
        <v>20</v>
      </c>
      <c r="G50" s="75">
        <v>1435302.89</v>
      </c>
      <c r="H50" s="3" t="s">
        <v>343</v>
      </c>
      <c r="I50" s="3" t="s">
        <v>368</v>
      </c>
    </row>
    <row r="51" spans="1:9" ht="26.25" customHeight="1" x14ac:dyDescent="0.25">
      <c r="A51" s="119" t="s">
        <v>139</v>
      </c>
      <c r="B51" s="2" t="s">
        <v>15</v>
      </c>
      <c r="C51" s="9">
        <v>1800000</v>
      </c>
      <c r="D51" s="9">
        <v>1800000</v>
      </c>
      <c r="E51" s="3" t="s">
        <v>16</v>
      </c>
      <c r="F51" s="26" t="s">
        <v>20</v>
      </c>
      <c r="G51" s="17">
        <v>480343.41699999996</v>
      </c>
      <c r="H51" s="3" t="s">
        <v>344</v>
      </c>
      <c r="I51" s="3" t="s">
        <v>368</v>
      </c>
    </row>
    <row r="52" spans="1:9" ht="26.25" customHeight="1" x14ac:dyDescent="0.25">
      <c r="A52" s="119" t="s">
        <v>141</v>
      </c>
      <c r="B52" s="2" t="s">
        <v>15</v>
      </c>
      <c r="C52" s="9">
        <v>5000000</v>
      </c>
      <c r="D52" s="9">
        <v>5000000</v>
      </c>
      <c r="E52" s="3" t="s">
        <v>16</v>
      </c>
      <c r="F52" s="26" t="s">
        <v>20</v>
      </c>
      <c r="G52" s="17">
        <v>4106551.5149999997</v>
      </c>
      <c r="H52" s="3" t="s">
        <v>345</v>
      </c>
      <c r="I52" s="3" t="s">
        <v>362</v>
      </c>
    </row>
    <row r="53" spans="1:9" ht="26.25" customHeight="1" x14ac:dyDescent="0.25">
      <c r="A53" s="129" t="s">
        <v>140</v>
      </c>
      <c r="B53" s="2" t="s">
        <v>15</v>
      </c>
      <c r="C53" s="9">
        <v>5000000</v>
      </c>
      <c r="D53" s="9">
        <v>5000000</v>
      </c>
      <c r="E53" s="30" t="s">
        <v>298</v>
      </c>
      <c r="F53" s="26" t="s">
        <v>20</v>
      </c>
      <c r="G53" s="17">
        <v>2540189.98</v>
      </c>
      <c r="H53" s="3" t="s">
        <v>348</v>
      </c>
      <c r="I53" s="3" t="s">
        <v>328</v>
      </c>
    </row>
    <row r="54" spans="1:9" ht="26.25" customHeight="1" x14ac:dyDescent="0.25">
      <c r="A54" s="119" t="s">
        <v>160</v>
      </c>
      <c r="B54" s="2" t="s">
        <v>15</v>
      </c>
      <c r="C54" s="9">
        <v>10000000</v>
      </c>
      <c r="D54" s="9">
        <v>10000000</v>
      </c>
      <c r="E54" s="30" t="s">
        <v>100</v>
      </c>
      <c r="F54" s="3">
        <v>11300000</v>
      </c>
      <c r="G54" s="75">
        <v>4488135.26</v>
      </c>
      <c r="H54" s="3" t="s">
        <v>349</v>
      </c>
      <c r="I54" s="3" t="s">
        <v>368</v>
      </c>
    </row>
    <row r="55" spans="1:9" ht="26.25" customHeight="1" x14ac:dyDescent="0.25">
      <c r="A55" s="119" t="s">
        <v>155</v>
      </c>
      <c r="B55" s="2" t="s">
        <v>15</v>
      </c>
      <c r="C55" s="9">
        <v>2500000</v>
      </c>
      <c r="D55" s="9">
        <v>2500000</v>
      </c>
      <c r="E55" s="3" t="s">
        <v>16</v>
      </c>
      <c r="F55" s="26" t="s">
        <v>20</v>
      </c>
      <c r="G55" s="75">
        <v>2433052.8659999999</v>
      </c>
      <c r="H55" s="21"/>
      <c r="I55" s="21"/>
    </row>
    <row r="56" spans="1:9" ht="26.25" customHeight="1" x14ac:dyDescent="0.25">
      <c r="A56" s="119" t="s">
        <v>157</v>
      </c>
      <c r="B56" s="2" t="s">
        <v>15</v>
      </c>
      <c r="C56" s="9">
        <v>3000000</v>
      </c>
      <c r="D56" s="9">
        <v>3000000</v>
      </c>
      <c r="E56" s="30" t="s">
        <v>298</v>
      </c>
      <c r="F56" s="3">
        <v>3000000</v>
      </c>
      <c r="G56" s="17">
        <v>666666.69999999995</v>
      </c>
      <c r="H56" s="3" t="s">
        <v>350</v>
      </c>
      <c r="I56" s="3" t="s">
        <v>367</v>
      </c>
    </row>
    <row r="57" spans="1:9" ht="26.25" customHeight="1" x14ac:dyDescent="0.25">
      <c r="A57" s="119" t="s">
        <v>163</v>
      </c>
      <c r="B57" s="2" t="s">
        <v>15</v>
      </c>
      <c r="C57" s="9">
        <v>5000000</v>
      </c>
      <c r="D57" s="9">
        <v>5000000</v>
      </c>
      <c r="E57" s="3" t="s">
        <v>285</v>
      </c>
      <c r="F57" s="3">
        <f>4150000+2140000+2900000</f>
        <v>9190000</v>
      </c>
      <c r="G57" s="75">
        <v>4583333.33</v>
      </c>
      <c r="H57" s="3" t="s">
        <v>351</v>
      </c>
      <c r="I57" s="3" t="s">
        <v>368</v>
      </c>
    </row>
    <row r="58" spans="1:9" ht="38.25" customHeight="1" x14ac:dyDescent="0.25">
      <c r="A58" s="130" t="s">
        <v>165</v>
      </c>
      <c r="B58" s="2" t="s">
        <v>15</v>
      </c>
      <c r="C58" s="9">
        <v>5600000</v>
      </c>
      <c r="D58" s="9">
        <v>5600000</v>
      </c>
      <c r="E58" s="30" t="s">
        <v>298</v>
      </c>
      <c r="F58" s="26" t="s">
        <v>20</v>
      </c>
      <c r="G58" s="17">
        <v>4151927.6557342452</v>
      </c>
      <c r="H58" s="3" t="s">
        <v>352</v>
      </c>
      <c r="I58" s="3" t="s">
        <v>352</v>
      </c>
    </row>
    <row r="59" spans="1:9" ht="26.25" customHeight="1" x14ac:dyDescent="0.25">
      <c r="A59" s="119" t="s">
        <v>168</v>
      </c>
      <c r="B59" s="2" t="s">
        <v>15</v>
      </c>
      <c r="C59" s="9">
        <v>3000000</v>
      </c>
      <c r="D59" s="9">
        <v>3000000</v>
      </c>
      <c r="E59" s="30" t="s">
        <v>298</v>
      </c>
      <c r="F59" s="3">
        <v>1056000</v>
      </c>
      <c r="G59" s="75">
        <v>0</v>
      </c>
      <c r="H59" s="21"/>
      <c r="I59" s="21"/>
    </row>
    <row r="60" spans="1:9" ht="26.25" customHeight="1" x14ac:dyDescent="0.25">
      <c r="A60" s="129" t="s">
        <v>171</v>
      </c>
      <c r="B60" s="2" t="s">
        <v>15</v>
      </c>
      <c r="C60" s="9">
        <v>4000000</v>
      </c>
      <c r="D60" s="9">
        <v>4000000</v>
      </c>
      <c r="E60" s="30" t="s">
        <v>298</v>
      </c>
      <c r="F60" s="26" t="s">
        <v>20</v>
      </c>
      <c r="G60" s="17">
        <v>3666666.67</v>
      </c>
      <c r="H60" s="3" t="s">
        <v>353</v>
      </c>
      <c r="I60" s="3" t="s">
        <v>353</v>
      </c>
    </row>
    <row r="61" spans="1:9" ht="26.25" customHeight="1" x14ac:dyDescent="0.25">
      <c r="A61" s="119" t="s">
        <v>174</v>
      </c>
      <c r="B61" s="2" t="s">
        <v>15</v>
      </c>
      <c r="C61" s="9">
        <v>7500000</v>
      </c>
      <c r="D61" s="9">
        <v>7500000</v>
      </c>
      <c r="E61" s="30" t="s">
        <v>100</v>
      </c>
      <c r="F61" s="26" t="s">
        <v>20</v>
      </c>
      <c r="G61" s="17">
        <v>351691.17999999993</v>
      </c>
      <c r="H61" s="3" t="s">
        <v>354</v>
      </c>
      <c r="I61" s="3" t="s">
        <v>368</v>
      </c>
    </row>
    <row r="62" spans="1:9" ht="26.25" customHeight="1" x14ac:dyDescent="0.25">
      <c r="A62" s="119" t="s">
        <v>175</v>
      </c>
      <c r="B62" s="2" t="s">
        <v>15</v>
      </c>
      <c r="C62" s="9">
        <v>1000000</v>
      </c>
      <c r="D62" s="9">
        <v>1000000</v>
      </c>
      <c r="E62" s="3" t="s">
        <v>16</v>
      </c>
      <c r="F62" s="26" t="s">
        <v>20</v>
      </c>
      <c r="G62" s="17">
        <v>242963.88099999999</v>
      </c>
      <c r="H62" s="3" t="s">
        <v>331</v>
      </c>
      <c r="I62" s="3" t="s">
        <v>364</v>
      </c>
    </row>
    <row r="63" spans="1:9" ht="26.25" customHeight="1" x14ac:dyDescent="0.25">
      <c r="A63" s="140" t="s">
        <v>246</v>
      </c>
      <c r="B63" s="69" t="s">
        <v>15</v>
      </c>
      <c r="C63" s="9">
        <v>5000000</v>
      </c>
      <c r="D63" s="9">
        <v>5000000</v>
      </c>
      <c r="E63" s="30" t="s">
        <v>298</v>
      </c>
      <c r="F63" s="26" t="s">
        <v>20</v>
      </c>
      <c r="G63" s="17">
        <v>4444444.4399999995</v>
      </c>
      <c r="H63" s="3" t="s">
        <v>355</v>
      </c>
      <c r="I63" s="3" t="s">
        <v>368</v>
      </c>
    </row>
    <row r="64" spans="1:9" ht="26.25" customHeight="1" x14ac:dyDescent="0.25">
      <c r="A64" s="128" t="s">
        <v>247</v>
      </c>
      <c r="B64" s="69" t="s">
        <v>15</v>
      </c>
      <c r="C64" s="29">
        <v>3000000</v>
      </c>
      <c r="D64" s="29">
        <v>3000000</v>
      </c>
      <c r="E64" s="30" t="s">
        <v>16</v>
      </c>
      <c r="F64" s="24">
        <v>6200000</v>
      </c>
      <c r="G64" s="75">
        <v>1079806.7459999998</v>
      </c>
      <c r="H64" s="3" t="s">
        <v>336</v>
      </c>
      <c r="I64" s="3" t="s">
        <v>368</v>
      </c>
    </row>
    <row r="65" spans="1:9" ht="26.25" customHeight="1" x14ac:dyDescent="0.25">
      <c r="A65" s="128" t="s">
        <v>279</v>
      </c>
      <c r="B65" s="2" t="s">
        <v>15</v>
      </c>
      <c r="C65" s="9">
        <v>7000000</v>
      </c>
      <c r="D65" s="9">
        <v>7000000</v>
      </c>
      <c r="E65" s="30" t="s">
        <v>298</v>
      </c>
      <c r="F65" s="26">
        <v>12300000</v>
      </c>
      <c r="G65" s="9">
        <v>0</v>
      </c>
      <c r="H65" s="3"/>
      <c r="I65" s="3"/>
    </row>
    <row r="66" spans="1:9" ht="26.25" customHeight="1" x14ac:dyDescent="0.25">
      <c r="A66" s="128" t="s">
        <v>286</v>
      </c>
      <c r="B66" s="69" t="s">
        <v>15</v>
      </c>
      <c r="C66" s="29">
        <v>10000000</v>
      </c>
      <c r="D66" s="29">
        <v>10000000</v>
      </c>
      <c r="E66" s="30" t="s">
        <v>16</v>
      </c>
      <c r="F66" s="24" t="s">
        <v>20</v>
      </c>
      <c r="G66" s="75">
        <v>1646769.06</v>
      </c>
      <c r="H66" s="3" t="s">
        <v>356</v>
      </c>
      <c r="I66" s="3" t="s">
        <v>374</v>
      </c>
    </row>
    <row r="67" spans="1:9" ht="26.25" customHeight="1" x14ac:dyDescent="0.25">
      <c r="A67" s="129" t="s">
        <v>291</v>
      </c>
      <c r="B67" s="2" t="s">
        <v>15</v>
      </c>
      <c r="C67" s="9">
        <v>3000000</v>
      </c>
      <c r="D67" s="9">
        <v>3000000</v>
      </c>
      <c r="E67" s="30" t="s">
        <v>298</v>
      </c>
      <c r="F67" s="26">
        <v>0</v>
      </c>
      <c r="G67" s="9">
        <v>2683952.67</v>
      </c>
      <c r="H67" s="3" t="s">
        <v>357</v>
      </c>
      <c r="I67" s="3" t="s">
        <v>378</v>
      </c>
    </row>
    <row r="68" spans="1:9" ht="26.25" customHeight="1" x14ac:dyDescent="0.25">
      <c r="A68" s="128" t="s">
        <v>292</v>
      </c>
      <c r="B68" s="2" t="s">
        <v>15</v>
      </c>
      <c r="C68" s="9">
        <v>1000000</v>
      </c>
      <c r="D68" s="9">
        <v>1000000</v>
      </c>
      <c r="E68" s="30" t="s">
        <v>298</v>
      </c>
      <c r="F68" s="26">
        <v>0</v>
      </c>
      <c r="G68" s="9">
        <v>916666.66666666663</v>
      </c>
      <c r="H68" s="3" t="s">
        <v>358</v>
      </c>
      <c r="I68" s="3" t="s">
        <v>368</v>
      </c>
    </row>
    <row r="69" spans="1:9" ht="26.25" customHeight="1" x14ac:dyDescent="0.25">
      <c r="A69" s="128" t="s">
        <v>293</v>
      </c>
      <c r="B69" s="2" t="s">
        <v>15</v>
      </c>
      <c r="C69" s="9">
        <v>3500000</v>
      </c>
      <c r="D69" s="9">
        <v>3500000</v>
      </c>
      <c r="E69" s="30" t="s">
        <v>298</v>
      </c>
      <c r="F69" s="26">
        <v>0</v>
      </c>
      <c r="G69" s="9">
        <v>3500000</v>
      </c>
      <c r="H69" s="3" t="s">
        <v>375</v>
      </c>
      <c r="I69" s="3" t="s">
        <v>379</v>
      </c>
    </row>
    <row r="70" spans="1:9" ht="26.25" customHeight="1" x14ac:dyDescent="0.25">
      <c r="A70" s="131" t="s">
        <v>294</v>
      </c>
      <c r="B70" s="69" t="s">
        <v>15</v>
      </c>
      <c r="C70" s="29">
        <v>6000000</v>
      </c>
      <c r="D70" s="29">
        <v>6000000</v>
      </c>
      <c r="E70" s="30" t="s">
        <v>16</v>
      </c>
      <c r="F70" s="24" t="s">
        <v>20</v>
      </c>
      <c r="G70" s="75">
        <v>4965463.8</v>
      </c>
      <c r="H70" s="3" t="s">
        <v>376</v>
      </c>
      <c r="I70" s="3" t="s">
        <v>380</v>
      </c>
    </row>
    <row r="71" spans="1:9" ht="26.25" customHeight="1" x14ac:dyDescent="0.25">
      <c r="A71" s="128" t="s">
        <v>301</v>
      </c>
      <c r="B71" s="69" t="s">
        <v>15</v>
      </c>
      <c r="C71" s="29">
        <v>3000000</v>
      </c>
      <c r="D71" s="29">
        <v>3000000</v>
      </c>
      <c r="E71" s="30" t="s">
        <v>16</v>
      </c>
      <c r="F71" s="24" t="s">
        <v>20</v>
      </c>
      <c r="G71" s="75">
        <v>1948587.08</v>
      </c>
      <c r="H71" s="3" t="s">
        <v>377</v>
      </c>
      <c r="I71" s="3" t="s">
        <v>381</v>
      </c>
    </row>
    <row r="72" spans="1:9" ht="39.75" customHeight="1" x14ac:dyDescent="0.25">
      <c r="A72" s="128" t="s">
        <v>307</v>
      </c>
      <c r="B72" s="69" t="s">
        <v>15</v>
      </c>
      <c r="C72" s="29">
        <v>5000000</v>
      </c>
      <c r="D72" s="29">
        <v>5000000</v>
      </c>
      <c r="E72" s="30" t="s">
        <v>298</v>
      </c>
      <c r="F72" s="24">
        <v>0</v>
      </c>
      <c r="G72" s="75">
        <v>5000000</v>
      </c>
      <c r="H72" s="3" t="s">
        <v>327</v>
      </c>
      <c r="I72" s="3" t="s">
        <v>362</v>
      </c>
    </row>
    <row r="73" spans="1:9" x14ac:dyDescent="0.25">
      <c r="G73" s="17">
        <f t="shared" ref="G73" si="0">SUBTOTAL(9,G3:G72)</f>
        <v>154569478.95801654</v>
      </c>
      <c r="H73" s="37"/>
      <c r="I73" s="37"/>
    </row>
    <row r="74" spans="1:9" x14ac:dyDescent="0.25">
      <c r="G74" s="36"/>
    </row>
    <row r="79" spans="1:9" x14ac:dyDescent="0.25">
      <c r="E79" s="37"/>
      <c r="F79" s="37"/>
    </row>
  </sheetData>
  <autoFilter ref="A2:I72" xr:uid="{4206EF6C-9024-47FE-A35A-D7E73852A067}"/>
  <mergeCells count="2">
    <mergeCell ref="H1:I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55C5-A57F-4E59-946F-C0DD778FBD58}">
  <dimension ref="A1:B50"/>
  <sheetViews>
    <sheetView workbookViewId="0">
      <selection activeCell="B2" sqref="B2"/>
    </sheetView>
  </sheetViews>
  <sheetFormatPr baseColWidth="10" defaultColWidth="10.85546875" defaultRowHeight="15" x14ac:dyDescent="0.25"/>
  <cols>
    <col min="1" max="1" width="48.85546875" bestFit="1" customWidth="1"/>
    <col min="2" max="2" width="16.140625" customWidth="1"/>
  </cols>
  <sheetData>
    <row r="1" spans="1:2" ht="15.75" thickBot="1" x14ac:dyDescent="0.3">
      <c r="A1" s="56" t="s">
        <v>1</v>
      </c>
      <c r="B1" s="88" t="s">
        <v>13</v>
      </c>
    </row>
    <row r="2" spans="1:2" x14ac:dyDescent="0.25">
      <c r="A2" s="123" t="s">
        <v>299</v>
      </c>
      <c r="B2" s="38">
        <v>461789.58</v>
      </c>
    </row>
    <row r="3" spans="1:2" x14ac:dyDescent="0.25">
      <c r="A3" s="125" t="s">
        <v>26</v>
      </c>
      <c r="B3" s="38">
        <v>465496.22</v>
      </c>
    </row>
    <row r="4" spans="1:2" x14ac:dyDescent="0.25">
      <c r="A4" s="124" t="s">
        <v>32</v>
      </c>
      <c r="B4" s="38">
        <v>876940.98</v>
      </c>
    </row>
    <row r="5" spans="1:2" x14ac:dyDescent="0.25">
      <c r="A5" s="124" t="s">
        <v>34</v>
      </c>
      <c r="B5" s="132">
        <v>220000.16000000003</v>
      </c>
    </row>
    <row r="6" spans="1:2" x14ac:dyDescent="0.25">
      <c r="A6" s="125" t="s">
        <v>37</v>
      </c>
      <c r="B6" s="132">
        <v>0</v>
      </c>
    </row>
    <row r="7" spans="1:2" x14ac:dyDescent="0.25">
      <c r="A7" s="125" t="s">
        <v>40</v>
      </c>
      <c r="B7" s="14">
        <v>98725.56</v>
      </c>
    </row>
    <row r="8" spans="1:2" x14ac:dyDescent="0.25">
      <c r="A8" s="123" t="s">
        <v>43</v>
      </c>
      <c r="B8" s="132">
        <v>607198.07999999996</v>
      </c>
    </row>
    <row r="9" spans="1:2" x14ac:dyDescent="0.25">
      <c r="A9" s="127" t="s">
        <v>47</v>
      </c>
      <c r="B9" s="3">
        <v>3402.3</v>
      </c>
    </row>
    <row r="10" spans="1:2" x14ac:dyDescent="0.25">
      <c r="A10" s="126" t="s">
        <v>300</v>
      </c>
      <c r="B10" s="3">
        <v>529756.67000000004</v>
      </c>
    </row>
    <row r="11" spans="1:2" x14ac:dyDescent="0.25">
      <c r="A11" s="127" t="s">
        <v>53</v>
      </c>
      <c r="B11" s="12">
        <v>109491.33</v>
      </c>
    </row>
    <row r="12" spans="1:2" x14ac:dyDescent="0.25">
      <c r="A12" s="126" t="s">
        <v>57</v>
      </c>
      <c r="B12" s="3">
        <v>623906.16999999993</v>
      </c>
    </row>
    <row r="13" spans="1:2" x14ac:dyDescent="0.25">
      <c r="A13" s="126" t="s">
        <v>63</v>
      </c>
      <c r="B13" s="12">
        <v>211453.03</v>
      </c>
    </row>
    <row r="14" spans="1:2" x14ac:dyDescent="0.25">
      <c r="A14" s="126" t="s">
        <v>65</v>
      </c>
      <c r="B14" s="12">
        <v>55200</v>
      </c>
    </row>
    <row r="15" spans="1:2" x14ac:dyDescent="0.25">
      <c r="A15" s="124" t="s">
        <v>67</v>
      </c>
      <c r="B15" s="38">
        <v>18333.34</v>
      </c>
    </row>
    <row r="16" spans="1:2" x14ac:dyDescent="0.25">
      <c r="A16" s="124" t="s">
        <v>71</v>
      </c>
      <c r="B16" s="38">
        <v>97027.36</v>
      </c>
    </row>
    <row r="17" spans="1:2" x14ac:dyDescent="0.25">
      <c r="A17" s="127" t="s">
        <v>73</v>
      </c>
      <c r="B17" s="13">
        <v>0</v>
      </c>
    </row>
    <row r="18" spans="1:2" x14ac:dyDescent="0.25">
      <c r="A18" s="128" t="s">
        <v>76</v>
      </c>
      <c r="B18" s="3">
        <v>331481.90000000002</v>
      </c>
    </row>
    <row r="19" spans="1:2" x14ac:dyDescent="0.25">
      <c r="A19" s="128" t="s">
        <v>86</v>
      </c>
      <c r="B19" s="38">
        <v>154000</v>
      </c>
    </row>
    <row r="20" spans="1:2" x14ac:dyDescent="0.25">
      <c r="A20" s="128" t="s">
        <v>90</v>
      </c>
      <c r="B20" s="3">
        <v>110103.26</v>
      </c>
    </row>
    <row r="21" spans="1:2" x14ac:dyDescent="0.25">
      <c r="A21" s="128" t="s">
        <v>91</v>
      </c>
      <c r="B21" s="38">
        <v>82778.81</v>
      </c>
    </row>
    <row r="22" spans="1:2" x14ac:dyDescent="0.25">
      <c r="A22" s="130" t="s">
        <v>101</v>
      </c>
      <c r="B22" s="38">
        <v>54630.76</v>
      </c>
    </row>
    <row r="23" spans="1:2" x14ac:dyDescent="0.25">
      <c r="A23" s="130" t="s">
        <v>114</v>
      </c>
      <c r="B23" s="38">
        <v>566846.75</v>
      </c>
    </row>
    <row r="24" spans="1:2" x14ac:dyDescent="0.25">
      <c r="A24" s="131" t="s">
        <v>107</v>
      </c>
      <c r="B24" s="3">
        <v>601200</v>
      </c>
    </row>
    <row r="25" spans="1:2" x14ac:dyDescent="0.25">
      <c r="A25" s="131" t="s">
        <v>110</v>
      </c>
      <c r="B25" s="3">
        <v>133600</v>
      </c>
    </row>
    <row r="26" spans="1:2" x14ac:dyDescent="0.25">
      <c r="A26" s="119" t="s">
        <v>112</v>
      </c>
      <c r="B26" s="3">
        <v>7241</v>
      </c>
    </row>
    <row r="27" spans="1:2" x14ac:dyDescent="0.25">
      <c r="A27" s="131" t="s">
        <v>118</v>
      </c>
      <c r="B27" s="38">
        <v>138000</v>
      </c>
    </row>
    <row r="28" spans="1:2" x14ac:dyDescent="0.25">
      <c r="A28" s="129" t="s">
        <v>121</v>
      </c>
      <c r="B28" s="3">
        <v>1687.84</v>
      </c>
    </row>
    <row r="29" spans="1:2" x14ac:dyDescent="0.25">
      <c r="A29" s="129" t="s">
        <v>122</v>
      </c>
      <c r="B29" s="3">
        <v>210874.55</v>
      </c>
    </row>
    <row r="30" spans="1:2" x14ac:dyDescent="0.25">
      <c r="A30" s="128" t="s">
        <v>123</v>
      </c>
      <c r="B30" s="3">
        <v>48923.77</v>
      </c>
    </row>
    <row r="31" spans="1:2" x14ac:dyDescent="0.25">
      <c r="A31" s="129" t="s">
        <v>139</v>
      </c>
      <c r="B31" s="3">
        <v>30469.15</v>
      </c>
    </row>
    <row r="32" spans="1:2" x14ac:dyDescent="0.25">
      <c r="A32" s="119" t="s">
        <v>141</v>
      </c>
      <c r="B32" s="3">
        <v>213027.55</v>
      </c>
    </row>
    <row r="33" spans="1:2" x14ac:dyDescent="0.25">
      <c r="A33" s="131" t="s">
        <v>140</v>
      </c>
      <c r="B33" s="38">
        <v>230000</v>
      </c>
    </row>
    <row r="34" spans="1:2" x14ac:dyDescent="0.25">
      <c r="A34" s="119" t="s">
        <v>160</v>
      </c>
      <c r="B34" s="21">
        <v>131378.62</v>
      </c>
    </row>
    <row r="35" spans="1:2" x14ac:dyDescent="0.25">
      <c r="A35" s="119" t="s">
        <v>155</v>
      </c>
      <c r="B35" s="3">
        <v>108135.67999999999</v>
      </c>
    </row>
    <row r="36" spans="1:2" x14ac:dyDescent="0.25">
      <c r="A36" s="119" t="s">
        <v>157</v>
      </c>
      <c r="B36" s="38">
        <v>92000</v>
      </c>
    </row>
    <row r="37" spans="1:2" x14ac:dyDescent="0.25">
      <c r="A37" s="119" t="s">
        <v>163</v>
      </c>
      <c r="B37" s="38">
        <v>230000</v>
      </c>
    </row>
    <row r="38" spans="1:2" x14ac:dyDescent="0.25">
      <c r="A38" s="131" t="s">
        <v>165</v>
      </c>
      <c r="B38" s="38">
        <v>254651.61</v>
      </c>
    </row>
    <row r="39" spans="1:2" x14ac:dyDescent="0.25">
      <c r="A39" s="129" t="s">
        <v>171</v>
      </c>
      <c r="B39" s="38">
        <v>184000</v>
      </c>
    </row>
    <row r="40" spans="1:2" x14ac:dyDescent="0.25">
      <c r="A40" s="119" t="s">
        <v>174</v>
      </c>
      <c r="B40" s="3">
        <v>0</v>
      </c>
    </row>
    <row r="41" spans="1:2" x14ac:dyDescent="0.25">
      <c r="A41" s="119" t="s">
        <v>175</v>
      </c>
      <c r="B41" s="3">
        <v>18782.240000000002</v>
      </c>
    </row>
    <row r="42" spans="1:2" x14ac:dyDescent="0.25">
      <c r="A42" s="131" t="s">
        <v>246</v>
      </c>
      <c r="B42" s="38">
        <v>230000</v>
      </c>
    </row>
    <row r="43" spans="1:2" x14ac:dyDescent="0.25">
      <c r="A43" s="128" t="s">
        <v>247</v>
      </c>
      <c r="B43" s="3">
        <v>86224.25</v>
      </c>
    </row>
    <row r="44" spans="1:2" x14ac:dyDescent="0.25">
      <c r="A44" s="128" t="s">
        <v>279</v>
      </c>
      <c r="B44" s="38">
        <v>161000</v>
      </c>
    </row>
    <row r="45" spans="1:2" x14ac:dyDescent="0.25">
      <c r="A45" s="128" t="s">
        <v>286</v>
      </c>
      <c r="B45" s="3">
        <v>221336.03</v>
      </c>
    </row>
    <row r="46" spans="1:2" x14ac:dyDescent="0.25">
      <c r="A46" s="129" t="s">
        <v>291</v>
      </c>
      <c r="B46" s="38">
        <v>138000</v>
      </c>
    </row>
    <row r="47" spans="1:2" x14ac:dyDescent="0.25">
      <c r="A47" s="128" t="s">
        <v>292</v>
      </c>
      <c r="B47" s="38">
        <v>46000</v>
      </c>
    </row>
    <row r="48" spans="1:2" x14ac:dyDescent="0.25">
      <c r="A48" s="128" t="s">
        <v>293</v>
      </c>
      <c r="B48" s="38">
        <v>161000</v>
      </c>
    </row>
    <row r="49" spans="1:2" x14ac:dyDescent="0.25">
      <c r="A49" s="128" t="s">
        <v>294</v>
      </c>
      <c r="B49" s="3">
        <v>250172.92</v>
      </c>
    </row>
    <row r="50" spans="1:2" x14ac:dyDescent="0.25">
      <c r="A50" s="128" t="s">
        <v>301</v>
      </c>
      <c r="B50" s="3">
        <v>268905.02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8995-D1D0-4903-90D1-5048C8C57D14}">
  <dimension ref="A1:XES76"/>
  <sheetViews>
    <sheetView zoomScale="90" zoomScaleNormal="90" workbookViewId="0">
      <pane xSplit="1" ySplit="4" topLeftCell="B5" activePane="bottomRight" state="frozen"/>
      <selection pane="topRight" activeCell="B1" sqref="B1"/>
      <selection pane="bottomLeft" activeCell="A5" sqref="A5"/>
      <selection pane="bottomRight" activeCell="A8" sqref="A8"/>
    </sheetView>
  </sheetViews>
  <sheetFormatPr baseColWidth="10" defaultColWidth="9.140625" defaultRowHeight="15" x14ac:dyDescent="0.25"/>
  <cols>
    <col min="1" max="1" width="53.42578125" bestFit="1" customWidth="1"/>
    <col min="2" max="2" width="10.140625" bestFit="1" customWidth="1"/>
    <col min="3" max="3" width="12.42578125" customWidth="1"/>
    <col min="4" max="4" width="14.85546875" bestFit="1" customWidth="1"/>
    <col min="5" max="5" width="11.42578125" customWidth="1"/>
    <col min="6" max="6" width="17.140625" bestFit="1" customWidth="1"/>
    <col min="7" max="7" width="17.5703125" style="66" customWidth="1"/>
    <col min="8" max="8" width="13.5703125" bestFit="1" customWidth="1"/>
    <col min="9" max="9" width="17.140625" customWidth="1"/>
    <col min="10" max="10" width="14" bestFit="1" customWidth="1"/>
    <col min="11" max="11" width="16.5703125" customWidth="1"/>
    <col min="12" max="12" width="14" bestFit="1" customWidth="1"/>
    <col min="13" max="13" width="11" customWidth="1"/>
    <col min="14" max="15" width="12.5703125" customWidth="1"/>
    <col min="16" max="16" width="21.7109375" customWidth="1"/>
    <col min="17" max="17" width="13.140625" customWidth="1"/>
    <col min="18" max="18" width="15.28515625" customWidth="1"/>
    <col min="19" max="19" width="13.140625" customWidth="1"/>
    <col min="20" max="20" width="11.5703125" customWidth="1"/>
    <col min="21" max="21" width="12.28515625" customWidth="1"/>
    <col min="22" max="22" width="14.140625" customWidth="1"/>
    <col min="23" max="23" width="13.5703125" bestFit="1" customWidth="1"/>
    <col min="24" max="25" width="18.7109375" customWidth="1"/>
    <col min="26" max="26" width="19.7109375" customWidth="1"/>
    <col min="27" max="27" width="18.42578125" customWidth="1"/>
    <col min="28" max="28" width="17.140625" customWidth="1"/>
    <col min="29" max="29" width="17.42578125" customWidth="1"/>
    <col min="30" max="30" width="18.42578125" customWidth="1"/>
    <col min="31" max="31" width="16.42578125" customWidth="1"/>
    <col min="32" max="32" width="15.42578125" customWidth="1"/>
    <col min="33" max="33" width="17.5703125" customWidth="1"/>
    <col min="34" max="34" width="15.42578125" style="64" customWidth="1"/>
    <col min="35" max="35" width="15.5703125" style="64" customWidth="1"/>
    <col min="36" max="36" width="15.5703125" customWidth="1"/>
    <col min="37" max="37" width="15.5703125" style="64" customWidth="1"/>
    <col min="38" max="38" width="15.5703125" customWidth="1"/>
    <col min="39" max="39" width="17.5703125" customWidth="1"/>
    <col min="40" max="41" width="14.85546875" customWidth="1"/>
    <col min="42" max="42" width="16.42578125" customWidth="1"/>
    <col min="43" max="43" width="15" customWidth="1"/>
    <col min="44" max="44" width="13.42578125" style="36" customWidth="1"/>
    <col min="45" max="45" width="12.140625" style="36" customWidth="1"/>
    <col min="46" max="46" width="8.7109375" style="36"/>
    <col min="47" max="47" width="16.140625" style="36" customWidth="1"/>
    <col min="50" max="50" width="10.7109375" bestFit="1" customWidth="1"/>
    <col min="52" max="52" width="12.42578125" bestFit="1" customWidth="1"/>
    <col min="54" max="54" width="12" bestFit="1" customWidth="1"/>
    <col min="56" max="56" width="11.140625" bestFit="1" customWidth="1"/>
  </cols>
  <sheetData>
    <row r="1" spans="1:56 16373:16373" x14ac:dyDescent="0.25">
      <c r="G1"/>
      <c r="L1" t="s">
        <v>264</v>
      </c>
      <c r="AH1"/>
      <c r="AI1"/>
      <c r="AK1"/>
      <c r="AR1"/>
      <c r="AS1"/>
      <c r="AT1"/>
      <c r="AU1"/>
    </row>
    <row r="2" spans="1:56 16373:16373" ht="15.75" thickBot="1" x14ac:dyDescent="0.3">
      <c r="G2"/>
      <c r="J2" t="s">
        <v>263</v>
      </c>
      <c r="L2" t="s">
        <v>262</v>
      </c>
      <c r="AH2"/>
      <c r="AI2"/>
      <c r="AK2"/>
      <c r="AR2"/>
      <c r="AS2"/>
      <c r="AT2"/>
      <c r="AU2"/>
    </row>
    <row r="3" spans="1:56 16373:16373" ht="15.75" thickBot="1" x14ac:dyDescent="0.3">
      <c r="A3" s="61"/>
      <c r="B3" s="159" t="s">
        <v>215</v>
      </c>
      <c r="C3" s="160"/>
      <c r="D3" s="160"/>
      <c r="E3" s="160"/>
      <c r="F3" s="160"/>
      <c r="G3" s="160"/>
      <c r="H3" s="160"/>
      <c r="I3" s="160"/>
      <c r="J3" s="160"/>
      <c r="K3" s="160"/>
      <c r="L3" s="160"/>
      <c r="M3" s="160"/>
      <c r="N3" s="160"/>
      <c r="O3" s="160"/>
      <c r="P3" s="161"/>
      <c r="Q3" s="162" t="s">
        <v>242</v>
      </c>
      <c r="R3" s="163"/>
      <c r="S3" s="163"/>
      <c r="T3" s="163"/>
      <c r="U3" s="164"/>
      <c r="V3" s="170" t="s">
        <v>240</v>
      </c>
      <c r="W3" s="171"/>
      <c r="X3" s="171"/>
      <c r="Y3" s="171"/>
      <c r="Z3" s="171"/>
      <c r="AA3" s="172"/>
      <c r="AB3" s="173" t="s">
        <v>241</v>
      </c>
      <c r="AC3" s="174"/>
      <c r="AD3" s="174"/>
      <c r="AE3" s="175"/>
      <c r="AF3" s="176" t="s">
        <v>243</v>
      </c>
      <c r="AG3" s="177"/>
      <c r="AH3" s="177"/>
      <c r="AI3" s="177"/>
      <c r="AJ3" s="177"/>
      <c r="AK3" s="178"/>
      <c r="AL3" s="165" t="s">
        <v>244</v>
      </c>
      <c r="AM3" s="166"/>
      <c r="AN3" s="166"/>
      <c r="AO3" s="166"/>
      <c r="AP3" s="166"/>
      <c r="AQ3" s="166"/>
      <c r="AR3" s="167" t="s">
        <v>226</v>
      </c>
      <c r="AS3" s="168"/>
      <c r="AT3" s="168"/>
      <c r="AU3" s="169"/>
    </row>
    <row r="4" spans="1:56 16373:16373" ht="51.75" thickBot="1" x14ac:dyDescent="0.3">
      <c r="A4" s="56" t="s">
        <v>1</v>
      </c>
      <c r="B4" s="56" t="s">
        <v>2</v>
      </c>
      <c r="C4" s="56" t="s">
        <v>3</v>
      </c>
      <c r="D4" s="56" t="s">
        <v>4</v>
      </c>
      <c r="E4" s="56" t="s">
        <v>5</v>
      </c>
      <c r="F4" s="56" t="s">
        <v>8</v>
      </c>
      <c r="G4" s="56" t="s">
        <v>239</v>
      </c>
      <c r="H4" s="56" t="s">
        <v>185</v>
      </c>
      <c r="I4" s="56" t="s">
        <v>234</v>
      </c>
      <c r="J4" s="56" t="s">
        <v>186</v>
      </c>
      <c r="K4" s="56" t="s">
        <v>212</v>
      </c>
      <c r="L4" s="56" t="s">
        <v>187</v>
      </c>
      <c r="M4" s="56" t="s">
        <v>245</v>
      </c>
      <c r="N4" s="56" t="s">
        <v>213</v>
      </c>
      <c r="O4" s="56" t="s">
        <v>214</v>
      </c>
      <c r="P4" s="56" t="s">
        <v>235</v>
      </c>
      <c r="Q4" s="56" t="s">
        <v>135</v>
      </c>
      <c r="R4" s="56" t="s">
        <v>142</v>
      </c>
      <c r="S4" s="56" t="s">
        <v>229</v>
      </c>
      <c r="T4" s="56" t="s">
        <v>143</v>
      </c>
      <c r="U4" s="56" t="s">
        <v>144</v>
      </c>
      <c r="V4" s="56" t="s">
        <v>208</v>
      </c>
      <c r="W4" s="56" t="s">
        <v>211</v>
      </c>
      <c r="X4" s="58" t="s">
        <v>227</v>
      </c>
      <c r="Y4" s="56" t="s">
        <v>216</v>
      </c>
      <c r="Z4" s="56" t="s">
        <v>146</v>
      </c>
      <c r="AA4" s="58" t="s">
        <v>238</v>
      </c>
      <c r="AB4" s="58" t="s">
        <v>217</v>
      </c>
      <c r="AC4" s="56" t="s">
        <v>237</v>
      </c>
      <c r="AD4" s="56" t="s">
        <v>228</v>
      </c>
      <c r="AE4" s="56" t="s">
        <v>236</v>
      </c>
      <c r="AF4" s="56" t="s">
        <v>222</v>
      </c>
      <c r="AG4" s="56" t="s">
        <v>223</v>
      </c>
      <c r="AH4" s="56" t="s">
        <v>218</v>
      </c>
      <c r="AI4" s="56" t="s">
        <v>219</v>
      </c>
      <c r="AJ4" s="56" t="s">
        <v>220</v>
      </c>
      <c r="AK4" s="56" t="s">
        <v>221</v>
      </c>
      <c r="AL4" s="88" t="s">
        <v>224</v>
      </c>
      <c r="AM4" s="88" t="s">
        <v>225</v>
      </c>
      <c r="AN4" s="88" t="s">
        <v>230</v>
      </c>
      <c r="AO4" s="88" t="s">
        <v>231</v>
      </c>
      <c r="AP4" s="88" t="s">
        <v>233</v>
      </c>
      <c r="AQ4" s="88" t="s">
        <v>232</v>
      </c>
      <c r="AR4" s="56" t="s">
        <v>204</v>
      </c>
      <c r="AS4" s="56" t="s">
        <v>205</v>
      </c>
      <c r="AT4" s="56" t="s">
        <v>206</v>
      </c>
      <c r="AU4" s="56" t="s">
        <v>207</v>
      </c>
      <c r="XES4" t="s">
        <v>21</v>
      </c>
    </row>
    <row r="5" spans="1:56 16373:16373" ht="63.75" x14ac:dyDescent="0.25">
      <c r="A5" s="72" t="s">
        <v>53</v>
      </c>
      <c r="B5" s="69" t="s">
        <v>15</v>
      </c>
      <c r="C5" s="29">
        <v>5000000</v>
      </c>
      <c r="D5" s="29">
        <v>5000000</v>
      </c>
      <c r="E5" s="30" t="s">
        <v>16</v>
      </c>
      <c r="F5" s="31" t="s">
        <v>103</v>
      </c>
      <c r="G5" s="65">
        <v>0</v>
      </c>
      <c r="H5" s="34">
        <v>2056344.2750000001</v>
      </c>
      <c r="I5" s="78">
        <f>C5/H5</f>
        <v>2.4314994628027446</v>
      </c>
      <c r="J5" s="35"/>
      <c r="K5" s="86">
        <f>J5/H5</f>
        <v>0</v>
      </c>
      <c r="L5" s="35"/>
      <c r="M5" s="86"/>
      <c r="N5" s="78">
        <f>L5/H5</f>
        <v>0</v>
      </c>
      <c r="O5" s="53" t="s">
        <v>20</v>
      </c>
      <c r="P5" s="53" t="s">
        <v>20</v>
      </c>
      <c r="Q5" s="70" t="s">
        <v>82</v>
      </c>
      <c r="R5" s="71">
        <v>1.19</v>
      </c>
      <c r="S5" s="79" t="s">
        <v>20</v>
      </c>
      <c r="T5" s="70" t="s">
        <v>20</v>
      </c>
      <c r="U5" s="80" t="s">
        <v>20</v>
      </c>
      <c r="V5" s="30" t="s">
        <v>20</v>
      </c>
      <c r="W5" s="30" t="s">
        <v>20</v>
      </c>
      <c r="X5" s="30" t="s">
        <v>20</v>
      </c>
      <c r="Y5" s="32">
        <v>2</v>
      </c>
      <c r="Z5" s="21" t="s">
        <v>20</v>
      </c>
      <c r="AA5" s="30" t="s">
        <v>21</v>
      </c>
      <c r="AB5" s="33" t="s">
        <v>20</v>
      </c>
      <c r="AC5" s="30" t="s">
        <v>20</v>
      </c>
      <c r="AD5" s="30" t="s">
        <v>20</v>
      </c>
      <c r="AE5" s="33" t="s">
        <v>20</v>
      </c>
      <c r="AF5" s="15"/>
      <c r="AG5" s="50"/>
      <c r="AH5" s="62"/>
      <c r="AI5" s="62"/>
      <c r="AJ5" s="50"/>
      <c r="AK5" s="62"/>
      <c r="AL5" s="35">
        <v>7000000</v>
      </c>
      <c r="AM5" s="35">
        <v>336000</v>
      </c>
      <c r="AN5" s="35">
        <v>0</v>
      </c>
      <c r="AO5" s="35">
        <v>0</v>
      </c>
      <c r="AP5" s="79" t="s">
        <v>20</v>
      </c>
      <c r="AQ5" s="79" t="s">
        <v>20</v>
      </c>
      <c r="AR5" s="62"/>
      <c r="AS5" s="62"/>
      <c r="AT5" s="54"/>
      <c r="AU5" s="62"/>
      <c r="XES5" t="s">
        <v>25</v>
      </c>
    </row>
    <row r="6" spans="1:56 16373:16373" ht="38.25" x14ac:dyDescent="0.25">
      <c r="A6" s="46" t="s">
        <v>155</v>
      </c>
      <c r="B6" s="69" t="s">
        <v>15</v>
      </c>
      <c r="C6" s="29">
        <v>2500000</v>
      </c>
      <c r="D6" s="29">
        <v>2500000</v>
      </c>
      <c r="E6" s="30" t="s">
        <v>16</v>
      </c>
      <c r="F6" s="31" t="s">
        <v>156</v>
      </c>
      <c r="G6" s="65">
        <v>1</v>
      </c>
      <c r="H6" s="77">
        <v>2500000</v>
      </c>
      <c r="I6" s="78">
        <f t="shared" ref="I6:I63" si="0">C6/H6</f>
        <v>1</v>
      </c>
      <c r="J6" s="35"/>
      <c r="K6" s="86">
        <f t="shared" ref="K6:K66" si="1">J6/H6</f>
        <v>0</v>
      </c>
      <c r="L6" s="35"/>
      <c r="M6" s="86"/>
      <c r="N6" s="78">
        <f t="shared" ref="N6:N66" si="2">L6/H6</f>
        <v>0</v>
      </c>
      <c r="O6" s="53" t="s">
        <v>20</v>
      </c>
      <c r="P6" s="53" t="s">
        <v>20</v>
      </c>
      <c r="Q6" s="70" t="s">
        <v>82</v>
      </c>
      <c r="R6" s="71">
        <v>1.1100000000000001</v>
      </c>
      <c r="S6" s="79" t="s">
        <v>20</v>
      </c>
      <c r="T6" s="70" t="s">
        <v>20</v>
      </c>
      <c r="U6" s="81" t="s">
        <v>20</v>
      </c>
      <c r="V6" s="30" t="s">
        <v>20</v>
      </c>
      <c r="W6" s="30" t="s">
        <v>20</v>
      </c>
      <c r="X6" s="30" t="s">
        <v>20</v>
      </c>
      <c r="Y6" s="32">
        <v>2</v>
      </c>
      <c r="Z6" s="33" t="s">
        <v>20</v>
      </c>
      <c r="AA6" s="30" t="s">
        <v>21</v>
      </c>
      <c r="AB6" s="33" t="s">
        <v>20</v>
      </c>
      <c r="AC6" s="30" t="s">
        <v>20</v>
      </c>
      <c r="AD6" s="30" t="s">
        <v>20</v>
      </c>
      <c r="AE6" s="33" t="s">
        <v>20</v>
      </c>
      <c r="AF6" s="15"/>
      <c r="AG6" s="15"/>
      <c r="AH6" s="9"/>
      <c r="AI6" s="9"/>
      <c r="AJ6" s="50"/>
      <c r="AK6" s="62"/>
      <c r="AL6" s="35">
        <v>6000000</v>
      </c>
      <c r="AM6" s="35">
        <v>0</v>
      </c>
      <c r="AN6" s="35">
        <v>0</v>
      </c>
      <c r="AO6" s="35">
        <v>0</v>
      </c>
      <c r="AP6" s="79" t="s">
        <v>20</v>
      </c>
      <c r="AQ6" s="79" t="s">
        <v>20</v>
      </c>
      <c r="AR6" s="62"/>
      <c r="AS6" s="62"/>
      <c r="AT6" s="5"/>
      <c r="AU6" s="62"/>
      <c r="XES6" t="s">
        <v>127</v>
      </c>
    </row>
    <row r="7" spans="1:56 16373:16373" ht="38.25" x14ac:dyDescent="0.25">
      <c r="A7" s="1" t="s">
        <v>114</v>
      </c>
      <c r="B7" s="69" t="s">
        <v>15</v>
      </c>
      <c r="C7" s="29">
        <v>6000000</v>
      </c>
      <c r="D7" s="29">
        <v>6000000</v>
      </c>
      <c r="E7" s="30" t="s">
        <v>83</v>
      </c>
      <c r="F7" s="31" t="s">
        <v>106</v>
      </c>
      <c r="G7" s="65">
        <f>2/3</f>
        <v>0.66666666666666663</v>
      </c>
      <c r="H7" s="77">
        <v>5198860.379999998</v>
      </c>
      <c r="I7" s="94">
        <f>+H7/C7</f>
        <v>0.8664767299999997</v>
      </c>
      <c r="J7" s="35">
        <v>0</v>
      </c>
      <c r="K7" s="95">
        <f t="shared" si="1"/>
        <v>0</v>
      </c>
      <c r="L7" s="9">
        <v>0</v>
      </c>
      <c r="M7" s="9">
        <v>0</v>
      </c>
      <c r="N7" s="94">
        <f t="shared" si="2"/>
        <v>0</v>
      </c>
      <c r="O7" s="21" t="s">
        <v>20</v>
      </c>
      <c r="P7" s="21" t="s">
        <v>20</v>
      </c>
      <c r="Q7" s="70">
        <v>3</v>
      </c>
      <c r="R7" s="70">
        <v>5</v>
      </c>
      <c r="S7" s="97">
        <v>11.548241082064973</v>
      </c>
      <c r="T7" s="97">
        <v>0.14563221163698836</v>
      </c>
      <c r="U7" s="98">
        <v>4.9829217626029845</v>
      </c>
      <c r="V7" s="33">
        <v>5438737.8220000006</v>
      </c>
      <c r="W7" s="99">
        <v>4095127.7</v>
      </c>
      <c r="X7" s="65">
        <f t="shared" ref="X7:X66" si="3">W7/V7</f>
        <v>0.75295552645229158</v>
      </c>
      <c r="Y7" s="32">
        <v>2</v>
      </c>
      <c r="Z7" s="100">
        <v>18601526.98</v>
      </c>
      <c r="AA7" s="30" t="s">
        <v>21</v>
      </c>
      <c r="AB7" s="100">
        <v>1831871.4100000001</v>
      </c>
      <c r="AC7" s="33">
        <v>96751.37</v>
      </c>
      <c r="AD7" s="84">
        <f>AC7/V7</f>
        <v>1.7789305748226226E-2</v>
      </c>
      <c r="AE7" s="21" t="s">
        <v>21</v>
      </c>
      <c r="AF7" s="15"/>
      <c r="AG7" s="15"/>
      <c r="AH7" s="9"/>
      <c r="AI7" s="9"/>
      <c r="AJ7" s="50"/>
      <c r="AK7" s="62"/>
      <c r="AL7" s="9">
        <v>32000000</v>
      </c>
      <c r="AM7" s="9">
        <v>29138000</v>
      </c>
      <c r="AN7" s="9">
        <v>184000</v>
      </c>
      <c r="AO7" s="9">
        <v>2</v>
      </c>
      <c r="AP7" s="52">
        <f t="shared" ref="AP7:AP66" si="4">AN7/AM7</f>
        <v>6.3147779531882763E-3</v>
      </c>
      <c r="AQ7" s="89">
        <f t="shared" ref="AQ7:AQ66" si="5">AN7/AM7</f>
        <v>6.3147779531882763E-3</v>
      </c>
      <c r="AR7" s="62"/>
      <c r="AS7" s="62"/>
      <c r="AT7" s="5"/>
      <c r="AU7" s="62"/>
      <c r="XES7" t="s">
        <v>30</v>
      </c>
    </row>
    <row r="8" spans="1:56 16373:16373" ht="38.25" x14ac:dyDescent="0.25">
      <c r="A8" s="1" t="s">
        <v>91</v>
      </c>
      <c r="B8" s="69" t="s">
        <v>15</v>
      </c>
      <c r="C8" s="29">
        <v>2000000</v>
      </c>
      <c r="D8" s="29">
        <v>2000000</v>
      </c>
      <c r="E8" s="30" t="s">
        <v>84</v>
      </c>
      <c r="F8" s="31" t="s">
        <v>96</v>
      </c>
      <c r="G8" s="65">
        <v>1</v>
      </c>
      <c r="H8" s="77">
        <v>823668.2316734941</v>
      </c>
      <c r="I8" s="94">
        <f>+H8/C8</f>
        <v>0.41183411583674706</v>
      </c>
      <c r="J8" s="35">
        <v>0</v>
      </c>
      <c r="K8" s="95">
        <f t="shared" si="1"/>
        <v>0</v>
      </c>
      <c r="L8" s="9">
        <v>0</v>
      </c>
      <c r="M8" s="9">
        <v>0</v>
      </c>
      <c r="N8" s="94">
        <f t="shared" si="2"/>
        <v>0</v>
      </c>
      <c r="O8" s="3">
        <v>4.2361111111111106E-2</v>
      </c>
      <c r="P8" s="96">
        <f t="shared" ref="P8:P65" si="6">H8/O8</f>
        <v>19443971.370652977</v>
      </c>
      <c r="Q8" s="70">
        <v>3</v>
      </c>
      <c r="R8" s="70">
        <v>3.7</v>
      </c>
      <c r="S8" s="70">
        <v>10.36365137516006</v>
      </c>
      <c r="T8" s="70">
        <v>1.3882837588725978</v>
      </c>
      <c r="U8" s="81">
        <v>3.678329020708178</v>
      </c>
      <c r="V8" s="9">
        <v>758668.99199999997</v>
      </c>
      <c r="W8" s="30">
        <v>1367009.8299999998</v>
      </c>
      <c r="X8" s="65">
        <f t="shared" si="3"/>
        <v>1.8018527769222443</v>
      </c>
      <c r="Y8" s="32">
        <v>1</v>
      </c>
      <c r="Z8" s="33">
        <v>3029722.7600000002</v>
      </c>
      <c r="AA8" s="30" t="s">
        <v>21</v>
      </c>
      <c r="AB8" s="33">
        <v>172343.78</v>
      </c>
      <c r="AC8" s="33">
        <v>172343.78</v>
      </c>
      <c r="AD8" s="84">
        <f>AC8/V8</f>
        <v>0.22716597332608529</v>
      </c>
      <c r="AE8" s="21" t="s">
        <v>21</v>
      </c>
      <c r="AF8" s="15"/>
      <c r="AG8" s="15"/>
      <c r="AH8" s="9"/>
      <c r="AI8" s="9"/>
      <c r="AJ8" s="50"/>
      <c r="AK8" s="62"/>
      <c r="AL8" s="75">
        <v>2500000</v>
      </c>
      <c r="AM8" s="75">
        <v>19468</v>
      </c>
      <c r="AN8" s="75">
        <v>19468</v>
      </c>
      <c r="AO8" s="75">
        <v>180</v>
      </c>
      <c r="AP8" s="52">
        <f t="shared" si="4"/>
        <v>1</v>
      </c>
      <c r="AQ8" s="89">
        <f t="shared" si="5"/>
        <v>1</v>
      </c>
      <c r="AR8" s="62"/>
      <c r="AS8" s="62"/>
      <c r="AT8" s="5"/>
      <c r="AU8" s="62"/>
    </row>
    <row r="9" spans="1:56 16373:16373" ht="25.5" x14ac:dyDescent="0.25">
      <c r="A9" s="46" t="s">
        <v>175</v>
      </c>
      <c r="B9" s="69" t="s">
        <v>15</v>
      </c>
      <c r="C9" s="29">
        <v>1000000</v>
      </c>
      <c r="D9" s="29">
        <v>1000000</v>
      </c>
      <c r="E9" s="30" t="s">
        <v>16</v>
      </c>
      <c r="F9" s="31" t="s">
        <v>248</v>
      </c>
      <c r="G9" s="65">
        <v>1</v>
      </c>
      <c r="H9" s="77">
        <v>143423.67400000006</v>
      </c>
      <c r="I9" s="78">
        <f t="shared" si="0"/>
        <v>6.9723496275796117</v>
      </c>
      <c r="J9" s="35"/>
      <c r="K9" s="86">
        <f t="shared" si="1"/>
        <v>0</v>
      </c>
      <c r="L9" s="9"/>
      <c r="M9" s="9"/>
      <c r="N9" s="78">
        <f t="shared" si="2"/>
        <v>0</v>
      </c>
      <c r="O9" s="53" t="s">
        <v>20</v>
      </c>
      <c r="P9" s="53" t="s">
        <v>20</v>
      </c>
      <c r="Q9" s="70" t="s">
        <v>82</v>
      </c>
      <c r="R9" s="71">
        <v>1.1100000000000001</v>
      </c>
      <c r="S9" s="79" t="s">
        <v>20</v>
      </c>
      <c r="T9" s="70" t="s">
        <v>20</v>
      </c>
      <c r="U9" s="81" t="s">
        <v>20</v>
      </c>
      <c r="V9" s="30" t="s">
        <v>20</v>
      </c>
      <c r="W9" s="30" t="s">
        <v>20</v>
      </c>
      <c r="X9" s="84" t="s">
        <v>20</v>
      </c>
      <c r="Y9" s="32">
        <v>2</v>
      </c>
      <c r="Z9" s="33" t="s">
        <v>20</v>
      </c>
      <c r="AA9" s="30" t="s">
        <v>21</v>
      </c>
      <c r="AB9" s="33" t="s">
        <v>20</v>
      </c>
      <c r="AC9" s="30" t="s">
        <v>20</v>
      </c>
      <c r="AD9" s="30" t="s">
        <v>20</v>
      </c>
      <c r="AE9" s="33" t="s">
        <v>20</v>
      </c>
      <c r="AF9" s="15"/>
      <c r="AG9" s="15"/>
      <c r="AH9" s="9"/>
      <c r="AI9" s="9"/>
      <c r="AJ9" s="50"/>
      <c r="AK9" s="62"/>
      <c r="AL9" s="35">
        <v>3000000</v>
      </c>
      <c r="AM9" s="35">
        <v>937000</v>
      </c>
      <c r="AN9" s="35">
        <v>0</v>
      </c>
      <c r="AO9" s="35">
        <v>0</v>
      </c>
      <c r="AP9" s="79" t="s">
        <v>20</v>
      </c>
      <c r="AQ9" s="79" t="s">
        <v>20</v>
      </c>
      <c r="AR9" s="62"/>
      <c r="AS9" s="62"/>
      <c r="AT9" s="5"/>
      <c r="AU9" s="62"/>
    </row>
    <row r="10" spans="1:56 16373:16373" ht="38.25" x14ac:dyDescent="0.25">
      <c r="A10" s="46" t="s">
        <v>139</v>
      </c>
      <c r="B10" s="69" t="s">
        <v>15</v>
      </c>
      <c r="C10" s="29">
        <v>1800000</v>
      </c>
      <c r="D10" s="29">
        <v>1800000</v>
      </c>
      <c r="E10" s="30" t="s">
        <v>16</v>
      </c>
      <c r="F10" s="31" t="s">
        <v>147</v>
      </c>
      <c r="G10" s="65">
        <v>0</v>
      </c>
      <c r="H10" s="77">
        <v>1063718.79</v>
      </c>
      <c r="I10" s="78">
        <f t="shared" si="0"/>
        <v>1.6921765573023297</v>
      </c>
      <c r="J10" s="35"/>
      <c r="K10" s="86">
        <f t="shared" si="1"/>
        <v>0</v>
      </c>
      <c r="L10" s="75"/>
      <c r="M10" s="75"/>
      <c r="N10" s="78">
        <f t="shared" si="2"/>
        <v>0</v>
      </c>
      <c r="O10" s="53" t="s">
        <v>20</v>
      </c>
      <c r="P10" s="53" t="s">
        <v>20</v>
      </c>
      <c r="Q10" s="70" t="s">
        <v>82</v>
      </c>
      <c r="R10" s="71">
        <v>1.19</v>
      </c>
      <c r="S10" s="79" t="s">
        <v>20</v>
      </c>
      <c r="T10" s="70" t="s">
        <v>20</v>
      </c>
      <c r="U10" s="81" t="s">
        <v>20</v>
      </c>
      <c r="V10" s="30" t="s">
        <v>20</v>
      </c>
      <c r="W10" s="30" t="s">
        <v>20</v>
      </c>
      <c r="X10" s="84" t="s">
        <v>20</v>
      </c>
      <c r="Y10" s="32">
        <v>2</v>
      </c>
      <c r="Z10" s="33" t="s">
        <v>20</v>
      </c>
      <c r="AA10" s="30" t="s">
        <v>21</v>
      </c>
      <c r="AB10" s="33" t="s">
        <v>20</v>
      </c>
      <c r="AC10" s="30" t="s">
        <v>20</v>
      </c>
      <c r="AD10" s="30" t="s">
        <v>20</v>
      </c>
      <c r="AE10" s="33" t="s">
        <v>20</v>
      </c>
      <c r="AF10" s="15"/>
      <c r="AG10" s="15"/>
      <c r="AH10" s="9"/>
      <c r="AI10" s="9"/>
      <c r="AJ10" s="50"/>
      <c r="AK10" s="62"/>
      <c r="AL10" s="35">
        <v>7000000</v>
      </c>
      <c r="AM10" s="35">
        <v>5533000</v>
      </c>
      <c r="AN10" s="35">
        <v>0</v>
      </c>
      <c r="AO10" s="35">
        <v>0</v>
      </c>
      <c r="AP10" s="79" t="s">
        <v>20</v>
      </c>
      <c r="AQ10" s="79" t="s">
        <v>20</v>
      </c>
      <c r="AR10" s="62"/>
      <c r="AS10" s="62"/>
      <c r="AT10" s="5"/>
      <c r="AU10" s="62"/>
    </row>
    <row r="11" spans="1:56 16373:16373" ht="51" x14ac:dyDescent="0.25">
      <c r="A11" s="72" t="s">
        <v>81</v>
      </c>
      <c r="B11" s="69" t="s">
        <v>15</v>
      </c>
      <c r="C11" s="29">
        <v>5000000</v>
      </c>
      <c r="D11" s="29">
        <v>5000000</v>
      </c>
      <c r="E11" s="30" t="s">
        <v>83</v>
      </c>
      <c r="F11" s="31" t="s">
        <v>62</v>
      </c>
      <c r="G11" s="65">
        <v>1</v>
      </c>
      <c r="H11" s="34">
        <v>0</v>
      </c>
      <c r="I11" s="53" t="s">
        <v>20</v>
      </c>
      <c r="J11" s="35"/>
      <c r="K11" s="86" t="e">
        <f t="shared" si="1"/>
        <v>#DIV/0!</v>
      </c>
      <c r="L11" s="9"/>
      <c r="M11" s="9"/>
      <c r="N11" s="78" t="e">
        <f t="shared" si="2"/>
        <v>#DIV/0!</v>
      </c>
      <c r="O11" s="53" t="s">
        <v>20</v>
      </c>
      <c r="P11" s="53" t="s">
        <v>20</v>
      </c>
      <c r="Q11" s="70">
        <v>3</v>
      </c>
      <c r="R11" s="70">
        <v>3</v>
      </c>
      <c r="S11" s="70">
        <v>0</v>
      </c>
      <c r="T11" s="70">
        <v>4.7754874492904493</v>
      </c>
      <c r="U11" s="82" t="e">
        <v>#DIV/0!</v>
      </c>
      <c r="V11" s="33">
        <v>5081047.8322222214</v>
      </c>
      <c r="W11" s="30">
        <v>0</v>
      </c>
      <c r="X11" s="84">
        <f t="shared" si="3"/>
        <v>0</v>
      </c>
      <c r="Y11" s="32">
        <v>2</v>
      </c>
      <c r="Z11" s="3">
        <v>-857201</v>
      </c>
      <c r="AA11" s="30" t="s">
        <v>21</v>
      </c>
      <c r="AB11" s="33">
        <v>1714402</v>
      </c>
      <c r="AC11" s="33">
        <v>857201</v>
      </c>
      <c r="AD11" s="84">
        <f t="shared" ref="AD11:AD66" si="7">AC11/V11</f>
        <v>0.1687055560791875</v>
      </c>
      <c r="AE11" s="21" t="s">
        <v>21</v>
      </c>
      <c r="AF11" s="30"/>
      <c r="AG11" s="30"/>
      <c r="AH11" s="63"/>
      <c r="AI11" s="63"/>
      <c r="AJ11" s="50"/>
      <c r="AK11" s="62"/>
      <c r="AL11" s="35">
        <v>10000000</v>
      </c>
      <c r="AM11" s="35">
        <v>0</v>
      </c>
      <c r="AN11" s="35">
        <v>0</v>
      </c>
      <c r="AO11" s="35">
        <v>0</v>
      </c>
      <c r="AP11" s="79" t="s">
        <v>20</v>
      </c>
      <c r="AQ11" s="79" t="s">
        <v>20</v>
      </c>
      <c r="AR11" s="62"/>
      <c r="AS11" s="62"/>
      <c r="AT11" s="5"/>
      <c r="AU11" s="62"/>
    </row>
    <row r="12" spans="1:56 16373:16373" ht="51" x14ac:dyDescent="0.25">
      <c r="A12" s="72" t="s">
        <v>81</v>
      </c>
      <c r="B12" s="69" t="s">
        <v>15</v>
      </c>
      <c r="C12" s="29">
        <v>5000000</v>
      </c>
      <c r="D12" s="29">
        <v>5000000</v>
      </c>
      <c r="E12" s="30" t="s">
        <v>16</v>
      </c>
      <c r="F12" s="31" t="s">
        <v>62</v>
      </c>
      <c r="G12" s="65">
        <v>1</v>
      </c>
      <c r="H12" s="34">
        <v>0</v>
      </c>
      <c r="I12" s="53" t="s">
        <v>20</v>
      </c>
      <c r="J12" s="35"/>
      <c r="K12" s="86" t="e">
        <f t="shared" si="1"/>
        <v>#DIV/0!</v>
      </c>
      <c r="L12" s="75"/>
      <c r="M12" s="75"/>
      <c r="N12" s="78" t="e">
        <f t="shared" si="2"/>
        <v>#DIV/0!</v>
      </c>
      <c r="O12" s="53" t="s">
        <v>20</v>
      </c>
      <c r="P12" s="53" t="s">
        <v>20</v>
      </c>
      <c r="Q12" s="30" t="s">
        <v>20</v>
      </c>
      <c r="R12" s="30" t="s">
        <v>20</v>
      </c>
      <c r="S12" s="70" t="s">
        <v>20</v>
      </c>
      <c r="T12" s="70" t="s">
        <v>20</v>
      </c>
      <c r="U12" s="81" t="s">
        <v>20</v>
      </c>
      <c r="V12" s="30" t="s">
        <v>20</v>
      </c>
      <c r="W12" s="30" t="s">
        <v>20</v>
      </c>
      <c r="X12" s="84" t="s">
        <v>20</v>
      </c>
      <c r="Y12" s="32">
        <v>2</v>
      </c>
      <c r="Z12" s="33" t="s">
        <v>20</v>
      </c>
      <c r="AA12" s="30" t="s">
        <v>20</v>
      </c>
      <c r="AB12" s="33" t="s">
        <v>20</v>
      </c>
      <c r="AC12" s="30" t="s">
        <v>20</v>
      </c>
      <c r="AD12" s="30" t="s">
        <v>20</v>
      </c>
      <c r="AE12" s="33" t="s">
        <v>20</v>
      </c>
      <c r="AF12" s="15"/>
      <c r="AG12" s="15"/>
      <c r="AH12" s="9"/>
      <c r="AI12" s="9"/>
      <c r="AJ12" s="50"/>
      <c r="AK12" s="62"/>
      <c r="AL12" s="35">
        <v>10000000</v>
      </c>
      <c r="AM12" s="35">
        <v>0</v>
      </c>
      <c r="AN12" s="35">
        <v>0</v>
      </c>
      <c r="AO12" s="35">
        <v>0</v>
      </c>
      <c r="AP12" s="79" t="s">
        <v>20</v>
      </c>
      <c r="AQ12" s="79" t="s">
        <v>20</v>
      </c>
      <c r="AR12" s="62"/>
      <c r="AS12" s="62"/>
      <c r="AT12" s="5"/>
      <c r="AU12" s="62"/>
      <c r="AX12" s="93"/>
      <c r="AZ12" s="93"/>
      <c r="BD12" s="93"/>
    </row>
    <row r="13" spans="1:56 16373:16373" ht="38.25" x14ac:dyDescent="0.25">
      <c r="A13" s="1" t="s">
        <v>112</v>
      </c>
      <c r="B13" s="73" t="s">
        <v>48</v>
      </c>
      <c r="C13" s="29">
        <v>144540.70000000001</v>
      </c>
      <c r="D13" s="29">
        <v>144540.70000000001</v>
      </c>
      <c r="E13" s="30" t="s">
        <v>108</v>
      </c>
      <c r="F13" s="31" t="s">
        <v>113</v>
      </c>
      <c r="G13" s="65">
        <v>1</v>
      </c>
      <c r="H13" s="77">
        <v>117422</v>
      </c>
      <c r="I13" s="94">
        <f t="shared" ref="I13:I18" si="8">+H13/C13</f>
        <v>0.81238018080720509</v>
      </c>
      <c r="J13" s="35">
        <v>0</v>
      </c>
      <c r="K13" s="95">
        <f t="shared" si="1"/>
        <v>0</v>
      </c>
      <c r="L13" s="9">
        <v>0</v>
      </c>
      <c r="M13" s="9">
        <v>0</v>
      </c>
      <c r="N13" s="94">
        <f t="shared" si="2"/>
        <v>0</v>
      </c>
      <c r="O13" s="21" t="s">
        <v>20</v>
      </c>
      <c r="P13" s="21" t="s">
        <v>20</v>
      </c>
      <c r="Q13" s="70">
        <v>2</v>
      </c>
      <c r="R13" s="70">
        <v>5</v>
      </c>
      <c r="S13" s="70">
        <v>44.967062119578017</v>
      </c>
      <c r="T13" s="70">
        <v>1.1994637566432724</v>
      </c>
      <c r="U13" s="81">
        <v>47.871694571715693</v>
      </c>
      <c r="V13" s="9">
        <v>11048480.489</v>
      </c>
      <c r="W13" s="30">
        <f>12984714/20</f>
        <v>649235.69999999995</v>
      </c>
      <c r="X13" s="65">
        <f t="shared" si="3"/>
        <v>5.8762442550030915E-2</v>
      </c>
      <c r="Y13" s="32">
        <v>1</v>
      </c>
      <c r="Z13" s="3">
        <v>5621190.1200000001</v>
      </c>
      <c r="AA13" s="30" t="s">
        <v>21</v>
      </c>
      <c r="AB13" s="33">
        <v>13546</v>
      </c>
      <c r="AC13" s="9">
        <v>13546</v>
      </c>
      <c r="AD13" s="84">
        <f t="shared" si="7"/>
        <v>1.2260509500366644E-3</v>
      </c>
      <c r="AE13" s="21" t="s">
        <v>21</v>
      </c>
      <c r="AF13" s="30"/>
      <c r="AG13" s="30"/>
      <c r="AH13" s="63"/>
      <c r="AI13" s="63"/>
      <c r="AJ13" s="50"/>
      <c r="AK13" s="62"/>
      <c r="AL13" s="9">
        <v>18000000</v>
      </c>
      <c r="AM13" s="9">
        <v>5421000</v>
      </c>
      <c r="AN13" s="9">
        <v>0</v>
      </c>
      <c r="AO13" s="9">
        <v>0</v>
      </c>
      <c r="AP13" s="79" t="s">
        <v>20</v>
      </c>
      <c r="AQ13" s="79" t="s">
        <v>20</v>
      </c>
      <c r="AR13" s="62"/>
      <c r="AS13" s="62"/>
      <c r="AT13" s="5"/>
      <c r="AU13" s="62"/>
      <c r="AX13" s="93"/>
      <c r="AZ13" s="93"/>
      <c r="BB13" s="93"/>
    </row>
    <row r="14" spans="1:56 16373:16373" x14ac:dyDescent="0.25">
      <c r="A14" s="1" t="s">
        <v>174</v>
      </c>
      <c r="B14" s="69" t="s">
        <v>15</v>
      </c>
      <c r="C14" s="29">
        <v>7500000</v>
      </c>
      <c r="D14" s="29">
        <v>7500000</v>
      </c>
      <c r="E14" s="30" t="s">
        <v>100</v>
      </c>
      <c r="F14" s="31"/>
      <c r="G14" s="65">
        <v>1</v>
      </c>
      <c r="H14" s="77">
        <f>4763546.63-2897815</f>
        <v>1865731.63</v>
      </c>
      <c r="I14" s="94">
        <f t="shared" si="8"/>
        <v>0.24876421733333332</v>
      </c>
      <c r="J14" s="35">
        <v>0</v>
      </c>
      <c r="K14" s="95">
        <f t="shared" si="1"/>
        <v>0</v>
      </c>
      <c r="L14" s="9">
        <v>0</v>
      </c>
      <c r="M14" s="9">
        <v>0</v>
      </c>
      <c r="N14" s="94">
        <f t="shared" si="2"/>
        <v>0</v>
      </c>
      <c r="O14" s="21" t="s">
        <v>20</v>
      </c>
      <c r="P14" s="21" t="s">
        <v>20</v>
      </c>
      <c r="Q14" s="70">
        <v>1.2</v>
      </c>
      <c r="R14" s="70">
        <v>1.2</v>
      </c>
      <c r="S14" s="70">
        <v>1.5</v>
      </c>
      <c r="T14" s="70">
        <v>1.5</v>
      </c>
      <c r="U14" s="82">
        <v>0</v>
      </c>
      <c r="V14" s="30" t="s">
        <v>20</v>
      </c>
      <c r="W14" s="30" t="s">
        <v>20</v>
      </c>
      <c r="X14" s="65" t="s">
        <v>20</v>
      </c>
      <c r="Y14" s="32">
        <v>2</v>
      </c>
      <c r="Z14" s="3">
        <v>0</v>
      </c>
      <c r="AA14" s="30" t="s">
        <v>21</v>
      </c>
      <c r="AB14" s="33" t="s">
        <v>20</v>
      </c>
      <c r="AC14" s="30" t="s">
        <v>20</v>
      </c>
      <c r="AD14" s="30" t="s">
        <v>20</v>
      </c>
      <c r="AE14" s="33" t="s">
        <v>20</v>
      </c>
      <c r="AF14" s="30"/>
      <c r="AG14" s="30"/>
      <c r="AH14" s="63"/>
      <c r="AI14" s="63"/>
      <c r="AJ14" s="50"/>
      <c r="AK14" s="62"/>
      <c r="AL14" s="35">
        <v>0</v>
      </c>
      <c r="AM14" s="9">
        <v>0</v>
      </c>
      <c r="AN14" s="35">
        <v>0</v>
      </c>
      <c r="AO14" s="9"/>
      <c r="AP14" s="79" t="s">
        <v>20</v>
      </c>
      <c r="AQ14" s="79" t="s">
        <v>20</v>
      </c>
      <c r="AR14" s="62"/>
      <c r="AS14" s="62"/>
      <c r="AT14" s="5"/>
      <c r="AU14" s="62"/>
      <c r="AX14" s="93"/>
      <c r="AZ14" s="93"/>
    </row>
    <row r="15" spans="1:56 16373:16373" ht="25.5" x14ac:dyDescent="0.25">
      <c r="A15" s="1" t="s">
        <v>99</v>
      </c>
      <c r="B15" s="69" t="s">
        <v>15</v>
      </c>
      <c r="C15" s="29">
        <v>7800000</v>
      </c>
      <c r="D15" s="29">
        <v>7800000</v>
      </c>
      <c r="E15" s="30" t="s">
        <v>100</v>
      </c>
      <c r="F15" s="31" t="s">
        <v>133</v>
      </c>
      <c r="G15" s="65">
        <v>0</v>
      </c>
      <c r="H15" s="77">
        <v>1950000</v>
      </c>
      <c r="I15" s="94">
        <f t="shared" si="8"/>
        <v>0.25</v>
      </c>
      <c r="J15" s="35">
        <v>0</v>
      </c>
      <c r="K15" s="95">
        <f t="shared" si="1"/>
        <v>0</v>
      </c>
      <c r="L15" s="9">
        <v>0</v>
      </c>
      <c r="M15" s="9">
        <v>0</v>
      </c>
      <c r="N15" s="94">
        <f t="shared" si="2"/>
        <v>0</v>
      </c>
      <c r="O15" s="3">
        <v>4.2361111111111106E-2</v>
      </c>
      <c r="P15" s="87">
        <f t="shared" si="6"/>
        <v>46032786.885245904</v>
      </c>
      <c r="Q15" s="70">
        <v>3</v>
      </c>
      <c r="R15" s="70">
        <v>5</v>
      </c>
      <c r="S15" s="70">
        <v>43.427328675253662</v>
      </c>
      <c r="T15" s="70">
        <v>0</v>
      </c>
      <c r="U15" s="82">
        <v>17.231334061538465</v>
      </c>
      <c r="V15" s="33">
        <v>4150590.7719999999</v>
      </c>
      <c r="W15" s="30">
        <v>0</v>
      </c>
      <c r="X15" s="65">
        <f t="shared" si="3"/>
        <v>0</v>
      </c>
      <c r="Y15" s="32">
        <v>2</v>
      </c>
      <c r="Z15" s="3">
        <v>33601101.420000009</v>
      </c>
      <c r="AA15" s="30" t="s">
        <v>127</v>
      </c>
      <c r="AB15" s="33">
        <v>0</v>
      </c>
      <c r="AC15" s="33">
        <v>0</v>
      </c>
      <c r="AD15" s="33">
        <v>0</v>
      </c>
      <c r="AE15" s="30" t="s">
        <v>127</v>
      </c>
      <c r="AF15" s="30"/>
      <c r="AG15" s="30"/>
      <c r="AH15" s="63"/>
      <c r="AI15" s="63"/>
      <c r="AJ15" s="50"/>
      <c r="AK15" s="62"/>
      <c r="AL15" s="75">
        <v>21000000</v>
      </c>
      <c r="AM15" s="75">
        <v>9750000</v>
      </c>
      <c r="AN15" s="75">
        <v>4673000</v>
      </c>
      <c r="AO15" s="75">
        <v>388</v>
      </c>
      <c r="AP15" s="52">
        <f t="shared" si="4"/>
        <v>0.47928205128205126</v>
      </c>
      <c r="AQ15" s="89">
        <f t="shared" si="5"/>
        <v>0.47928205128205126</v>
      </c>
      <c r="AR15" s="62"/>
      <c r="AS15" s="62"/>
      <c r="AT15" s="5"/>
      <c r="AU15" s="62"/>
      <c r="AX15" s="93"/>
      <c r="AZ15" s="93"/>
    </row>
    <row r="16" spans="1:56 16373:16373" ht="25.5" x14ac:dyDescent="0.25">
      <c r="A16" s="1" t="s">
        <v>107</v>
      </c>
      <c r="B16" s="69" t="s">
        <v>15</v>
      </c>
      <c r="C16" s="29">
        <v>12000000</v>
      </c>
      <c r="D16" s="29">
        <v>12000000</v>
      </c>
      <c r="E16" s="30" t="s">
        <v>108</v>
      </c>
      <c r="F16" s="31" t="s">
        <v>109</v>
      </c>
      <c r="G16" s="65">
        <v>0</v>
      </c>
      <c r="H16" s="77">
        <v>9982143</v>
      </c>
      <c r="I16" s="94">
        <f t="shared" si="8"/>
        <v>0.83184524999999998</v>
      </c>
      <c r="J16" s="35">
        <v>0</v>
      </c>
      <c r="K16" s="95">
        <f t="shared" si="1"/>
        <v>0</v>
      </c>
      <c r="L16" s="9">
        <v>0</v>
      </c>
      <c r="M16" s="9">
        <v>0</v>
      </c>
      <c r="N16" s="94">
        <f t="shared" si="2"/>
        <v>0</v>
      </c>
      <c r="O16" s="21" t="s">
        <v>20</v>
      </c>
      <c r="P16" s="21" t="s">
        <v>20</v>
      </c>
      <c r="Q16" s="70">
        <v>2</v>
      </c>
      <c r="R16" s="70">
        <v>5</v>
      </c>
      <c r="S16" s="70">
        <v>0</v>
      </c>
      <c r="T16" s="70">
        <v>0.85423728635361185</v>
      </c>
      <c r="U16" s="81">
        <v>-9.7674417206806197E-2</v>
      </c>
      <c r="V16" s="9">
        <v>30742017.399999999</v>
      </c>
      <c r="W16" s="9">
        <v>0</v>
      </c>
      <c r="X16" s="65">
        <f t="shared" si="3"/>
        <v>0</v>
      </c>
      <c r="Y16" s="32">
        <v>1</v>
      </c>
      <c r="Z16" s="3">
        <v>-975000</v>
      </c>
      <c r="AA16" s="30" t="s">
        <v>25</v>
      </c>
      <c r="AB16" s="33">
        <v>975000</v>
      </c>
      <c r="AC16" s="33">
        <v>975000</v>
      </c>
      <c r="AD16" s="84">
        <f>AC16/V16</f>
        <v>3.1715550326895596E-2</v>
      </c>
      <c r="AE16" s="21" t="s">
        <v>21</v>
      </c>
      <c r="AF16" s="30"/>
      <c r="AG16" s="30"/>
      <c r="AH16" s="63"/>
      <c r="AI16" s="63"/>
      <c r="AJ16" s="50"/>
      <c r="AK16" s="62"/>
      <c r="AL16" s="9">
        <v>12000000</v>
      </c>
      <c r="AM16" s="9">
        <v>0</v>
      </c>
      <c r="AN16" s="9">
        <v>0</v>
      </c>
      <c r="AO16" s="9">
        <v>0</v>
      </c>
      <c r="AP16" s="79" t="s">
        <v>20</v>
      </c>
      <c r="AQ16" s="79" t="s">
        <v>20</v>
      </c>
      <c r="AR16" s="62"/>
      <c r="AS16" s="62"/>
      <c r="AT16" s="18"/>
      <c r="AU16" s="62"/>
      <c r="AX16" s="93"/>
      <c r="AZ16" s="93"/>
    </row>
    <row r="17" spans="1:47" ht="51" x14ac:dyDescent="0.25">
      <c r="A17" s="46" t="s">
        <v>246</v>
      </c>
      <c r="B17" s="69" t="s">
        <v>15</v>
      </c>
      <c r="C17" s="29">
        <v>5000000</v>
      </c>
      <c r="D17" s="29">
        <v>5000000</v>
      </c>
      <c r="E17" s="30" t="s">
        <v>83</v>
      </c>
      <c r="F17" s="31" t="s">
        <v>249</v>
      </c>
      <c r="G17" s="65">
        <v>1</v>
      </c>
      <c r="H17" s="77">
        <v>5000000</v>
      </c>
      <c r="I17" s="94">
        <f t="shared" si="8"/>
        <v>1</v>
      </c>
      <c r="J17" s="35">
        <v>0</v>
      </c>
      <c r="K17" s="95">
        <f t="shared" si="1"/>
        <v>0</v>
      </c>
      <c r="L17" s="9">
        <v>0</v>
      </c>
      <c r="M17" s="9">
        <v>0</v>
      </c>
      <c r="N17" s="94">
        <f t="shared" si="2"/>
        <v>0</v>
      </c>
      <c r="O17" s="21" t="s">
        <v>20</v>
      </c>
      <c r="P17" s="21" t="s">
        <v>20</v>
      </c>
      <c r="Q17" s="70" t="s">
        <v>252</v>
      </c>
      <c r="R17" s="70" t="s">
        <v>167</v>
      </c>
      <c r="S17" s="70">
        <v>11.486941108104469</v>
      </c>
      <c r="T17" s="70">
        <v>0</v>
      </c>
      <c r="U17" s="81">
        <v>9.0655599999999996</v>
      </c>
      <c r="V17" s="30">
        <v>4446545.5999999996</v>
      </c>
      <c r="W17" s="30">
        <v>3190817</v>
      </c>
      <c r="X17" s="65">
        <f t="shared" si="3"/>
        <v>0.71759457498872836</v>
      </c>
      <c r="Y17" s="32">
        <v>2</v>
      </c>
      <c r="Z17" s="3">
        <v>45327800</v>
      </c>
      <c r="AA17" s="30" t="s">
        <v>21</v>
      </c>
      <c r="AB17" s="33">
        <v>0</v>
      </c>
      <c r="AC17" s="33">
        <v>0</v>
      </c>
      <c r="AD17" s="33">
        <v>0</v>
      </c>
      <c r="AE17" s="33">
        <v>0</v>
      </c>
      <c r="AF17" s="30"/>
      <c r="AG17" s="30"/>
      <c r="AH17" s="63"/>
      <c r="AI17" s="63"/>
      <c r="AJ17" s="50"/>
      <c r="AK17" s="62"/>
      <c r="AL17" s="35">
        <v>10000000</v>
      </c>
      <c r="AM17" s="35">
        <v>1165000</v>
      </c>
      <c r="AN17" s="35">
        <v>348000</v>
      </c>
      <c r="AO17" s="35">
        <v>89</v>
      </c>
      <c r="AP17" s="52">
        <f t="shared" si="4"/>
        <v>0.29871244635193134</v>
      </c>
      <c r="AQ17" s="89">
        <f t="shared" si="5"/>
        <v>0.29871244635193134</v>
      </c>
      <c r="AR17" s="62"/>
      <c r="AS17" s="62"/>
      <c r="AT17" s="5"/>
      <c r="AU17" s="62"/>
    </row>
    <row r="18" spans="1:47" x14ac:dyDescent="0.25">
      <c r="A18" s="1" t="s">
        <v>122</v>
      </c>
      <c r="B18" s="69" t="s">
        <v>15</v>
      </c>
      <c r="C18" s="29">
        <v>5000000</v>
      </c>
      <c r="D18" s="29">
        <v>5000000</v>
      </c>
      <c r="E18" s="30" t="s">
        <v>100</v>
      </c>
      <c r="F18" s="31" t="s">
        <v>125</v>
      </c>
      <c r="G18" s="65">
        <f>1/6</f>
        <v>0.16666666666666666</v>
      </c>
      <c r="H18" s="77">
        <v>1657025.91</v>
      </c>
      <c r="I18" s="94">
        <f t="shared" si="8"/>
        <v>0.33140518199999996</v>
      </c>
      <c r="J18" s="35">
        <v>0</v>
      </c>
      <c r="K18" s="95">
        <f t="shared" si="1"/>
        <v>0</v>
      </c>
      <c r="L18" s="9">
        <v>0</v>
      </c>
      <c r="M18" s="9">
        <v>0</v>
      </c>
      <c r="N18" s="94">
        <f t="shared" si="2"/>
        <v>0</v>
      </c>
      <c r="O18" s="21" t="s">
        <v>20</v>
      </c>
      <c r="P18" s="21" t="s">
        <v>20</v>
      </c>
      <c r="Q18" s="70">
        <v>2</v>
      </c>
      <c r="R18" s="70">
        <v>1.2</v>
      </c>
      <c r="S18" s="70">
        <v>0</v>
      </c>
      <c r="T18" s="70">
        <v>0</v>
      </c>
      <c r="U18" s="82">
        <v>0.64047218187433175</v>
      </c>
      <c r="V18" s="9">
        <v>628332.82999999996</v>
      </c>
      <c r="W18" s="30">
        <v>17624.25</v>
      </c>
      <c r="X18" s="65">
        <f t="shared" si="3"/>
        <v>2.8049226713173656E-2</v>
      </c>
      <c r="Y18" s="32">
        <v>2</v>
      </c>
      <c r="Z18" s="3">
        <v>1061279</v>
      </c>
      <c r="AA18" s="30" t="s">
        <v>127</v>
      </c>
      <c r="AB18" s="33">
        <v>0</v>
      </c>
      <c r="AC18" s="9">
        <v>0</v>
      </c>
      <c r="AD18" s="84">
        <f t="shared" si="7"/>
        <v>0</v>
      </c>
      <c r="AE18" s="33">
        <v>0</v>
      </c>
      <c r="AF18" s="30"/>
      <c r="AG18" s="30"/>
      <c r="AH18" s="63"/>
      <c r="AI18" s="63"/>
      <c r="AJ18" s="50"/>
      <c r="AK18" s="62"/>
      <c r="AL18" s="9">
        <v>5000000</v>
      </c>
      <c r="AM18" s="9">
        <v>4383000</v>
      </c>
      <c r="AN18" s="9">
        <f>41000+41000+41000+193000+1165000</f>
        <v>1481000</v>
      </c>
      <c r="AO18" s="9">
        <v>125</v>
      </c>
      <c r="AP18" s="52">
        <f t="shared" si="4"/>
        <v>0.33789641797855352</v>
      </c>
      <c r="AQ18" s="89">
        <f t="shared" si="5"/>
        <v>0.33789641797855352</v>
      </c>
      <c r="AR18" s="62"/>
      <c r="AS18" s="62"/>
      <c r="AT18" s="5"/>
      <c r="AU18" s="62"/>
    </row>
    <row r="19" spans="1:47" ht="63.75" x14ac:dyDescent="0.25">
      <c r="A19" s="1" t="s">
        <v>87</v>
      </c>
      <c r="B19" s="69" t="s">
        <v>15</v>
      </c>
      <c r="C19" s="29">
        <v>1500000</v>
      </c>
      <c r="D19" s="29">
        <v>1500000</v>
      </c>
      <c r="E19" s="30" t="s">
        <v>83</v>
      </c>
      <c r="F19" s="31" t="s">
        <v>154</v>
      </c>
      <c r="G19" s="65">
        <v>0</v>
      </c>
      <c r="H19" s="77">
        <v>0</v>
      </c>
      <c r="I19" s="53" t="s">
        <v>20</v>
      </c>
      <c r="J19" s="35"/>
      <c r="K19" s="86" t="e">
        <f t="shared" si="1"/>
        <v>#DIV/0!</v>
      </c>
      <c r="L19" s="9"/>
      <c r="M19" s="9"/>
      <c r="N19" s="78" t="e">
        <f t="shared" si="2"/>
        <v>#DIV/0!</v>
      </c>
      <c r="O19" s="3">
        <v>4.2361111111111099E-2</v>
      </c>
      <c r="P19" s="87">
        <f t="shared" si="6"/>
        <v>0</v>
      </c>
      <c r="Q19" s="70">
        <v>3</v>
      </c>
      <c r="R19" s="70">
        <v>6.2</v>
      </c>
      <c r="S19" s="70">
        <v>9.2772915172413786</v>
      </c>
      <c r="T19" s="70">
        <v>5.2252873793103447</v>
      </c>
      <c r="U19" s="81" t="e">
        <v>#DIV/0!</v>
      </c>
      <c r="V19" s="33">
        <v>1907184.7780000002</v>
      </c>
      <c r="W19" s="30">
        <v>0</v>
      </c>
      <c r="X19" s="84">
        <f t="shared" si="3"/>
        <v>0</v>
      </c>
      <c r="Y19" s="32">
        <v>1</v>
      </c>
      <c r="Z19" s="3">
        <v>1896679.85</v>
      </c>
      <c r="AA19" s="30" t="s">
        <v>21</v>
      </c>
      <c r="AB19" s="33">
        <v>757666.67</v>
      </c>
      <c r="AC19" s="33">
        <v>757666.67</v>
      </c>
      <c r="AD19" s="84">
        <f t="shared" si="7"/>
        <v>0.39726967137108726</v>
      </c>
      <c r="AE19" s="21" t="s">
        <v>21</v>
      </c>
      <c r="AF19" s="30"/>
      <c r="AG19" s="30"/>
      <c r="AH19" s="63"/>
      <c r="AI19" s="63"/>
      <c r="AJ19" s="50"/>
      <c r="AK19" s="62"/>
      <c r="AL19" s="75">
        <v>2000000</v>
      </c>
      <c r="AM19" s="75">
        <v>2525000</v>
      </c>
      <c r="AN19" s="75">
        <v>0</v>
      </c>
      <c r="AO19" s="75">
        <v>0</v>
      </c>
      <c r="AP19" s="79" t="s">
        <v>20</v>
      </c>
      <c r="AQ19" s="79" t="s">
        <v>20</v>
      </c>
      <c r="AR19" s="62"/>
      <c r="AS19" s="62"/>
      <c r="AT19" s="18"/>
      <c r="AU19" s="62"/>
    </row>
    <row r="20" spans="1:47" ht="25.5" x14ac:dyDescent="0.25">
      <c r="A20" s="68" t="s">
        <v>14</v>
      </c>
      <c r="B20" s="69" t="s">
        <v>15</v>
      </c>
      <c r="C20" s="30">
        <v>10000000</v>
      </c>
      <c r="D20" s="30">
        <v>5000000</v>
      </c>
      <c r="E20" s="30" t="s">
        <v>16</v>
      </c>
      <c r="F20" s="32" t="s">
        <v>19</v>
      </c>
      <c r="G20" s="65">
        <v>1</v>
      </c>
      <c r="H20" s="77">
        <v>300000</v>
      </c>
      <c r="I20" s="78">
        <f t="shared" si="0"/>
        <v>33.333333333333336</v>
      </c>
      <c r="J20" s="35"/>
      <c r="K20" s="86">
        <f t="shared" si="1"/>
        <v>0</v>
      </c>
      <c r="L20" s="75"/>
      <c r="M20" s="75"/>
      <c r="N20" s="78">
        <f t="shared" si="2"/>
        <v>0</v>
      </c>
      <c r="O20" s="53" t="s">
        <v>20</v>
      </c>
      <c r="P20" s="53" t="s">
        <v>20</v>
      </c>
      <c r="Q20" s="70" t="s">
        <v>82</v>
      </c>
      <c r="R20" s="71">
        <v>1.19</v>
      </c>
      <c r="S20" s="70" t="s">
        <v>20</v>
      </c>
      <c r="T20" s="70" t="s">
        <v>20</v>
      </c>
      <c r="U20" s="81" t="s">
        <v>20</v>
      </c>
      <c r="V20" s="30" t="s">
        <v>20</v>
      </c>
      <c r="W20" s="30" t="s">
        <v>20</v>
      </c>
      <c r="X20" s="84" t="s">
        <v>20</v>
      </c>
      <c r="Y20" s="32">
        <v>2</v>
      </c>
      <c r="Z20" s="33" t="s">
        <v>20</v>
      </c>
      <c r="AA20" s="30" t="s">
        <v>31</v>
      </c>
      <c r="AB20" s="33" t="s">
        <v>20</v>
      </c>
      <c r="AC20" s="30" t="s">
        <v>20</v>
      </c>
      <c r="AD20" s="30" t="s">
        <v>20</v>
      </c>
      <c r="AE20" s="33" t="s">
        <v>20</v>
      </c>
      <c r="AF20" s="15"/>
      <c r="AG20" s="15"/>
      <c r="AH20" s="9"/>
      <c r="AI20" s="9"/>
      <c r="AJ20" s="50"/>
      <c r="AK20" s="62"/>
      <c r="AL20" s="35">
        <v>10000000</v>
      </c>
      <c r="AM20" s="35">
        <v>3413892</v>
      </c>
      <c r="AN20" s="35">
        <v>3950061</v>
      </c>
      <c r="AO20" s="35">
        <v>180</v>
      </c>
      <c r="AP20" s="52">
        <f t="shared" si="4"/>
        <v>1.1570550562232198</v>
      </c>
      <c r="AQ20" s="89">
        <f t="shared" si="5"/>
        <v>1.1570550562232198</v>
      </c>
      <c r="AR20" s="62"/>
      <c r="AS20" s="62"/>
      <c r="AT20" s="5"/>
      <c r="AU20" s="62"/>
    </row>
    <row r="21" spans="1:47" ht="25.5" x14ac:dyDescent="0.25">
      <c r="A21" s="1" t="s">
        <v>89</v>
      </c>
      <c r="B21" s="69" t="s">
        <v>48</v>
      </c>
      <c r="C21" s="29">
        <v>5000000</v>
      </c>
      <c r="D21" s="29">
        <v>5000000</v>
      </c>
      <c r="E21" s="30" t="s">
        <v>85</v>
      </c>
      <c r="F21" s="31" t="s">
        <v>95</v>
      </c>
      <c r="G21" s="65">
        <v>1</v>
      </c>
      <c r="H21" s="77">
        <v>0</v>
      </c>
      <c r="I21" s="53" t="s">
        <v>20</v>
      </c>
      <c r="J21" s="35"/>
      <c r="K21" s="86" t="e">
        <f t="shared" si="1"/>
        <v>#DIV/0!</v>
      </c>
      <c r="L21" s="9"/>
      <c r="M21" s="9"/>
      <c r="N21" s="78" t="e">
        <f t="shared" si="2"/>
        <v>#DIV/0!</v>
      </c>
      <c r="O21" s="53" t="s">
        <v>20</v>
      </c>
      <c r="P21" s="53" t="s">
        <v>20</v>
      </c>
      <c r="Q21" s="30" t="s">
        <v>20</v>
      </c>
      <c r="R21" s="30" t="s">
        <v>20</v>
      </c>
      <c r="S21" s="70" t="s">
        <v>20</v>
      </c>
      <c r="T21" s="70" t="s">
        <v>20</v>
      </c>
      <c r="U21" s="81" t="s">
        <v>20</v>
      </c>
      <c r="V21" s="30" t="s">
        <v>20</v>
      </c>
      <c r="W21" s="30" t="s">
        <v>20</v>
      </c>
      <c r="X21" s="84" t="s">
        <v>20</v>
      </c>
      <c r="Y21" s="32">
        <v>2</v>
      </c>
      <c r="Z21" s="3" t="s">
        <v>20</v>
      </c>
      <c r="AA21" s="30" t="s">
        <v>20</v>
      </c>
      <c r="AB21" s="33" t="s">
        <v>20</v>
      </c>
      <c r="AC21" s="30" t="s">
        <v>20</v>
      </c>
      <c r="AD21" s="30" t="s">
        <v>20</v>
      </c>
      <c r="AE21" s="33" t="s">
        <v>20</v>
      </c>
      <c r="AF21" s="30"/>
      <c r="AG21" s="30"/>
      <c r="AH21" s="63"/>
      <c r="AI21" s="63"/>
      <c r="AJ21" s="50"/>
      <c r="AK21" s="62"/>
      <c r="AL21" s="75">
        <v>20000000</v>
      </c>
      <c r="AM21" s="75">
        <v>14000000</v>
      </c>
      <c r="AN21" s="75">
        <v>0</v>
      </c>
      <c r="AO21" s="75">
        <v>0</v>
      </c>
      <c r="AP21" s="79" t="s">
        <v>20</v>
      </c>
      <c r="AQ21" s="79" t="s">
        <v>20</v>
      </c>
      <c r="AR21" s="62"/>
      <c r="AS21" s="62"/>
      <c r="AT21" s="5"/>
      <c r="AU21" s="62"/>
    </row>
    <row r="22" spans="1:47" ht="63.75" x14ac:dyDescent="0.25">
      <c r="A22" s="72" t="s">
        <v>50</v>
      </c>
      <c r="B22" s="69" t="s">
        <v>15</v>
      </c>
      <c r="C22" s="29">
        <v>10000000</v>
      </c>
      <c r="D22" s="29">
        <v>10000000</v>
      </c>
      <c r="E22" s="30" t="s">
        <v>16</v>
      </c>
      <c r="F22" s="32" t="s">
        <v>52</v>
      </c>
      <c r="G22" s="65">
        <f>3/8</f>
        <v>0.375</v>
      </c>
      <c r="H22" s="77">
        <v>8325975.5180000011</v>
      </c>
      <c r="I22" s="78">
        <f t="shared" si="0"/>
        <v>1.2010604617297889</v>
      </c>
      <c r="J22" s="35"/>
      <c r="K22" s="86">
        <f t="shared" si="1"/>
        <v>0</v>
      </c>
      <c r="L22" s="75"/>
      <c r="M22" s="75"/>
      <c r="N22" s="78">
        <f t="shared" si="2"/>
        <v>0</v>
      </c>
      <c r="O22" s="53" t="s">
        <v>20</v>
      </c>
      <c r="P22" s="53" t="s">
        <v>20</v>
      </c>
      <c r="Q22" s="70" t="s">
        <v>82</v>
      </c>
      <c r="R22" s="71">
        <v>1.19</v>
      </c>
      <c r="S22" s="70" t="s">
        <v>20</v>
      </c>
      <c r="T22" s="70" t="s">
        <v>20</v>
      </c>
      <c r="U22" s="81" t="s">
        <v>20</v>
      </c>
      <c r="V22" s="30" t="s">
        <v>20</v>
      </c>
      <c r="W22" s="30" t="s">
        <v>20</v>
      </c>
      <c r="X22" s="84" t="s">
        <v>20</v>
      </c>
      <c r="Y22" s="32">
        <v>2</v>
      </c>
      <c r="Z22" s="3" t="s">
        <v>20</v>
      </c>
      <c r="AA22" s="30" t="s">
        <v>21</v>
      </c>
      <c r="AB22" s="33" t="s">
        <v>20</v>
      </c>
      <c r="AC22" s="30" t="s">
        <v>20</v>
      </c>
      <c r="AD22" s="30" t="s">
        <v>20</v>
      </c>
      <c r="AE22" s="33" t="s">
        <v>20</v>
      </c>
      <c r="AF22" s="30"/>
      <c r="AG22" s="30"/>
      <c r="AH22" s="63"/>
      <c r="AI22" s="63"/>
      <c r="AJ22" s="50"/>
      <c r="AK22" s="62"/>
      <c r="AL22" s="35">
        <v>15000000</v>
      </c>
      <c r="AM22" s="35">
        <v>19690000</v>
      </c>
      <c r="AN22" s="35">
        <f>16000+161000</f>
        <v>177000</v>
      </c>
      <c r="AO22" s="35">
        <v>319</v>
      </c>
      <c r="AP22" s="52">
        <f t="shared" si="4"/>
        <v>8.9893346876587094E-3</v>
      </c>
      <c r="AQ22" s="89">
        <f t="shared" si="5"/>
        <v>8.9893346876587094E-3</v>
      </c>
      <c r="AR22" s="62"/>
      <c r="AS22" s="62"/>
      <c r="AT22" s="5"/>
      <c r="AU22" s="62"/>
    </row>
    <row r="23" spans="1:47" ht="25.5" x14ac:dyDescent="0.25">
      <c r="A23" s="1" t="s">
        <v>140</v>
      </c>
      <c r="B23" s="69" t="s">
        <v>15</v>
      </c>
      <c r="C23" s="29">
        <v>5000000</v>
      </c>
      <c r="D23" s="29">
        <v>5000000</v>
      </c>
      <c r="E23" s="30" t="s">
        <v>83</v>
      </c>
      <c r="F23" s="31" t="s">
        <v>150</v>
      </c>
      <c r="G23" s="65">
        <v>0</v>
      </c>
      <c r="H23" s="77">
        <v>3333333.3200000003</v>
      </c>
      <c r="I23" s="94">
        <f t="shared" ref="I23:I24" si="9">+H23/C23</f>
        <v>0.66666666400000008</v>
      </c>
      <c r="J23" s="35">
        <v>0</v>
      </c>
      <c r="K23" s="95">
        <f t="shared" si="1"/>
        <v>0</v>
      </c>
      <c r="L23" s="9">
        <v>0</v>
      </c>
      <c r="M23" s="9">
        <v>0</v>
      </c>
      <c r="N23" s="94">
        <f t="shared" si="2"/>
        <v>0</v>
      </c>
      <c r="O23" s="21" t="s">
        <v>20</v>
      </c>
      <c r="P23" s="21" t="s">
        <v>20</v>
      </c>
      <c r="Q23" s="70">
        <v>2.5</v>
      </c>
      <c r="R23" s="70">
        <v>2.5</v>
      </c>
      <c r="S23" s="70">
        <v>12.182756062537953</v>
      </c>
      <c r="T23" s="70">
        <v>1.2518576299851389</v>
      </c>
      <c r="U23" s="81">
        <v>1.7393261019573043</v>
      </c>
      <c r="V23" s="30">
        <v>1758713.6529999997</v>
      </c>
      <c r="W23" s="30">
        <v>2146840.5300000003</v>
      </c>
      <c r="X23" s="65">
        <f t="shared" si="3"/>
        <v>1.2206879308282714</v>
      </c>
      <c r="Y23" s="32">
        <v>1</v>
      </c>
      <c r="Z23" s="3">
        <v>5797753.6500000004</v>
      </c>
      <c r="AA23" s="30" t="s">
        <v>21</v>
      </c>
      <c r="AB23" s="33">
        <v>521607.35</v>
      </c>
      <c r="AC23" s="33">
        <v>521607.35</v>
      </c>
      <c r="AD23" s="84">
        <f t="shared" si="7"/>
        <v>0.29658457993445742</v>
      </c>
      <c r="AE23" s="21" t="s">
        <v>21</v>
      </c>
      <c r="AF23" s="30"/>
      <c r="AG23" s="30"/>
      <c r="AH23" s="63"/>
      <c r="AI23" s="63"/>
      <c r="AJ23" s="50"/>
      <c r="AK23" s="62"/>
      <c r="AL23" s="35">
        <v>15000000</v>
      </c>
      <c r="AM23" s="35">
        <v>9516000</v>
      </c>
      <c r="AN23" s="35">
        <v>0</v>
      </c>
      <c r="AO23" s="35">
        <v>0</v>
      </c>
      <c r="AP23" s="79" t="s">
        <v>20</v>
      </c>
      <c r="AQ23" s="79" t="s">
        <v>20</v>
      </c>
      <c r="AR23" s="62"/>
      <c r="AS23" s="62"/>
      <c r="AT23" s="18"/>
      <c r="AU23" s="62"/>
    </row>
    <row r="24" spans="1:47" x14ac:dyDescent="0.25">
      <c r="A24" s="1" t="s">
        <v>123</v>
      </c>
      <c r="B24" s="69" t="s">
        <v>15</v>
      </c>
      <c r="C24" s="29">
        <v>3500000</v>
      </c>
      <c r="D24" s="29">
        <v>3500000</v>
      </c>
      <c r="E24" s="30" t="s">
        <v>100</v>
      </c>
      <c r="F24" s="31" t="s">
        <v>126</v>
      </c>
      <c r="G24" s="65">
        <v>1</v>
      </c>
      <c r="H24" s="77">
        <v>1318572.46</v>
      </c>
      <c r="I24" s="94">
        <f t="shared" si="9"/>
        <v>0.37673498857142856</v>
      </c>
      <c r="J24" s="35">
        <v>0</v>
      </c>
      <c r="K24" s="95">
        <f t="shared" si="1"/>
        <v>0</v>
      </c>
      <c r="L24" s="9">
        <v>0</v>
      </c>
      <c r="M24" s="9">
        <v>0</v>
      </c>
      <c r="N24" s="94">
        <f t="shared" si="2"/>
        <v>0</v>
      </c>
      <c r="O24" s="21" t="s">
        <v>20</v>
      </c>
      <c r="P24" s="21" t="s">
        <v>20</v>
      </c>
      <c r="Q24" s="70">
        <v>1.2</v>
      </c>
      <c r="R24" s="70">
        <v>1.2</v>
      </c>
      <c r="S24" s="70">
        <v>0.84005957923123165</v>
      </c>
      <c r="T24" s="70">
        <v>1</v>
      </c>
      <c r="U24" s="81">
        <v>0</v>
      </c>
      <c r="V24" s="33">
        <v>138511.51</v>
      </c>
      <c r="W24" s="30">
        <v>0</v>
      </c>
      <c r="X24" s="65">
        <f t="shared" si="3"/>
        <v>0</v>
      </c>
      <c r="Y24" s="32">
        <v>2</v>
      </c>
      <c r="Z24" s="9">
        <v>0</v>
      </c>
      <c r="AA24" s="30" t="s">
        <v>21</v>
      </c>
      <c r="AB24" s="33" t="s">
        <v>20</v>
      </c>
      <c r="AC24" s="9">
        <v>138511.51</v>
      </c>
      <c r="AD24" s="84">
        <f t="shared" si="7"/>
        <v>1</v>
      </c>
      <c r="AE24" s="21" t="s">
        <v>21</v>
      </c>
      <c r="AF24" s="15"/>
      <c r="AG24" s="15"/>
      <c r="AH24" s="9"/>
      <c r="AI24" s="9"/>
      <c r="AJ24" s="50"/>
      <c r="AK24" s="62"/>
      <c r="AL24" s="9">
        <v>17000000</v>
      </c>
      <c r="AM24" s="9">
        <v>81589000</v>
      </c>
      <c r="AN24" s="9">
        <v>0</v>
      </c>
      <c r="AO24" s="9">
        <v>0</v>
      </c>
      <c r="AP24" s="79" t="s">
        <v>20</v>
      </c>
      <c r="AQ24" s="79" t="s">
        <v>20</v>
      </c>
      <c r="AR24" s="62"/>
      <c r="AS24" s="62"/>
      <c r="AT24" s="5"/>
      <c r="AU24" s="62"/>
    </row>
    <row r="25" spans="1:47" ht="38.25" x14ac:dyDescent="0.25">
      <c r="A25" s="72" t="s">
        <v>63</v>
      </c>
      <c r="B25" s="69" t="s">
        <v>15</v>
      </c>
      <c r="C25" s="29">
        <v>5000000</v>
      </c>
      <c r="D25" s="29">
        <v>5000000</v>
      </c>
      <c r="E25" s="30" t="s">
        <v>16</v>
      </c>
      <c r="F25" s="31" t="s">
        <v>64</v>
      </c>
      <c r="G25" s="65">
        <v>1</v>
      </c>
      <c r="H25" s="34">
        <v>0</v>
      </c>
      <c r="I25" s="53" t="s">
        <v>20</v>
      </c>
      <c r="J25" s="35"/>
      <c r="K25" s="86" t="e">
        <f t="shared" si="1"/>
        <v>#DIV/0!</v>
      </c>
      <c r="L25" s="35"/>
      <c r="M25" s="86"/>
      <c r="N25" s="78" t="e">
        <f t="shared" si="2"/>
        <v>#DIV/0!</v>
      </c>
      <c r="O25" s="53" t="s">
        <v>20</v>
      </c>
      <c r="P25" s="53" t="s">
        <v>20</v>
      </c>
      <c r="Q25" s="30" t="s">
        <v>20</v>
      </c>
      <c r="R25" s="30" t="s">
        <v>20</v>
      </c>
      <c r="S25" s="70" t="s">
        <v>20</v>
      </c>
      <c r="T25" s="70" t="s">
        <v>20</v>
      </c>
      <c r="U25" s="81" t="s">
        <v>20</v>
      </c>
      <c r="V25" s="30" t="s">
        <v>20</v>
      </c>
      <c r="W25" s="30" t="s">
        <v>20</v>
      </c>
      <c r="X25" s="84" t="s">
        <v>20</v>
      </c>
      <c r="Y25" s="32">
        <v>2</v>
      </c>
      <c r="Z25" s="3" t="s">
        <v>20</v>
      </c>
      <c r="AA25" s="30" t="s">
        <v>20</v>
      </c>
      <c r="AB25" s="33">
        <v>277023.02</v>
      </c>
      <c r="AC25" s="30" t="s">
        <v>20</v>
      </c>
      <c r="AD25" s="30" t="s">
        <v>20</v>
      </c>
      <c r="AE25" s="33" t="s">
        <v>20</v>
      </c>
      <c r="AF25" s="30"/>
      <c r="AG25" s="30"/>
      <c r="AH25" s="63"/>
      <c r="AI25" s="63"/>
      <c r="AJ25" s="50"/>
      <c r="AK25" s="62"/>
      <c r="AL25" s="35">
        <v>12000000</v>
      </c>
      <c r="AM25" s="35">
        <v>0</v>
      </c>
      <c r="AN25" s="35">
        <v>0</v>
      </c>
      <c r="AO25" s="35">
        <v>0</v>
      </c>
      <c r="AP25" s="79" t="s">
        <v>20</v>
      </c>
      <c r="AQ25" s="79" t="s">
        <v>20</v>
      </c>
      <c r="AR25" s="62"/>
      <c r="AS25" s="62"/>
      <c r="AT25" s="5"/>
      <c r="AU25" s="62"/>
    </row>
    <row r="26" spans="1:47" ht="51" x14ac:dyDescent="0.25">
      <c r="A26" s="46" t="s">
        <v>141</v>
      </c>
      <c r="B26" s="69" t="s">
        <v>15</v>
      </c>
      <c r="C26" s="29">
        <v>2500000</v>
      </c>
      <c r="D26" s="29">
        <v>2500000</v>
      </c>
      <c r="E26" s="30" t="s">
        <v>16</v>
      </c>
      <c r="F26" s="31" t="s">
        <v>149</v>
      </c>
      <c r="G26" s="65">
        <f>5/6</f>
        <v>0.83333333333333337</v>
      </c>
      <c r="H26" s="77">
        <v>3864499.3899999997</v>
      </c>
      <c r="I26" s="78">
        <f t="shared" si="0"/>
        <v>0.64691432128806736</v>
      </c>
      <c r="J26" s="35"/>
      <c r="K26" s="86">
        <f t="shared" si="1"/>
        <v>0</v>
      </c>
      <c r="L26" s="35"/>
      <c r="M26" s="86"/>
      <c r="N26" s="78">
        <f t="shared" si="2"/>
        <v>0</v>
      </c>
      <c r="O26" s="53" t="s">
        <v>20</v>
      </c>
      <c r="P26" s="53" t="s">
        <v>20</v>
      </c>
      <c r="Q26" s="70" t="s">
        <v>82</v>
      </c>
      <c r="R26" s="71">
        <v>1.19</v>
      </c>
      <c r="S26" s="70" t="s">
        <v>20</v>
      </c>
      <c r="T26" s="70" t="s">
        <v>20</v>
      </c>
      <c r="U26" s="81" t="s">
        <v>20</v>
      </c>
      <c r="V26" s="30" t="s">
        <v>20</v>
      </c>
      <c r="W26" s="30" t="s">
        <v>20</v>
      </c>
      <c r="X26" s="84" t="s">
        <v>20</v>
      </c>
      <c r="Y26" s="32">
        <v>2</v>
      </c>
      <c r="Z26" s="3" t="s">
        <v>20</v>
      </c>
      <c r="AA26" s="30" t="s">
        <v>21</v>
      </c>
      <c r="AB26" s="33" t="s">
        <v>20</v>
      </c>
      <c r="AC26" s="30" t="s">
        <v>20</v>
      </c>
      <c r="AD26" s="30" t="s">
        <v>20</v>
      </c>
      <c r="AE26" s="33" t="s">
        <v>20</v>
      </c>
      <c r="AF26" s="30"/>
      <c r="AG26" s="30"/>
      <c r="AH26" s="63"/>
      <c r="AI26" s="63"/>
      <c r="AJ26" s="50"/>
      <c r="AK26" s="62"/>
      <c r="AL26" s="35">
        <v>4000000</v>
      </c>
      <c r="AM26" s="35">
        <v>3028000</v>
      </c>
      <c r="AN26" s="35">
        <v>7000</v>
      </c>
      <c r="AO26" s="35">
        <v>10</v>
      </c>
      <c r="AP26" s="52">
        <f t="shared" si="4"/>
        <v>2.311756935270806E-3</v>
      </c>
      <c r="AQ26" s="89">
        <f t="shared" si="5"/>
        <v>2.311756935270806E-3</v>
      </c>
      <c r="AR26" s="62"/>
      <c r="AS26" s="62"/>
      <c r="AT26" s="5"/>
      <c r="AU26" s="62"/>
    </row>
    <row r="27" spans="1:47" x14ac:dyDescent="0.25">
      <c r="A27" s="72" t="s">
        <v>55</v>
      </c>
      <c r="B27" s="69" t="s">
        <v>15</v>
      </c>
      <c r="C27" s="29">
        <v>2500000</v>
      </c>
      <c r="D27" s="29">
        <v>2500000</v>
      </c>
      <c r="E27" s="30" t="s">
        <v>16</v>
      </c>
      <c r="F27" s="31" t="s">
        <v>56</v>
      </c>
      <c r="G27" s="65"/>
      <c r="H27" s="34">
        <v>0</v>
      </c>
      <c r="I27" s="53" t="s">
        <v>20</v>
      </c>
      <c r="J27" s="35"/>
      <c r="K27" s="86" t="e">
        <f t="shared" si="1"/>
        <v>#DIV/0!</v>
      </c>
      <c r="L27" s="9"/>
      <c r="M27" s="9"/>
      <c r="N27" s="78" t="e">
        <f t="shared" si="2"/>
        <v>#DIV/0!</v>
      </c>
      <c r="O27" s="53" t="s">
        <v>20</v>
      </c>
      <c r="P27" s="53" t="s">
        <v>20</v>
      </c>
      <c r="Q27" s="30" t="s">
        <v>20</v>
      </c>
      <c r="R27" s="30" t="s">
        <v>20</v>
      </c>
      <c r="S27" s="70" t="s">
        <v>20</v>
      </c>
      <c r="T27" s="70" t="s">
        <v>20</v>
      </c>
      <c r="U27" s="81" t="s">
        <v>20</v>
      </c>
      <c r="V27" s="30" t="s">
        <v>20</v>
      </c>
      <c r="W27" s="30" t="s">
        <v>20</v>
      </c>
      <c r="X27" s="84" t="s">
        <v>20</v>
      </c>
      <c r="Y27" s="32">
        <v>2</v>
      </c>
      <c r="Z27" s="3" t="s">
        <v>20</v>
      </c>
      <c r="AA27" s="30" t="s">
        <v>20</v>
      </c>
      <c r="AB27" s="33" t="s">
        <v>20</v>
      </c>
      <c r="AC27" s="30" t="s">
        <v>20</v>
      </c>
      <c r="AD27" s="30" t="s">
        <v>20</v>
      </c>
      <c r="AE27" s="33" t="s">
        <v>20</v>
      </c>
      <c r="AF27" s="15"/>
      <c r="AG27" s="15"/>
      <c r="AH27" s="9"/>
      <c r="AI27" s="9"/>
      <c r="AJ27" s="50"/>
      <c r="AK27" s="62"/>
      <c r="AL27" s="35">
        <v>2500000</v>
      </c>
      <c r="AM27" s="35">
        <v>0</v>
      </c>
      <c r="AN27" s="35">
        <v>0</v>
      </c>
      <c r="AO27" s="35">
        <v>0</v>
      </c>
      <c r="AP27" s="79" t="s">
        <v>20</v>
      </c>
      <c r="AQ27" s="79" t="s">
        <v>20</v>
      </c>
      <c r="AR27" s="62"/>
      <c r="AS27" s="62"/>
      <c r="AT27" s="5"/>
      <c r="AU27" s="62"/>
    </row>
    <row r="28" spans="1:47" ht="38.25" x14ac:dyDescent="0.25">
      <c r="A28" s="72" t="s">
        <v>57</v>
      </c>
      <c r="B28" s="69" t="s">
        <v>15</v>
      </c>
      <c r="C28" s="29">
        <v>12500000</v>
      </c>
      <c r="D28" s="29">
        <v>12500000</v>
      </c>
      <c r="E28" s="30" t="s">
        <v>16</v>
      </c>
      <c r="F28" s="31" t="s">
        <v>58</v>
      </c>
      <c r="G28" s="65">
        <v>1</v>
      </c>
      <c r="H28" s="77">
        <v>9261746.362999998</v>
      </c>
      <c r="I28" s="78">
        <f t="shared" si="0"/>
        <v>1.349637477650715</v>
      </c>
      <c r="J28" s="35"/>
      <c r="K28" s="86">
        <f t="shared" si="1"/>
        <v>0</v>
      </c>
      <c r="L28" s="75"/>
      <c r="M28" s="75"/>
      <c r="N28" s="78">
        <f t="shared" si="2"/>
        <v>0</v>
      </c>
      <c r="O28" s="53" t="s">
        <v>20</v>
      </c>
      <c r="P28" s="53" t="s">
        <v>20</v>
      </c>
      <c r="Q28" s="70" t="s">
        <v>82</v>
      </c>
      <c r="R28" s="71">
        <v>1.19</v>
      </c>
      <c r="S28" s="70" t="s">
        <v>20</v>
      </c>
      <c r="T28" s="70" t="s">
        <v>20</v>
      </c>
      <c r="U28" s="82" t="s">
        <v>20</v>
      </c>
      <c r="V28" s="30" t="s">
        <v>20</v>
      </c>
      <c r="W28" s="30" t="s">
        <v>20</v>
      </c>
      <c r="X28" s="84" t="s">
        <v>20</v>
      </c>
      <c r="Y28" s="32">
        <v>2</v>
      </c>
      <c r="Z28" s="3" t="s">
        <v>20</v>
      </c>
      <c r="AA28" s="30" t="s">
        <v>21</v>
      </c>
      <c r="AB28" s="33" t="s">
        <v>20</v>
      </c>
      <c r="AC28" s="30" t="s">
        <v>20</v>
      </c>
      <c r="AD28" s="30" t="s">
        <v>20</v>
      </c>
      <c r="AE28" s="33" t="s">
        <v>20</v>
      </c>
      <c r="AF28" s="30"/>
      <c r="AG28" s="30"/>
      <c r="AH28" s="63"/>
      <c r="AI28" s="63"/>
      <c r="AJ28" s="50"/>
      <c r="AK28" s="62"/>
      <c r="AL28" s="35">
        <v>50000000</v>
      </c>
      <c r="AM28" s="35">
        <v>29482000</v>
      </c>
      <c r="AN28" s="35">
        <f>536000+536000+908000+536000+4636000</f>
        <v>7152000</v>
      </c>
      <c r="AO28" s="35">
        <v>720</v>
      </c>
      <c r="AP28" s="52">
        <f t="shared" si="4"/>
        <v>0.24258869818872533</v>
      </c>
      <c r="AQ28" s="89">
        <f t="shared" si="5"/>
        <v>0.24258869818872533</v>
      </c>
      <c r="AR28" s="62"/>
      <c r="AS28" s="62"/>
      <c r="AT28" s="18"/>
      <c r="AU28" s="62"/>
    </row>
    <row r="29" spans="1:47" x14ac:dyDescent="0.25">
      <c r="A29" s="1" t="s">
        <v>160</v>
      </c>
      <c r="B29" s="69" t="s">
        <v>15</v>
      </c>
      <c r="C29" s="29">
        <v>10000000</v>
      </c>
      <c r="D29" s="29">
        <v>10000000</v>
      </c>
      <c r="E29" s="30" t="s">
        <v>100</v>
      </c>
      <c r="F29" s="31" t="s">
        <v>162</v>
      </c>
      <c r="G29" s="65">
        <f>1/3</f>
        <v>0.33333333333333331</v>
      </c>
      <c r="H29" s="77">
        <v>1780913.86</v>
      </c>
      <c r="I29" s="94">
        <f>+H29/C29</f>
        <v>0.17809138600000002</v>
      </c>
      <c r="J29" s="35">
        <v>0</v>
      </c>
      <c r="K29" s="95">
        <f t="shared" si="1"/>
        <v>0</v>
      </c>
      <c r="L29" s="9">
        <v>0</v>
      </c>
      <c r="M29" s="9">
        <v>0</v>
      </c>
      <c r="N29" s="94">
        <f t="shared" si="2"/>
        <v>0</v>
      </c>
      <c r="O29" s="3">
        <f>0.0423611111111111/C29</f>
        <v>4.2361111111111099E-9</v>
      </c>
      <c r="P29" s="87">
        <f t="shared" si="6"/>
        <v>420412452196721.44</v>
      </c>
      <c r="Q29" s="70">
        <v>1.2</v>
      </c>
      <c r="R29" s="70">
        <v>1.2</v>
      </c>
      <c r="S29" s="70">
        <v>1.5</v>
      </c>
      <c r="T29" s="70">
        <v>1.5</v>
      </c>
      <c r="U29" s="81">
        <v>0</v>
      </c>
      <c r="V29" s="30" t="s">
        <v>20</v>
      </c>
      <c r="W29" s="30" t="s">
        <v>20</v>
      </c>
      <c r="X29" s="65" t="s">
        <v>20</v>
      </c>
      <c r="Y29" s="32">
        <v>2</v>
      </c>
      <c r="Z29" s="3">
        <v>0</v>
      </c>
      <c r="AA29" s="30" t="s">
        <v>21</v>
      </c>
      <c r="AB29" s="33" t="s">
        <v>20</v>
      </c>
      <c r="AC29" s="30" t="s">
        <v>20</v>
      </c>
      <c r="AD29" s="30" t="s">
        <v>20</v>
      </c>
      <c r="AE29" s="33" t="s">
        <v>20</v>
      </c>
      <c r="AF29" s="30"/>
      <c r="AG29" s="30"/>
      <c r="AH29" s="63"/>
      <c r="AI29" s="63"/>
      <c r="AJ29" s="50"/>
      <c r="AK29" s="62"/>
      <c r="AL29" s="35">
        <v>25000000</v>
      </c>
      <c r="AM29" s="9">
        <v>15401000</v>
      </c>
      <c r="AN29" s="9">
        <f>1287000+117000</f>
        <v>1404000</v>
      </c>
      <c r="AO29" s="9">
        <v>598</v>
      </c>
      <c r="AP29" s="52">
        <f t="shared" si="4"/>
        <v>9.1162911499253291E-2</v>
      </c>
      <c r="AQ29" s="89">
        <f t="shared" si="5"/>
        <v>9.1162911499253291E-2</v>
      </c>
      <c r="AR29" s="62"/>
      <c r="AS29" s="62"/>
      <c r="AT29" s="5"/>
      <c r="AU29" s="62"/>
    </row>
    <row r="30" spans="1:47" x14ac:dyDescent="0.25">
      <c r="A30" s="46" t="s">
        <v>131</v>
      </c>
      <c r="B30" s="69" t="s">
        <v>15</v>
      </c>
      <c r="C30" s="29">
        <v>1500000</v>
      </c>
      <c r="D30" s="29">
        <v>1500000</v>
      </c>
      <c r="E30" s="30" t="s">
        <v>16</v>
      </c>
      <c r="F30" s="31" t="s">
        <v>78</v>
      </c>
      <c r="G30" s="65">
        <v>1</v>
      </c>
      <c r="H30" s="77">
        <v>0</v>
      </c>
      <c r="I30" s="53" t="s">
        <v>20</v>
      </c>
      <c r="J30" s="35"/>
      <c r="K30" s="86" t="e">
        <f t="shared" si="1"/>
        <v>#DIV/0!</v>
      </c>
      <c r="L30" s="75"/>
      <c r="M30" s="75"/>
      <c r="N30" s="78" t="e">
        <f t="shared" si="2"/>
        <v>#DIV/0!</v>
      </c>
      <c r="O30" s="53" t="s">
        <v>20</v>
      </c>
      <c r="P30" s="53" t="s">
        <v>20</v>
      </c>
      <c r="Q30" s="30" t="s">
        <v>20</v>
      </c>
      <c r="R30" s="30" t="s">
        <v>20</v>
      </c>
      <c r="S30" s="70" t="s">
        <v>20</v>
      </c>
      <c r="T30" s="70" t="s">
        <v>20</v>
      </c>
      <c r="U30" s="82" t="s">
        <v>20</v>
      </c>
      <c r="V30" s="30" t="s">
        <v>20</v>
      </c>
      <c r="W30" s="30" t="s">
        <v>20</v>
      </c>
      <c r="X30" s="84" t="s">
        <v>20</v>
      </c>
      <c r="Y30" s="32">
        <v>2</v>
      </c>
      <c r="Z30" s="3" t="s">
        <v>20</v>
      </c>
      <c r="AA30" s="30" t="s">
        <v>21</v>
      </c>
      <c r="AB30" s="33" t="s">
        <v>20</v>
      </c>
      <c r="AC30" s="30" t="s">
        <v>20</v>
      </c>
      <c r="AD30" s="30" t="s">
        <v>20</v>
      </c>
      <c r="AE30" s="33" t="s">
        <v>20</v>
      </c>
      <c r="AF30" s="30"/>
      <c r="AG30" s="30"/>
      <c r="AH30" s="63"/>
      <c r="AI30" s="63"/>
      <c r="AJ30" s="50"/>
      <c r="AK30" s="62"/>
      <c r="AL30" s="35">
        <v>15000000</v>
      </c>
      <c r="AM30" s="35">
        <v>1284000</v>
      </c>
      <c r="AN30" s="35">
        <v>0</v>
      </c>
      <c r="AO30" s="35">
        <v>0</v>
      </c>
      <c r="AP30" s="79" t="s">
        <v>20</v>
      </c>
      <c r="AQ30" s="79" t="s">
        <v>20</v>
      </c>
      <c r="AR30" s="62"/>
      <c r="AS30" s="62"/>
      <c r="AT30" s="5"/>
      <c r="AU30" s="62"/>
    </row>
    <row r="31" spans="1:47" ht="51" x14ac:dyDescent="0.25">
      <c r="A31" s="46" t="s">
        <v>90</v>
      </c>
      <c r="B31" s="69" t="s">
        <v>15</v>
      </c>
      <c r="C31" s="29">
        <v>2000000</v>
      </c>
      <c r="D31" s="29">
        <v>2000000</v>
      </c>
      <c r="E31" s="30" t="s">
        <v>16</v>
      </c>
      <c r="F31" s="31" t="s">
        <v>94</v>
      </c>
      <c r="G31" s="65">
        <v>1</v>
      </c>
      <c r="H31" s="77">
        <v>945105.22500000021</v>
      </c>
      <c r="I31" s="78">
        <f t="shared" si="0"/>
        <v>2.1161664829437372</v>
      </c>
      <c r="J31" s="35"/>
      <c r="K31" s="86">
        <f t="shared" si="1"/>
        <v>0</v>
      </c>
      <c r="L31" s="9"/>
      <c r="M31" s="9"/>
      <c r="N31" s="78">
        <f t="shared" si="2"/>
        <v>0</v>
      </c>
      <c r="O31" s="53" t="s">
        <v>20</v>
      </c>
      <c r="P31" s="53" t="s">
        <v>20</v>
      </c>
      <c r="Q31" s="70" t="s">
        <v>82</v>
      </c>
      <c r="R31" s="71">
        <v>1.19</v>
      </c>
      <c r="S31" s="70" t="s">
        <v>20</v>
      </c>
      <c r="T31" s="70" t="s">
        <v>20</v>
      </c>
      <c r="U31" s="81" t="s">
        <v>20</v>
      </c>
      <c r="V31" s="30" t="s">
        <v>20</v>
      </c>
      <c r="W31" s="30" t="s">
        <v>20</v>
      </c>
      <c r="X31" s="84" t="s">
        <v>20</v>
      </c>
      <c r="Y31" s="32">
        <v>2</v>
      </c>
      <c r="Z31" s="3" t="s">
        <v>20</v>
      </c>
      <c r="AA31" s="30" t="s">
        <v>21</v>
      </c>
      <c r="AB31" s="33" t="s">
        <v>20</v>
      </c>
      <c r="AC31" s="30" t="s">
        <v>20</v>
      </c>
      <c r="AD31" s="30" t="s">
        <v>20</v>
      </c>
      <c r="AE31" s="33" t="s">
        <v>20</v>
      </c>
      <c r="AF31" s="30"/>
      <c r="AG31" s="30"/>
      <c r="AH31" s="63"/>
      <c r="AI31" s="63"/>
      <c r="AJ31" s="50"/>
      <c r="AK31" s="62"/>
      <c r="AL31" s="35">
        <v>3000000</v>
      </c>
      <c r="AM31" s="35">
        <v>247000</v>
      </c>
      <c r="AN31" s="35">
        <v>1020000</v>
      </c>
      <c r="AO31" s="35">
        <v>0</v>
      </c>
      <c r="AP31" s="79" t="s">
        <v>20</v>
      </c>
      <c r="AQ31" s="79" t="s">
        <v>20</v>
      </c>
      <c r="AR31" s="62"/>
      <c r="AS31" s="62"/>
      <c r="AT31" s="5"/>
      <c r="AU31" s="62"/>
    </row>
    <row r="32" spans="1:47" x14ac:dyDescent="0.25">
      <c r="A32" s="68" t="s">
        <v>71</v>
      </c>
      <c r="B32" s="69" t="s">
        <v>15</v>
      </c>
      <c r="C32" s="29">
        <v>5000000</v>
      </c>
      <c r="D32" s="29">
        <v>5000000</v>
      </c>
      <c r="E32" s="30" t="s">
        <v>83</v>
      </c>
      <c r="F32" s="31" t="s">
        <v>72</v>
      </c>
      <c r="G32" s="65">
        <v>1</v>
      </c>
      <c r="H32" s="77">
        <v>1665493</v>
      </c>
      <c r="I32" s="94">
        <f>+H32/C32</f>
        <v>0.33309860000000002</v>
      </c>
      <c r="J32" s="35">
        <v>0</v>
      </c>
      <c r="K32" s="95">
        <f t="shared" si="1"/>
        <v>0</v>
      </c>
      <c r="L32" s="9">
        <v>0</v>
      </c>
      <c r="M32" s="9">
        <v>0</v>
      </c>
      <c r="N32" s="94">
        <f t="shared" si="2"/>
        <v>0</v>
      </c>
      <c r="O32" s="3">
        <v>8.4027777777777771E-2</v>
      </c>
      <c r="P32" s="87">
        <f t="shared" si="6"/>
        <v>19820743.14049587</v>
      </c>
      <c r="Q32" s="70">
        <v>2</v>
      </c>
      <c r="R32" s="70">
        <v>5</v>
      </c>
      <c r="S32" s="70">
        <v>27.420634134694634</v>
      </c>
      <c r="T32" s="70">
        <v>1.7354568885377579</v>
      </c>
      <c r="U32" s="81" t="s">
        <v>20</v>
      </c>
      <c r="V32" s="30">
        <v>1935526.3799999997</v>
      </c>
      <c r="W32" s="30">
        <v>1925307</v>
      </c>
      <c r="X32" s="65">
        <f t="shared" si="3"/>
        <v>0.99472010296237878</v>
      </c>
      <c r="Y32" s="32">
        <v>2</v>
      </c>
      <c r="Z32" s="3" t="s">
        <v>29</v>
      </c>
      <c r="AA32" s="30" t="s">
        <v>25</v>
      </c>
      <c r="AB32" s="33">
        <v>222565.3</v>
      </c>
      <c r="AC32" s="83">
        <v>111282.65</v>
      </c>
      <c r="AD32" s="84">
        <f t="shared" si="7"/>
        <v>5.7494773075632277E-2</v>
      </c>
      <c r="AE32" s="21" t="s">
        <v>21</v>
      </c>
      <c r="AF32" s="3"/>
      <c r="AG32" s="3"/>
      <c r="AH32" s="9"/>
      <c r="AI32" s="9"/>
      <c r="AJ32" s="50"/>
      <c r="AK32" s="62"/>
      <c r="AL32" s="35">
        <v>3000000</v>
      </c>
      <c r="AM32" s="35">
        <v>0</v>
      </c>
      <c r="AN32" s="35">
        <v>0</v>
      </c>
      <c r="AO32" s="35">
        <v>0</v>
      </c>
      <c r="AP32" s="79" t="s">
        <v>20</v>
      </c>
      <c r="AQ32" s="79" t="s">
        <v>20</v>
      </c>
      <c r="AR32" s="62"/>
      <c r="AS32" s="62"/>
      <c r="AT32" s="5"/>
      <c r="AU32" s="62"/>
    </row>
    <row r="33" spans="1:47" ht="38.25" x14ac:dyDescent="0.25">
      <c r="A33" s="72" t="s">
        <v>47</v>
      </c>
      <c r="B33" s="73" t="s">
        <v>48</v>
      </c>
      <c r="C33" s="29">
        <v>250000</v>
      </c>
      <c r="D33" s="29">
        <v>250000</v>
      </c>
      <c r="E33" s="30" t="s">
        <v>16</v>
      </c>
      <c r="F33" s="32" t="s">
        <v>49</v>
      </c>
      <c r="G33" s="65">
        <v>1</v>
      </c>
      <c r="H33" s="77">
        <v>165711.99199999997</v>
      </c>
      <c r="I33" s="78">
        <f t="shared" si="0"/>
        <v>1.5086415713354049</v>
      </c>
      <c r="J33" s="35"/>
      <c r="K33" s="86">
        <f t="shared" si="1"/>
        <v>0</v>
      </c>
      <c r="L33" s="9"/>
      <c r="M33" s="9"/>
      <c r="N33" s="78">
        <f t="shared" si="2"/>
        <v>0</v>
      </c>
      <c r="O33" s="53" t="s">
        <v>20</v>
      </c>
      <c r="P33" s="53" t="s">
        <v>20</v>
      </c>
      <c r="Q33" s="70" t="s">
        <v>82</v>
      </c>
      <c r="R33" s="71">
        <v>1.19</v>
      </c>
      <c r="S33" s="70" t="s">
        <v>20</v>
      </c>
      <c r="T33" s="70" t="s">
        <v>20</v>
      </c>
      <c r="U33" s="81" t="s">
        <v>20</v>
      </c>
      <c r="V33" s="30" t="s">
        <v>20</v>
      </c>
      <c r="W33" s="30" t="s">
        <v>20</v>
      </c>
      <c r="X33" s="84" t="s">
        <v>20</v>
      </c>
      <c r="Y33" s="32">
        <v>2</v>
      </c>
      <c r="Z33" s="3" t="s">
        <v>20</v>
      </c>
      <c r="AA33" s="30" t="s">
        <v>21</v>
      </c>
      <c r="AB33" s="33" t="s">
        <v>20</v>
      </c>
      <c r="AC33" s="30" t="s">
        <v>20</v>
      </c>
      <c r="AD33" s="30" t="s">
        <v>20</v>
      </c>
      <c r="AE33" s="33" t="s">
        <v>20</v>
      </c>
      <c r="AF33" s="30"/>
      <c r="AG33" s="30"/>
      <c r="AH33" s="63"/>
      <c r="AI33" s="63"/>
      <c r="AJ33" s="50"/>
      <c r="AK33" s="62"/>
      <c r="AL33" s="35">
        <v>15000000</v>
      </c>
      <c r="AM33" s="35">
        <v>15271000</v>
      </c>
      <c r="AN33" s="35">
        <f>99000+322000+249000+249000+59000+108000</f>
        <v>1086000</v>
      </c>
      <c r="AO33" s="35">
        <v>180</v>
      </c>
      <c r="AP33" s="52">
        <f t="shared" si="4"/>
        <v>7.1115185645995685E-2</v>
      </c>
      <c r="AQ33" s="89">
        <f t="shared" si="5"/>
        <v>7.1115185645995685E-2</v>
      </c>
      <c r="AR33" s="62"/>
      <c r="AS33" s="62"/>
      <c r="AT33" s="5"/>
      <c r="AU33" s="62"/>
    </row>
    <row r="34" spans="1:47" x14ac:dyDescent="0.25">
      <c r="A34" s="72" t="s">
        <v>73</v>
      </c>
      <c r="B34" s="69" t="s">
        <v>15</v>
      </c>
      <c r="C34" s="29">
        <v>5800000</v>
      </c>
      <c r="D34" s="29">
        <v>5800000</v>
      </c>
      <c r="E34" s="30" t="s">
        <v>16</v>
      </c>
      <c r="F34" s="31" t="s">
        <v>130</v>
      </c>
      <c r="G34" s="65">
        <v>0</v>
      </c>
      <c r="H34" s="34">
        <v>4997087.5999999996</v>
      </c>
      <c r="I34" s="78">
        <f t="shared" si="0"/>
        <v>1.1606760705976018</v>
      </c>
      <c r="J34" s="35"/>
      <c r="K34" s="86">
        <f t="shared" si="1"/>
        <v>0</v>
      </c>
      <c r="L34" s="75"/>
      <c r="M34" s="75"/>
      <c r="N34" s="78">
        <f t="shared" si="2"/>
        <v>0</v>
      </c>
      <c r="O34" s="3">
        <v>4.2361111111111106E-2</v>
      </c>
      <c r="P34" s="87">
        <f t="shared" si="6"/>
        <v>117964035.14754099</v>
      </c>
      <c r="Q34" s="70" t="s">
        <v>82</v>
      </c>
      <c r="R34" s="71">
        <v>1.19</v>
      </c>
      <c r="S34" s="70" t="s">
        <v>20</v>
      </c>
      <c r="T34" s="70" t="s">
        <v>20</v>
      </c>
      <c r="U34" s="81" t="s">
        <v>20</v>
      </c>
      <c r="V34" s="30" t="s">
        <v>20</v>
      </c>
      <c r="W34" s="30" t="s">
        <v>20</v>
      </c>
      <c r="X34" s="84" t="s">
        <v>20</v>
      </c>
      <c r="Y34" s="32">
        <v>2</v>
      </c>
      <c r="Z34" s="33" t="s">
        <v>20</v>
      </c>
      <c r="AA34" s="30" t="s">
        <v>21</v>
      </c>
      <c r="AB34" s="33" t="s">
        <v>20</v>
      </c>
      <c r="AC34" s="30" t="s">
        <v>20</v>
      </c>
      <c r="AD34" s="30" t="s">
        <v>20</v>
      </c>
      <c r="AE34" s="33" t="s">
        <v>20</v>
      </c>
      <c r="AF34" s="15"/>
      <c r="AG34" s="15"/>
      <c r="AH34" s="9"/>
      <c r="AI34" s="9"/>
      <c r="AJ34" s="50"/>
      <c r="AK34" s="62"/>
      <c r="AL34" s="35">
        <v>5800000</v>
      </c>
      <c r="AM34" s="35">
        <v>14724000</v>
      </c>
      <c r="AN34" s="35">
        <f>3974000+244000</f>
        <v>4218000</v>
      </c>
      <c r="AO34" s="35">
        <v>90</v>
      </c>
      <c r="AP34" s="52">
        <f t="shared" si="4"/>
        <v>0.28647106764466179</v>
      </c>
      <c r="AQ34" s="89">
        <f t="shared" si="5"/>
        <v>0.28647106764466179</v>
      </c>
      <c r="AR34" s="62"/>
      <c r="AS34" s="62"/>
      <c r="AT34" s="5"/>
      <c r="AU34" s="62"/>
    </row>
    <row r="35" spans="1:47" x14ac:dyDescent="0.25">
      <c r="A35" s="46" t="s">
        <v>76</v>
      </c>
      <c r="B35" s="69" t="s">
        <v>15</v>
      </c>
      <c r="C35" s="29">
        <v>4000000</v>
      </c>
      <c r="D35" s="29">
        <v>4000000</v>
      </c>
      <c r="E35" s="30" t="s">
        <v>16</v>
      </c>
      <c r="F35" s="31" t="s">
        <v>78</v>
      </c>
      <c r="G35" s="65">
        <v>1</v>
      </c>
      <c r="H35" s="77">
        <v>3661197.11</v>
      </c>
      <c r="I35" s="78">
        <f t="shared" si="0"/>
        <v>1.0925388280993154</v>
      </c>
      <c r="J35" s="35"/>
      <c r="K35" s="86">
        <f t="shared" si="1"/>
        <v>0</v>
      </c>
      <c r="L35" s="35"/>
      <c r="M35" s="86"/>
      <c r="N35" s="78">
        <f t="shared" si="2"/>
        <v>0</v>
      </c>
      <c r="O35" s="53" t="s">
        <v>20</v>
      </c>
      <c r="P35" s="53" t="s">
        <v>20</v>
      </c>
      <c r="Q35" s="70" t="s">
        <v>82</v>
      </c>
      <c r="R35" s="71">
        <v>1.19</v>
      </c>
      <c r="S35" s="70" t="s">
        <v>20</v>
      </c>
      <c r="T35" s="70" t="s">
        <v>20</v>
      </c>
      <c r="U35" s="82" t="s">
        <v>20</v>
      </c>
      <c r="V35" s="30" t="s">
        <v>20</v>
      </c>
      <c r="W35" s="30" t="s">
        <v>20</v>
      </c>
      <c r="X35" s="84" t="s">
        <v>20</v>
      </c>
      <c r="Y35" s="32">
        <v>2</v>
      </c>
      <c r="Z35" s="30" t="s">
        <v>20</v>
      </c>
      <c r="AA35" s="30" t="s">
        <v>21</v>
      </c>
      <c r="AB35" s="33" t="s">
        <v>20</v>
      </c>
      <c r="AC35" s="30" t="s">
        <v>20</v>
      </c>
      <c r="AD35" s="30" t="s">
        <v>20</v>
      </c>
      <c r="AE35" s="33" t="s">
        <v>20</v>
      </c>
      <c r="AF35" s="30"/>
      <c r="AG35" s="30"/>
      <c r="AH35" s="63"/>
      <c r="AI35" s="63"/>
      <c r="AJ35" s="50"/>
      <c r="AK35" s="62"/>
      <c r="AL35" s="35">
        <v>6000000</v>
      </c>
      <c r="AM35" s="35">
        <v>241000</v>
      </c>
      <c r="AN35" s="35">
        <v>135000</v>
      </c>
      <c r="AO35" s="35">
        <v>843</v>
      </c>
      <c r="AP35" s="52">
        <f t="shared" si="4"/>
        <v>0.56016597510373445</v>
      </c>
      <c r="AQ35" s="89">
        <f t="shared" si="5"/>
        <v>0.56016597510373445</v>
      </c>
      <c r="AR35" s="62"/>
      <c r="AS35" s="62"/>
      <c r="AT35" s="5"/>
      <c r="AU35" s="62"/>
    </row>
    <row r="36" spans="1:47" x14ac:dyDescent="0.25">
      <c r="A36" s="72" t="s">
        <v>59</v>
      </c>
      <c r="B36" s="69" t="s">
        <v>15</v>
      </c>
      <c r="C36" s="29">
        <v>5000000</v>
      </c>
      <c r="D36" s="29">
        <v>5000000</v>
      </c>
      <c r="E36" s="30" t="s">
        <v>16</v>
      </c>
      <c r="F36" s="31" t="s">
        <v>60</v>
      </c>
      <c r="G36" s="65">
        <v>1</v>
      </c>
      <c r="H36" s="34">
        <v>0</v>
      </c>
      <c r="I36" s="53" t="s">
        <v>20</v>
      </c>
      <c r="J36" s="35"/>
      <c r="K36" s="86" t="e">
        <f t="shared" si="1"/>
        <v>#DIV/0!</v>
      </c>
      <c r="L36" s="35"/>
      <c r="M36" s="86"/>
      <c r="N36" s="78" t="e">
        <f t="shared" si="2"/>
        <v>#DIV/0!</v>
      </c>
      <c r="O36" s="53" t="s">
        <v>20</v>
      </c>
      <c r="P36" s="53" t="s">
        <v>20</v>
      </c>
      <c r="Q36" s="30" t="s">
        <v>20</v>
      </c>
      <c r="R36" s="30" t="s">
        <v>20</v>
      </c>
      <c r="S36" s="70" t="s">
        <v>20</v>
      </c>
      <c r="T36" s="70" t="s">
        <v>20</v>
      </c>
      <c r="U36" s="82" t="s">
        <v>20</v>
      </c>
      <c r="V36" s="30" t="s">
        <v>20</v>
      </c>
      <c r="W36" s="30" t="s">
        <v>20</v>
      </c>
      <c r="X36" s="84" t="s">
        <v>20</v>
      </c>
      <c r="Y36" s="32">
        <v>2</v>
      </c>
      <c r="Z36" s="3" t="s">
        <v>20</v>
      </c>
      <c r="AA36" s="30" t="s">
        <v>20</v>
      </c>
      <c r="AB36" s="33" t="s">
        <v>20</v>
      </c>
      <c r="AC36" s="30" t="s">
        <v>20</v>
      </c>
      <c r="AD36" s="30" t="s">
        <v>20</v>
      </c>
      <c r="AE36" s="33" t="s">
        <v>20</v>
      </c>
      <c r="AF36" s="30"/>
      <c r="AG36" s="30"/>
      <c r="AH36" s="63"/>
      <c r="AI36" s="63"/>
      <c r="AJ36" s="50"/>
      <c r="AK36" s="62"/>
      <c r="AL36" s="35">
        <v>13000000</v>
      </c>
      <c r="AM36" s="35">
        <v>0</v>
      </c>
      <c r="AN36" s="35">
        <v>0</v>
      </c>
      <c r="AO36" s="35">
        <v>0</v>
      </c>
      <c r="AP36" s="79" t="s">
        <v>20</v>
      </c>
      <c r="AQ36" s="79" t="s">
        <v>20</v>
      </c>
      <c r="AR36" s="62"/>
      <c r="AS36" s="62"/>
      <c r="AT36" s="5"/>
      <c r="AU36" s="62"/>
    </row>
    <row r="37" spans="1:47" x14ac:dyDescent="0.25">
      <c r="A37" s="68" t="s">
        <v>23</v>
      </c>
      <c r="B37" s="69" t="s">
        <v>15</v>
      </c>
      <c r="C37" s="30">
        <v>15000000</v>
      </c>
      <c r="D37" s="30">
        <v>15000000</v>
      </c>
      <c r="E37" s="30" t="s">
        <v>84</v>
      </c>
      <c r="F37" s="32" t="s">
        <v>24</v>
      </c>
      <c r="G37" s="65">
        <v>1</v>
      </c>
      <c r="H37" s="77">
        <v>9457551.2179053947</v>
      </c>
      <c r="I37" s="94">
        <f>+H37/C37</f>
        <v>0.6305034145270263</v>
      </c>
      <c r="J37" s="35">
        <v>0</v>
      </c>
      <c r="K37" s="95">
        <f t="shared" si="1"/>
        <v>0</v>
      </c>
      <c r="L37" s="9">
        <v>0</v>
      </c>
      <c r="M37" s="9">
        <v>0</v>
      </c>
      <c r="N37" s="94">
        <f t="shared" si="2"/>
        <v>0</v>
      </c>
      <c r="O37" s="3" t="s">
        <v>265</v>
      </c>
      <c r="P37" s="87" t="e">
        <f t="shared" si="6"/>
        <v>#VALUE!</v>
      </c>
      <c r="Q37" s="70">
        <v>2</v>
      </c>
      <c r="R37" s="70">
        <v>2.5</v>
      </c>
      <c r="S37" s="70">
        <v>6.5672586236493338</v>
      </c>
      <c r="T37" s="70">
        <v>1.269236493907578</v>
      </c>
      <c r="U37" s="81">
        <v>1.2547131468380381</v>
      </c>
      <c r="V37" s="33">
        <v>2980159.0260000001</v>
      </c>
      <c r="W37" s="30">
        <v>128546.8</v>
      </c>
      <c r="X37" s="65">
        <f t="shared" si="3"/>
        <v>4.3134208234698414E-2</v>
      </c>
      <c r="Y37" s="32">
        <v>2</v>
      </c>
      <c r="Z37" s="33">
        <v>11866513.849999998</v>
      </c>
      <c r="AA37" s="30" t="s">
        <v>25</v>
      </c>
      <c r="AB37" s="33">
        <v>2884765.04</v>
      </c>
      <c r="AC37" s="9">
        <v>1434996.1400000001</v>
      </c>
      <c r="AD37" s="84">
        <f t="shared" si="7"/>
        <v>0.48151663299863118</v>
      </c>
      <c r="AE37" s="21" t="s">
        <v>21</v>
      </c>
      <c r="AF37" s="15"/>
      <c r="AG37" s="15"/>
      <c r="AH37" s="9"/>
      <c r="AI37" s="9"/>
      <c r="AJ37" s="50"/>
      <c r="AK37" s="62"/>
      <c r="AL37" s="35">
        <v>25000000</v>
      </c>
      <c r="AM37" s="35">
        <f>17107000+555000</f>
        <v>17662000</v>
      </c>
      <c r="AN37" s="35">
        <v>9448000</v>
      </c>
      <c r="AO37" s="35">
        <v>180</v>
      </c>
      <c r="AP37" s="52">
        <f t="shared" si="4"/>
        <v>0.53493375608651339</v>
      </c>
      <c r="AQ37" s="89">
        <f t="shared" si="5"/>
        <v>0.53493375608651339</v>
      </c>
      <c r="AR37" s="62"/>
      <c r="AS37" s="62"/>
      <c r="AT37" s="5"/>
      <c r="AU37" s="62"/>
    </row>
    <row r="38" spans="1:47" ht="38.25" x14ac:dyDescent="0.25">
      <c r="A38" s="46" t="s">
        <v>247</v>
      </c>
      <c r="B38" s="69" t="s">
        <v>15</v>
      </c>
      <c r="C38" s="29">
        <v>3000000</v>
      </c>
      <c r="D38" s="29">
        <v>3000000</v>
      </c>
      <c r="E38" s="30" t="s">
        <v>16</v>
      </c>
      <c r="F38" s="31" t="s">
        <v>250</v>
      </c>
      <c r="G38" s="65">
        <v>0</v>
      </c>
      <c r="H38" s="77">
        <v>1488659.571</v>
      </c>
      <c r="I38" s="78">
        <f t="shared" si="0"/>
        <v>2.0152357586931471</v>
      </c>
      <c r="J38" s="35"/>
      <c r="K38" s="86">
        <f t="shared" si="1"/>
        <v>0</v>
      </c>
      <c r="L38" s="75"/>
      <c r="M38" s="75"/>
      <c r="N38" s="78">
        <f t="shared" si="2"/>
        <v>0</v>
      </c>
      <c r="O38" s="3">
        <v>8.4027777777777771E-2</v>
      </c>
      <c r="P38" s="87">
        <f t="shared" si="6"/>
        <v>17716279.192066118</v>
      </c>
      <c r="Q38" s="70" t="s">
        <v>82</v>
      </c>
      <c r="R38" s="71">
        <v>1.1100000000000001</v>
      </c>
      <c r="S38" s="70" t="s">
        <v>20</v>
      </c>
      <c r="T38" s="70" t="s">
        <v>20</v>
      </c>
      <c r="U38" s="81" t="s">
        <v>20</v>
      </c>
      <c r="V38" s="30" t="s">
        <v>20</v>
      </c>
      <c r="W38" s="30" t="s">
        <v>20</v>
      </c>
      <c r="X38" s="84" t="s">
        <v>20</v>
      </c>
      <c r="Y38" s="32">
        <v>2</v>
      </c>
      <c r="Z38" s="33" t="s">
        <v>20</v>
      </c>
      <c r="AA38" s="30" t="s">
        <v>21</v>
      </c>
      <c r="AB38" s="33" t="s">
        <v>20</v>
      </c>
      <c r="AC38" s="30" t="s">
        <v>20</v>
      </c>
      <c r="AD38" s="30" t="s">
        <v>20</v>
      </c>
      <c r="AE38" s="33" t="s">
        <v>20</v>
      </c>
      <c r="AF38" s="15"/>
      <c r="AG38" s="15"/>
      <c r="AH38" s="9"/>
      <c r="AI38" s="9"/>
      <c r="AJ38" s="50"/>
      <c r="AK38" s="62"/>
      <c r="AL38" s="35">
        <v>5000000</v>
      </c>
      <c r="AM38" s="35">
        <v>912000</v>
      </c>
      <c r="AN38" s="35">
        <v>38000</v>
      </c>
      <c r="AO38" s="35">
        <v>28</v>
      </c>
      <c r="AP38" s="52">
        <f t="shared" si="4"/>
        <v>4.1666666666666664E-2</v>
      </c>
      <c r="AQ38" s="89">
        <f t="shared" si="5"/>
        <v>4.1666666666666664E-2</v>
      </c>
      <c r="AR38" s="62"/>
      <c r="AS38" s="62"/>
      <c r="AT38" s="5"/>
      <c r="AU38" s="62"/>
    </row>
    <row r="39" spans="1:47" ht="25.5" x14ac:dyDescent="0.25">
      <c r="A39" s="1" t="s">
        <v>79</v>
      </c>
      <c r="B39" s="69" t="s">
        <v>15</v>
      </c>
      <c r="C39" s="29">
        <v>5000000</v>
      </c>
      <c r="D39" s="29">
        <v>5000000</v>
      </c>
      <c r="E39" s="30" t="s">
        <v>85</v>
      </c>
      <c r="F39" s="31" t="s">
        <v>80</v>
      </c>
      <c r="G39" s="65">
        <v>0</v>
      </c>
      <c r="H39" s="77">
        <v>0</v>
      </c>
      <c r="I39" s="53" t="s">
        <v>20</v>
      </c>
      <c r="J39" s="35"/>
      <c r="K39" s="86" t="e">
        <f t="shared" si="1"/>
        <v>#DIV/0!</v>
      </c>
      <c r="L39" s="9"/>
      <c r="M39" s="9"/>
      <c r="N39" s="78" t="e">
        <f t="shared" si="2"/>
        <v>#DIV/0!</v>
      </c>
      <c r="O39" s="53" t="s">
        <v>20</v>
      </c>
      <c r="P39" s="53" t="s">
        <v>20</v>
      </c>
      <c r="Q39" s="30" t="s">
        <v>20</v>
      </c>
      <c r="R39" s="30" t="s">
        <v>20</v>
      </c>
      <c r="S39" s="70" t="s">
        <v>20</v>
      </c>
      <c r="T39" s="70" t="s">
        <v>20</v>
      </c>
      <c r="U39" s="81" t="s">
        <v>20</v>
      </c>
      <c r="V39" s="30" t="s">
        <v>20</v>
      </c>
      <c r="W39" s="30" t="s">
        <v>20</v>
      </c>
      <c r="X39" s="84" t="s">
        <v>20</v>
      </c>
      <c r="Y39" s="32">
        <v>2</v>
      </c>
      <c r="Z39" s="33" t="s">
        <v>20</v>
      </c>
      <c r="AA39" s="30" t="s">
        <v>20</v>
      </c>
      <c r="AB39" s="33" t="s">
        <v>20</v>
      </c>
      <c r="AC39" s="30" t="s">
        <v>20</v>
      </c>
      <c r="AD39" s="30" t="s">
        <v>20</v>
      </c>
      <c r="AE39" s="33" t="s">
        <v>20</v>
      </c>
      <c r="AF39" s="15"/>
      <c r="AG39" s="15"/>
      <c r="AH39" s="9"/>
      <c r="AI39" s="9"/>
      <c r="AJ39" s="50"/>
      <c r="AK39" s="62"/>
      <c r="AL39" s="75">
        <v>10000000</v>
      </c>
      <c r="AM39" s="75">
        <v>2761000</v>
      </c>
      <c r="AN39" s="75">
        <v>0</v>
      </c>
      <c r="AO39" s="75">
        <v>0</v>
      </c>
      <c r="AP39" s="79" t="s">
        <v>20</v>
      </c>
      <c r="AQ39" s="79" t="s">
        <v>20</v>
      </c>
      <c r="AR39" s="62"/>
      <c r="AS39" s="62"/>
      <c r="AT39" s="5"/>
      <c r="AU39" s="62"/>
    </row>
    <row r="40" spans="1:47" x14ac:dyDescent="0.25">
      <c r="A40" s="46" t="s">
        <v>79</v>
      </c>
      <c r="B40" s="73" t="s">
        <v>48</v>
      </c>
      <c r="C40" s="29">
        <v>5000000</v>
      </c>
      <c r="D40" s="29">
        <v>5000000</v>
      </c>
      <c r="E40" s="74" t="s">
        <v>16</v>
      </c>
      <c r="F40" s="31" t="s">
        <v>98</v>
      </c>
      <c r="G40" s="65">
        <v>0</v>
      </c>
      <c r="H40" s="77">
        <v>0</v>
      </c>
      <c r="I40" s="53" t="s">
        <v>20</v>
      </c>
      <c r="J40" s="35"/>
      <c r="K40" s="86" t="e">
        <f t="shared" si="1"/>
        <v>#DIV/0!</v>
      </c>
      <c r="L40" s="75"/>
      <c r="M40" s="75"/>
      <c r="N40" s="78" t="e">
        <f t="shared" si="2"/>
        <v>#DIV/0!</v>
      </c>
      <c r="O40" s="53" t="s">
        <v>20</v>
      </c>
      <c r="P40" s="53" t="s">
        <v>20</v>
      </c>
      <c r="Q40" s="30" t="s">
        <v>20</v>
      </c>
      <c r="R40" s="30" t="s">
        <v>20</v>
      </c>
      <c r="S40" s="70" t="s">
        <v>20</v>
      </c>
      <c r="T40" s="70" t="s">
        <v>20</v>
      </c>
      <c r="U40" s="81" t="s">
        <v>20</v>
      </c>
      <c r="V40" s="30" t="s">
        <v>20</v>
      </c>
      <c r="W40" s="30" t="s">
        <v>20</v>
      </c>
      <c r="X40" s="84" t="s">
        <v>20</v>
      </c>
      <c r="Y40" s="32">
        <v>2</v>
      </c>
      <c r="Z40" s="33" t="s">
        <v>20</v>
      </c>
      <c r="AA40" s="30" t="s">
        <v>20</v>
      </c>
      <c r="AB40" s="33" t="s">
        <v>20</v>
      </c>
      <c r="AC40" s="30" t="s">
        <v>20</v>
      </c>
      <c r="AD40" s="30" t="s">
        <v>20</v>
      </c>
      <c r="AE40" s="33" t="s">
        <v>20</v>
      </c>
      <c r="AF40" s="15"/>
      <c r="AG40" s="15"/>
      <c r="AH40" s="9"/>
      <c r="AI40" s="9"/>
      <c r="AJ40" s="50"/>
      <c r="AK40" s="62"/>
      <c r="AL40" s="35">
        <v>10000000</v>
      </c>
      <c r="AM40" s="35">
        <v>7761000</v>
      </c>
      <c r="AN40" s="35">
        <v>0</v>
      </c>
      <c r="AO40" s="35">
        <v>0</v>
      </c>
      <c r="AP40" s="79" t="s">
        <v>20</v>
      </c>
      <c r="AQ40" s="79" t="s">
        <v>20</v>
      </c>
      <c r="AR40" s="62"/>
      <c r="AS40" s="62"/>
      <c r="AT40" s="5"/>
      <c r="AU40" s="62"/>
    </row>
    <row r="41" spans="1:47" ht="25.5" x14ac:dyDescent="0.25">
      <c r="A41" s="1" t="s">
        <v>110</v>
      </c>
      <c r="B41" s="69" t="s">
        <v>15</v>
      </c>
      <c r="C41" s="29">
        <v>4000000</v>
      </c>
      <c r="D41" s="29">
        <v>4000000</v>
      </c>
      <c r="E41" s="30" t="s">
        <v>108</v>
      </c>
      <c r="F41" s="31" t="s">
        <v>111</v>
      </c>
      <c r="G41" s="65">
        <v>0</v>
      </c>
      <c r="H41" s="77">
        <v>1000000</v>
      </c>
      <c r="I41" s="94">
        <f t="shared" ref="I41:I43" si="10">+H41/C41</f>
        <v>0.25</v>
      </c>
      <c r="J41" s="35">
        <v>0</v>
      </c>
      <c r="K41" s="95">
        <f t="shared" si="1"/>
        <v>0</v>
      </c>
      <c r="L41" s="9">
        <v>0</v>
      </c>
      <c r="M41" s="9">
        <v>0</v>
      </c>
      <c r="N41" s="94">
        <f t="shared" si="2"/>
        <v>0</v>
      </c>
      <c r="O41" s="21" t="s">
        <v>20</v>
      </c>
      <c r="P41" s="21" t="s">
        <v>20</v>
      </c>
      <c r="Q41" s="70">
        <v>2.5</v>
      </c>
      <c r="R41" s="70">
        <v>2.7</v>
      </c>
      <c r="S41" s="70">
        <v>0.23970456886104319</v>
      </c>
      <c r="T41" s="70">
        <v>0</v>
      </c>
      <c r="U41" s="81">
        <v>1.6722532700000001</v>
      </c>
      <c r="V41" s="9">
        <v>470243.80499999999</v>
      </c>
      <c r="W41" s="30">
        <v>516919.7</v>
      </c>
      <c r="X41" s="65">
        <f t="shared" si="3"/>
        <v>1.0992589259097205</v>
      </c>
      <c r="Y41" s="32">
        <v>1</v>
      </c>
      <c r="Z41" s="3">
        <v>1672253.27</v>
      </c>
      <c r="AA41" s="30" t="s">
        <v>25</v>
      </c>
      <c r="AB41" s="9">
        <v>0</v>
      </c>
      <c r="AC41" s="9">
        <v>0</v>
      </c>
      <c r="AD41" s="33">
        <v>0</v>
      </c>
      <c r="AE41" s="21"/>
      <c r="AF41" s="30"/>
      <c r="AG41" s="30"/>
      <c r="AH41" s="63"/>
      <c r="AI41" s="63"/>
      <c r="AJ41" s="50"/>
      <c r="AK41" s="62"/>
      <c r="AL41" s="9">
        <v>15000000</v>
      </c>
      <c r="AM41" s="9">
        <v>12340000</v>
      </c>
      <c r="AN41" s="9">
        <v>0</v>
      </c>
      <c r="AO41" s="9">
        <v>0</v>
      </c>
      <c r="AP41" s="79" t="s">
        <v>20</v>
      </c>
      <c r="AQ41" s="79" t="s">
        <v>20</v>
      </c>
      <c r="AR41" s="62"/>
      <c r="AS41" s="62"/>
      <c r="AT41" s="5"/>
      <c r="AU41" s="62"/>
    </row>
    <row r="42" spans="1:47" ht="51" x14ac:dyDescent="0.25">
      <c r="A42" s="46" t="s">
        <v>165</v>
      </c>
      <c r="B42" s="69" t="s">
        <v>15</v>
      </c>
      <c r="C42" s="29">
        <v>5600000</v>
      </c>
      <c r="D42" s="29">
        <v>5600000</v>
      </c>
      <c r="E42" s="30" t="s">
        <v>83</v>
      </c>
      <c r="F42" s="31" t="s">
        <v>251</v>
      </c>
      <c r="G42" s="65">
        <v>0</v>
      </c>
      <c r="H42" s="77">
        <v>5074579.22</v>
      </c>
      <c r="I42" s="94">
        <f t="shared" si="10"/>
        <v>0.90617486071428566</v>
      </c>
      <c r="J42" s="35">
        <v>0</v>
      </c>
      <c r="K42" s="95">
        <f t="shared" si="1"/>
        <v>0</v>
      </c>
      <c r="L42" s="9">
        <v>0</v>
      </c>
      <c r="M42" s="9">
        <v>0</v>
      </c>
      <c r="N42" s="94">
        <f t="shared" si="2"/>
        <v>0</v>
      </c>
      <c r="O42" s="21" t="s">
        <v>20</v>
      </c>
      <c r="P42" s="21" t="s">
        <v>20</v>
      </c>
      <c r="Q42" s="70" t="s">
        <v>167</v>
      </c>
      <c r="R42" s="70" t="s">
        <v>167</v>
      </c>
      <c r="S42" s="70">
        <v>24.515073523809523</v>
      </c>
      <c r="T42" s="70">
        <v>0</v>
      </c>
      <c r="U42" s="81">
        <v>3.6040360603533945</v>
      </c>
      <c r="V42" s="30">
        <v>9120066.495000001</v>
      </c>
      <c r="W42" s="30">
        <v>2506983.5</v>
      </c>
      <c r="X42" s="65">
        <f t="shared" si="3"/>
        <v>0.27488653743636982</v>
      </c>
      <c r="Y42" s="32">
        <v>2</v>
      </c>
      <c r="Z42" s="3">
        <v>18288966.5</v>
      </c>
      <c r="AA42" s="30" t="s">
        <v>21</v>
      </c>
      <c r="AB42" s="9">
        <v>0</v>
      </c>
      <c r="AC42" s="33">
        <v>0</v>
      </c>
      <c r="AD42" s="33">
        <v>0</v>
      </c>
      <c r="AE42" s="21" t="s">
        <v>21</v>
      </c>
      <c r="AF42" s="30"/>
      <c r="AG42" s="30"/>
      <c r="AH42" s="63"/>
      <c r="AI42" s="63"/>
      <c r="AJ42" s="50"/>
      <c r="AK42" s="62"/>
      <c r="AL42" s="35">
        <v>15000000</v>
      </c>
      <c r="AM42" s="35">
        <f>6465000+3912</f>
        <v>6468912</v>
      </c>
      <c r="AN42" s="35">
        <v>0</v>
      </c>
      <c r="AO42" s="35">
        <v>0</v>
      </c>
      <c r="AP42" s="79" t="s">
        <v>20</v>
      </c>
      <c r="AQ42" s="79" t="s">
        <v>20</v>
      </c>
      <c r="AR42" s="62"/>
      <c r="AS42" s="62"/>
      <c r="AT42" s="5"/>
      <c r="AU42" s="62"/>
    </row>
    <row r="43" spans="1:47" ht="25.5" x14ac:dyDescent="0.25">
      <c r="A43" s="68" t="s">
        <v>37</v>
      </c>
      <c r="B43" s="69" t="s">
        <v>15</v>
      </c>
      <c r="C43" s="30">
        <v>10000000</v>
      </c>
      <c r="D43" s="30">
        <v>10000000</v>
      </c>
      <c r="E43" s="30" t="s">
        <v>83</v>
      </c>
      <c r="F43" s="32" t="s">
        <v>39</v>
      </c>
      <c r="G43" s="65">
        <f>2/5</f>
        <v>0.4</v>
      </c>
      <c r="H43" s="34">
        <v>960223.28999999969</v>
      </c>
      <c r="I43" s="94">
        <f t="shared" si="10"/>
        <v>9.6022328999999976E-2</v>
      </c>
      <c r="J43" s="35">
        <v>0</v>
      </c>
      <c r="K43" s="95">
        <f t="shared" si="1"/>
        <v>0</v>
      </c>
      <c r="L43" s="9">
        <v>0</v>
      </c>
      <c r="M43" s="9">
        <v>0</v>
      </c>
      <c r="N43" s="94">
        <f t="shared" si="2"/>
        <v>0</v>
      </c>
      <c r="O43" s="21" t="s">
        <v>20</v>
      </c>
      <c r="P43" s="21" t="s">
        <v>20</v>
      </c>
      <c r="Q43" s="70">
        <v>3</v>
      </c>
      <c r="R43" s="70">
        <v>3</v>
      </c>
      <c r="S43" s="70">
        <v>7.9619879861398384E-3</v>
      </c>
      <c r="T43" s="70">
        <v>0.24417317990997672</v>
      </c>
      <c r="U43" s="81">
        <v>-8.6866732840858316E-2</v>
      </c>
      <c r="V43" s="33">
        <v>453888.90399999998</v>
      </c>
      <c r="W43" s="30">
        <v>9595.52</v>
      </c>
      <c r="X43" s="65">
        <f t="shared" si="3"/>
        <v>2.11406798347289E-2</v>
      </c>
      <c r="Y43" s="32">
        <v>2</v>
      </c>
      <c r="Z43" s="33">
        <v>-83411.459999999992</v>
      </c>
      <c r="AA43" s="30" t="s">
        <v>30</v>
      </c>
      <c r="AB43" s="33">
        <v>294269.3</v>
      </c>
      <c r="AC43" s="9">
        <v>294269.3</v>
      </c>
      <c r="AD43" s="84">
        <f t="shared" si="7"/>
        <v>0.64832891354400679</v>
      </c>
      <c r="AE43" s="21" t="s">
        <v>21</v>
      </c>
      <c r="AF43" s="15"/>
      <c r="AG43" s="15"/>
      <c r="AH43" s="9"/>
      <c r="AI43" s="9"/>
      <c r="AJ43" s="50"/>
      <c r="AK43" s="62"/>
      <c r="AL43" s="35">
        <v>60000000</v>
      </c>
      <c r="AM43" s="35">
        <v>65328000</v>
      </c>
      <c r="AN43" s="35">
        <f>6620000+3351000+36000+1202000+625000+3608000</f>
        <v>15442000</v>
      </c>
      <c r="AO43" s="35">
        <v>180</v>
      </c>
      <c r="AP43" s="52">
        <f t="shared" si="4"/>
        <v>0.23637643889297086</v>
      </c>
      <c r="AQ43" s="89">
        <f t="shared" si="5"/>
        <v>0.23637643889297086</v>
      </c>
      <c r="AR43" s="62"/>
      <c r="AS43" s="62"/>
      <c r="AT43" s="5"/>
      <c r="AU43" s="62"/>
    </row>
    <row r="44" spans="1:47" ht="38.25" x14ac:dyDescent="0.25">
      <c r="A44" s="46" t="s">
        <v>77</v>
      </c>
      <c r="B44" s="69" t="s">
        <v>15</v>
      </c>
      <c r="C44" s="29">
        <v>7000000</v>
      </c>
      <c r="D44" s="29">
        <v>7000000</v>
      </c>
      <c r="E44" s="30" t="s">
        <v>16</v>
      </c>
      <c r="F44" s="31" t="s">
        <v>102</v>
      </c>
      <c r="G44" s="65">
        <v>1</v>
      </c>
      <c r="H44" s="34">
        <v>0</v>
      </c>
      <c r="I44" s="53" t="s">
        <v>20</v>
      </c>
      <c r="J44" s="35"/>
      <c r="K44" s="86" t="e">
        <f t="shared" si="1"/>
        <v>#DIV/0!</v>
      </c>
      <c r="L44" s="75"/>
      <c r="M44" s="75"/>
      <c r="N44" s="78" t="e">
        <f t="shared" si="2"/>
        <v>#DIV/0!</v>
      </c>
      <c r="O44" s="53" t="s">
        <v>20</v>
      </c>
      <c r="P44" s="53" t="s">
        <v>20</v>
      </c>
      <c r="Q44" s="30" t="s">
        <v>20</v>
      </c>
      <c r="R44" s="30" t="s">
        <v>20</v>
      </c>
      <c r="S44" s="70" t="s">
        <v>20</v>
      </c>
      <c r="T44" s="70" t="s">
        <v>20</v>
      </c>
      <c r="U44" s="81" t="s">
        <v>20</v>
      </c>
      <c r="V44" s="30" t="s">
        <v>20</v>
      </c>
      <c r="W44" s="30" t="s">
        <v>20</v>
      </c>
      <c r="X44" s="84" t="s">
        <v>20</v>
      </c>
      <c r="Y44" s="32">
        <v>2</v>
      </c>
      <c r="Z44" s="33" t="s">
        <v>20</v>
      </c>
      <c r="AA44" s="30" t="s">
        <v>20</v>
      </c>
      <c r="AB44" s="33" t="s">
        <v>20</v>
      </c>
      <c r="AC44" s="30" t="s">
        <v>20</v>
      </c>
      <c r="AD44" s="30" t="s">
        <v>20</v>
      </c>
      <c r="AE44" s="33" t="s">
        <v>20</v>
      </c>
      <c r="AF44" s="15"/>
      <c r="AG44" s="15"/>
      <c r="AH44" s="9"/>
      <c r="AI44" s="9"/>
      <c r="AJ44" s="50"/>
      <c r="AK44" s="62"/>
      <c r="AL44" s="35">
        <v>40000000</v>
      </c>
      <c r="AM44" s="35">
        <v>55664000</v>
      </c>
      <c r="AN44" s="35">
        <v>0</v>
      </c>
      <c r="AO44" s="35">
        <v>0</v>
      </c>
      <c r="AP44" s="79" t="s">
        <v>20</v>
      </c>
      <c r="AQ44" s="79" t="s">
        <v>20</v>
      </c>
      <c r="AR44" s="62"/>
      <c r="AS44" s="62"/>
      <c r="AT44" s="5"/>
      <c r="AU44" s="62"/>
    </row>
    <row r="45" spans="1:47" ht="38.25" x14ac:dyDescent="0.25">
      <c r="A45" s="72" t="s">
        <v>45</v>
      </c>
      <c r="B45" s="69" t="s">
        <v>15</v>
      </c>
      <c r="C45" s="29">
        <v>12700000</v>
      </c>
      <c r="D45" s="29">
        <v>12700000</v>
      </c>
      <c r="E45" s="30" t="s">
        <v>16</v>
      </c>
      <c r="F45" s="32" t="s">
        <v>46</v>
      </c>
      <c r="G45" s="65">
        <v>1</v>
      </c>
      <c r="H45" s="34">
        <v>0</v>
      </c>
      <c r="I45" s="53" t="s">
        <v>20</v>
      </c>
      <c r="J45" s="35"/>
      <c r="K45" s="86" t="e">
        <f t="shared" si="1"/>
        <v>#DIV/0!</v>
      </c>
      <c r="L45" s="35"/>
      <c r="M45" s="86"/>
      <c r="N45" s="78" t="e">
        <f t="shared" si="2"/>
        <v>#DIV/0!</v>
      </c>
      <c r="O45" s="53" t="s">
        <v>20</v>
      </c>
      <c r="P45" s="53" t="s">
        <v>20</v>
      </c>
      <c r="Q45" s="30" t="s">
        <v>20</v>
      </c>
      <c r="R45" s="30" t="s">
        <v>20</v>
      </c>
      <c r="S45" s="70" t="s">
        <v>20</v>
      </c>
      <c r="T45" s="70" t="s">
        <v>20</v>
      </c>
      <c r="U45" s="81" t="s">
        <v>20</v>
      </c>
      <c r="V45" s="30" t="s">
        <v>20</v>
      </c>
      <c r="W45" s="30" t="s">
        <v>20</v>
      </c>
      <c r="X45" s="84" t="s">
        <v>20</v>
      </c>
      <c r="Y45" s="32">
        <v>2</v>
      </c>
      <c r="Z45" s="33" t="s">
        <v>20</v>
      </c>
      <c r="AA45" s="30" t="s">
        <v>20</v>
      </c>
      <c r="AB45" s="33" t="s">
        <v>20</v>
      </c>
      <c r="AC45" s="30" t="s">
        <v>20</v>
      </c>
      <c r="AD45" s="30" t="s">
        <v>20</v>
      </c>
      <c r="AE45" s="33" t="s">
        <v>20</v>
      </c>
      <c r="AF45" s="15"/>
      <c r="AG45" s="15"/>
      <c r="AH45" s="9"/>
      <c r="AI45" s="9"/>
      <c r="AJ45" s="50"/>
      <c r="AK45" s="62"/>
      <c r="AL45" s="35" t="s">
        <v>136</v>
      </c>
      <c r="AM45" s="35">
        <v>0</v>
      </c>
      <c r="AN45" s="35">
        <v>0</v>
      </c>
      <c r="AO45" s="35"/>
      <c r="AP45" s="79" t="s">
        <v>20</v>
      </c>
      <c r="AQ45" s="79" t="s">
        <v>20</v>
      </c>
      <c r="AR45" s="62"/>
      <c r="AS45" s="62"/>
      <c r="AT45" s="5"/>
      <c r="AU45" s="62"/>
    </row>
    <row r="46" spans="1:47" x14ac:dyDescent="0.25">
      <c r="A46" s="72" t="s">
        <v>65</v>
      </c>
      <c r="B46" s="69" t="s">
        <v>15</v>
      </c>
      <c r="C46" s="29">
        <v>2000000</v>
      </c>
      <c r="D46" s="29">
        <v>2000000</v>
      </c>
      <c r="E46" s="30" t="s">
        <v>16</v>
      </c>
      <c r="F46" s="31" t="s">
        <v>66</v>
      </c>
      <c r="G46" s="65"/>
      <c r="H46" s="34">
        <v>0</v>
      </c>
      <c r="I46" s="53" t="s">
        <v>20</v>
      </c>
      <c r="J46" s="35"/>
      <c r="K46" s="86" t="e">
        <f t="shared" si="1"/>
        <v>#DIV/0!</v>
      </c>
      <c r="L46" s="35"/>
      <c r="M46" s="86"/>
      <c r="N46" s="78" t="e">
        <f t="shared" si="2"/>
        <v>#DIV/0!</v>
      </c>
      <c r="O46" s="53" t="s">
        <v>20</v>
      </c>
      <c r="P46" s="53" t="s">
        <v>20</v>
      </c>
      <c r="Q46" s="30" t="s">
        <v>20</v>
      </c>
      <c r="R46" s="30" t="s">
        <v>20</v>
      </c>
      <c r="S46" s="70" t="s">
        <v>20</v>
      </c>
      <c r="T46" s="70" t="s">
        <v>20</v>
      </c>
      <c r="U46" s="81" t="s">
        <v>20</v>
      </c>
      <c r="V46" s="30" t="s">
        <v>20</v>
      </c>
      <c r="W46" s="30" t="s">
        <v>20</v>
      </c>
      <c r="X46" s="84" t="s">
        <v>20</v>
      </c>
      <c r="Y46" s="32">
        <v>2</v>
      </c>
      <c r="Z46" s="33" t="s">
        <v>20</v>
      </c>
      <c r="AA46" s="30" t="s">
        <v>20</v>
      </c>
      <c r="AB46" s="33" t="s">
        <v>20</v>
      </c>
      <c r="AC46" s="30" t="s">
        <v>20</v>
      </c>
      <c r="AD46" s="30" t="s">
        <v>20</v>
      </c>
      <c r="AE46" s="33" t="s">
        <v>20</v>
      </c>
      <c r="AF46" s="15"/>
      <c r="AG46" s="15"/>
      <c r="AH46" s="9"/>
      <c r="AI46" s="9"/>
      <c r="AJ46" s="50"/>
      <c r="AK46" s="62"/>
      <c r="AL46" s="35">
        <v>2000000</v>
      </c>
      <c r="AM46" s="35">
        <v>0</v>
      </c>
      <c r="AN46" s="35">
        <v>0</v>
      </c>
      <c r="AO46" s="35">
        <v>0</v>
      </c>
      <c r="AP46" s="79" t="s">
        <v>20</v>
      </c>
      <c r="AQ46" s="79" t="s">
        <v>20</v>
      </c>
      <c r="AR46" s="62"/>
      <c r="AS46" s="62"/>
      <c r="AT46" s="5"/>
      <c r="AU46" s="62"/>
    </row>
    <row r="47" spans="1:47" ht="63.75" x14ac:dyDescent="0.25">
      <c r="A47" s="46" t="s">
        <v>101</v>
      </c>
      <c r="B47" s="69" t="s">
        <v>15</v>
      </c>
      <c r="C47" s="29">
        <v>2000000</v>
      </c>
      <c r="D47" s="29">
        <v>2000000</v>
      </c>
      <c r="E47" s="30" t="s">
        <v>83</v>
      </c>
      <c r="F47" s="31" t="s">
        <v>120</v>
      </c>
      <c r="G47" s="65">
        <f>1/5</f>
        <v>0.2</v>
      </c>
      <c r="H47" s="77">
        <f>1614126.16867728-50000</f>
        <v>1564126.16867728</v>
      </c>
      <c r="I47" s="94">
        <f t="shared" ref="I47:I48" si="11">+H47/C47</f>
        <v>0.78206308433864002</v>
      </c>
      <c r="J47" s="35">
        <v>0</v>
      </c>
      <c r="K47" s="95">
        <f t="shared" si="1"/>
        <v>0</v>
      </c>
      <c r="L47" s="9">
        <v>0</v>
      </c>
      <c r="M47" s="9">
        <v>0</v>
      </c>
      <c r="N47" s="94">
        <f t="shared" si="2"/>
        <v>0</v>
      </c>
      <c r="O47" s="21" t="s">
        <v>20</v>
      </c>
      <c r="P47" s="21" t="s">
        <v>20</v>
      </c>
      <c r="Q47" s="70">
        <v>3</v>
      </c>
      <c r="R47" s="70">
        <v>3</v>
      </c>
      <c r="S47" s="70">
        <v>0</v>
      </c>
      <c r="T47" s="70">
        <v>9.8696432326299086E-2</v>
      </c>
      <c r="U47" s="81">
        <v>4.6011262672537481E-2</v>
      </c>
      <c r="V47" s="30">
        <v>612686.55900000001</v>
      </c>
      <c r="W47" s="30">
        <v>0</v>
      </c>
      <c r="X47" s="65">
        <f t="shared" si="3"/>
        <v>0</v>
      </c>
      <c r="Y47" s="32">
        <v>1</v>
      </c>
      <c r="Z47" s="33">
        <v>71967.42</v>
      </c>
      <c r="AA47" s="30" t="s">
        <v>31</v>
      </c>
      <c r="AB47" s="33">
        <v>20000</v>
      </c>
      <c r="AC47" s="33">
        <v>20000</v>
      </c>
      <c r="AD47" s="84">
        <f t="shared" si="7"/>
        <v>3.2643118583575784E-2</v>
      </c>
      <c r="AE47" s="30"/>
      <c r="AF47" s="15"/>
      <c r="AG47" s="15"/>
      <c r="AH47" s="9"/>
      <c r="AI47" s="9"/>
      <c r="AJ47" s="50"/>
      <c r="AK47" s="62"/>
      <c r="AL47" s="75">
        <v>6700000</v>
      </c>
      <c r="AM47" s="75">
        <v>7581000</v>
      </c>
      <c r="AN47" s="75">
        <f>38000+364000+1851000+28000</f>
        <v>2281000</v>
      </c>
      <c r="AO47" s="75">
        <v>165</v>
      </c>
      <c r="AP47" s="52">
        <f t="shared" si="4"/>
        <v>0.30088378841841446</v>
      </c>
      <c r="AQ47" s="89">
        <f t="shared" si="5"/>
        <v>0.30088378841841446</v>
      </c>
      <c r="AR47" s="62"/>
      <c r="AS47" s="62"/>
      <c r="AT47" s="5"/>
      <c r="AU47" s="62"/>
    </row>
    <row r="48" spans="1:47" ht="25.5" x14ac:dyDescent="0.25">
      <c r="A48" s="68" t="s">
        <v>67</v>
      </c>
      <c r="B48" s="73" t="s">
        <v>48</v>
      </c>
      <c r="C48" s="29">
        <v>331859</v>
      </c>
      <c r="D48" s="29">
        <v>331859</v>
      </c>
      <c r="E48" s="30" t="s">
        <v>85</v>
      </c>
      <c r="F48" s="31" t="s">
        <v>68</v>
      </c>
      <c r="G48" s="65">
        <v>1</v>
      </c>
      <c r="H48" s="77">
        <v>251446.05890855458</v>
      </c>
      <c r="I48" s="94">
        <f t="shared" si="11"/>
        <v>0.75768943710598347</v>
      </c>
      <c r="J48" s="35">
        <v>0</v>
      </c>
      <c r="K48" s="95">
        <f t="shared" si="1"/>
        <v>0</v>
      </c>
      <c r="L48" s="9">
        <v>0</v>
      </c>
      <c r="M48" s="9">
        <v>0</v>
      </c>
      <c r="N48" s="94">
        <f t="shared" si="2"/>
        <v>0</v>
      </c>
      <c r="O48" s="21" t="s">
        <v>20</v>
      </c>
      <c r="P48" s="21" t="s">
        <v>20</v>
      </c>
      <c r="Q48" s="70">
        <v>3</v>
      </c>
      <c r="R48" s="70">
        <v>5</v>
      </c>
      <c r="S48" s="70">
        <v>23.194390475415609</v>
      </c>
      <c r="T48" s="70">
        <v>3.0609388983809289</v>
      </c>
      <c r="U48" s="81">
        <v>4.1153389100297213</v>
      </c>
      <c r="V48" s="33">
        <v>345885.95189999999</v>
      </c>
      <c r="W48" s="30">
        <v>384281.11600000004</v>
      </c>
      <c r="X48" s="65">
        <f t="shared" si="3"/>
        <v>1.1110052717928844</v>
      </c>
      <c r="Y48" s="32">
        <v>1</v>
      </c>
      <c r="Z48" s="9">
        <v>1034785.75</v>
      </c>
      <c r="AA48" s="30" t="s">
        <v>21</v>
      </c>
      <c r="AB48" s="33">
        <v>56433</v>
      </c>
      <c r="AC48" s="33">
        <v>56433</v>
      </c>
      <c r="AD48" s="84">
        <f t="shared" si="7"/>
        <v>0.16315493500098985</v>
      </c>
      <c r="AE48" s="21" t="s">
        <v>21</v>
      </c>
      <c r="AF48" s="15"/>
      <c r="AG48" s="15"/>
      <c r="AH48" s="9"/>
      <c r="AI48" s="9"/>
      <c r="AJ48" s="50"/>
      <c r="AK48" s="62"/>
      <c r="AL48" s="35">
        <v>30000000</v>
      </c>
      <c r="AM48" s="35">
        <v>10905000</v>
      </c>
      <c r="AN48" s="35">
        <v>815000</v>
      </c>
      <c r="AO48" s="35">
        <v>6</v>
      </c>
      <c r="AP48" s="52">
        <f t="shared" si="4"/>
        <v>7.4736359468133881E-2</v>
      </c>
      <c r="AQ48" s="89">
        <f t="shared" si="5"/>
        <v>7.4736359468133881E-2</v>
      </c>
      <c r="AR48" s="62"/>
      <c r="AS48" s="62"/>
      <c r="AT48" s="5"/>
      <c r="AU48" s="62"/>
    </row>
    <row r="49" spans="1:47" ht="25.5" x14ac:dyDescent="0.25">
      <c r="A49" s="68" t="s">
        <v>67</v>
      </c>
      <c r="B49" s="73" t="s">
        <v>48</v>
      </c>
      <c r="C49" s="29">
        <v>331859</v>
      </c>
      <c r="D49" s="29">
        <v>331859</v>
      </c>
      <c r="E49" s="30" t="s">
        <v>16</v>
      </c>
      <c r="F49" s="31" t="s">
        <v>68</v>
      </c>
      <c r="G49" s="65">
        <v>1</v>
      </c>
      <c r="H49" s="34">
        <v>0</v>
      </c>
      <c r="I49" s="53" t="s">
        <v>20</v>
      </c>
      <c r="J49" s="35"/>
      <c r="K49" s="86" t="e">
        <f t="shared" si="1"/>
        <v>#DIV/0!</v>
      </c>
      <c r="L49" s="9"/>
      <c r="M49" s="9"/>
      <c r="N49" s="78" t="e">
        <f t="shared" si="2"/>
        <v>#DIV/0!</v>
      </c>
      <c r="O49" s="53" t="s">
        <v>20</v>
      </c>
      <c r="P49" s="53" t="s">
        <v>20</v>
      </c>
      <c r="Q49" s="30" t="s">
        <v>20</v>
      </c>
      <c r="R49" s="30" t="s">
        <v>20</v>
      </c>
      <c r="S49" s="70" t="s">
        <v>20</v>
      </c>
      <c r="T49" s="70" t="s">
        <v>20</v>
      </c>
      <c r="U49" s="81" t="s">
        <v>20</v>
      </c>
      <c r="V49" s="30" t="s">
        <v>20</v>
      </c>
      <c r="W49" s="30" t="s">
        <v>20</v>
      </c>
      <c r="X49" s="84" t="s">
        <v>20</v>
      </c>
      <c r="Y49" s="32">
        <v>2</v>
      </c>
      <c r="Z49" s="33" t="s">
        <v>20</v>
      </c>
      <c r="AA49" s="50" t="s">
        <v>20</v>
      </c>
      <c r="AB49" s="33" t="s">
        <v>20</v>
      </c>
      <c r="AC49" s="30" t="s">
        <v>20</v>
      </c>
      <c r="AD49" s="30" t="s">
        <v>20</v>
      </c>
      <c r="AE49" s="33" t="s">
        <v>20</v>
      </c>
      <c r="AF49" s="15"/>
      <c r="AG49" s="15"/>
      <c r="AH49" s="9"/>
      <c r="AI49" s="9"/>
      <c r="AJ49" s="50"/>
      <c r="AK49" s="62"/>
      <c r="AL49" s="35">
        <v>30000000</v>
      </c>
      <c r="AM49" s="35">
        <v>0</v>
      </c>
      <c r="AN49" s="35">
        <v>0</v>
      </c>
      <c r="AO49" s="42"/>
      <c r="AP49" s="79" t="s">
        <v>20</v>
      </c>
      <c r="AQ49" s="79" t="s">
        <v>20</v>
      </c>
      <c r="AR49" s="62"/>
      <c r="AS49" s="62"/>
      <c r="AT49" s="5"/>
      <c r="AU49" s="62"/>
    </row>
    <row r="50" spans="1:47" ht="25.5" x14ac:dyDescent="0.25">
      <c r="A50" s="1" t="s">
        <v>118</v>
      </c>
      <c r="B50" s="69" t="s">
        <v>15</v>
      </c>
      <c r="C50" s="29">
        <v>3000000</v>
      </c>
      <c r="D50" s="29">
        <v>3000000</v>
      </c>
      <c r="E50" s="30" t="s">
        <v>85</v>
      </c>
      <c r="F50" s="31" t="s">
        <v>117</v>
      </c>
      <c r="G50" s="65">
        <v>0.5</v>
      </c>
      <c r="H50" s="77">
        <v>2000000</v>
      </c>
      <c r="I50" s="94">
        <f t="shared" ref="I50:I54" si="12">+H50/C50</f>
        <v>0.66666666666666663</v>
      </c>
      <c r="J50" s="35">
        <v>0</v>
      </c>
      <c r="K50" s="95">
        <f t="shared" si="1"/>
        <v>0</v>
      </c>
      <c r="L50" s="9">
        <v>0</v>
      </c>
      <c r="M50" s="9">
        <v>0</v>
      </c>
      <c r="N50" s="94">
        <f t="shared" si="2"/>
        <v>0</v>
      </c>
      <c r="O50" s="21" t="s">
        <v>20</v>
      </c>
      <c r="P50" s="21" t="s">
        <v>20</v>
      </c>
      <c r="Q50" s="70">
        <v>3</v>
      </c>
      <c r="R50" s="70">
        <v>3.1</v>
      </c>
      <c r="S50" s="70">
        <v>32.559348759999999</v>
      </c>
      <c r="T50" s="70">
        <v>0</v>
      </c>
      <c r="U50" s="81">
        <v>13.405317595</v>
      </c>
      <c r="V50" s="33">
        <v>8371692.5420000004</v>
      </c>
      <c r="W50" s="30">
        <v>6768173.9499999993</v>
      </c>
      <c r="X50" s="65">
        <f t="shared" si="3"/>
        <v>0.80845945023001053</v>
      </c>
      <c r="Y50" s="32">
        <v>2</v>
      </c>
      <c r="Z50" s="9">
        <v>26810635.189999998</v>
      </c>
      <c r="AA50" s="50" t="s">
        <v>21</v>
      </c>
      <c r="AB50" s="33">
        <v>305665</v>
      </c>
      <c r="AC50" s="33">
        <v>0</v>
      </c>
      <c r="AD50" s="33">
        <v>0</v>
      </c>
      <c r="AE50" s="21" t="s">
        <v>21</v>
      </c>
      <c r="AF50" s="15"/>
      <c r="AG50" s="15"/>
      <c r="AH50" s="9"/>
      <c r="AI50" s="9"/>
      <c r="AJ50" s="50"/>
      <c r="AK50" s="62"/>
      <c r="AL50" s="75">
        <v>3000000</v>
      </c>
      <c r="AM50" s="75">
        <v>0</v>
      </c>
      <c r="AN50" s="35">
        <v>0</v>
      </c>
      <c r="AO50" s="85">
        <v>0</v>
      </c>
      <c r="AP50" s="79" t="s">
        <v>20</v>
      </c>
      <c r="AQ50" s="79" t="s">
        <v>20</v>
      </c>
      <c r="AR50" s="62"/>
      <c r="AS50" s="62"/>
      <c r="AT50" s="5"/>
      <c r="AU50" s="62"/>
    </row>
    <row r="51" spans="1:47" x14ac:dyDescent="0.25">
      <c r="A51" s="1" t="s">
        <v>121</v>
      </c>
      <c r="B51" s="69" t="s">
        <v>48</v>
      </c>
      <c r="C51" s="29">
        <v>110000</v>
      </c>
      <c r="D51" s="29">
        <v>110000</v>
      </c>
      <c r="E51" s="30" t="s">
        <v>100</v>
      </c>
      <c r="F51" s="31" t="s">
        <v>124</v>
      </c>
      <c r="G51" s="65">
        <v>0</v>
      </c>
      <c r="H51" s="77">
        <v>52465.91</v>
      </c>
      <c r="I51" s="94">
        <f t="shared" si="12"/>
        <v>0.47696281818181824</v>
      </c>
      <c r="J51" s="35">
        <v>0</v>
      </c>
      <c r="K51" s="95">
        <f t="shared" si="1"/>
        <v>0</v>
      </c>
      <c r="L51" s="9">
        <v>0</v>
      </c>
      <c r="M51" s="9">
        <v>0</v>
      </c>
      <c r="N51" s="94">
        <f t="shared" si="2"/>
        <v>0</v>
      </c>
      <c r="O51" s="3">
        <f>0.0840277777777778/C51</f>
        <v>7.6388888888888912E-7</v>
      </c>
      <c r="P51" s="87">
        <f t="shared" si="6"/>
        <v>68682645818.181801</v>
      </c>
      <c r="Q51" s="70">
        <v>1.2</v>
      </c>
      <c r="R51" s="70">
        <v>1.2</v>
      </c>
      <c r="S51" s="70">
        <v>0</v>
      </c>
      <c r="T51" s="70">
        <v>0</v>
      </c>
      <c r="U51" s="81">
        <v>7.54579343539951</v>
      </c>
      <c r="V51" s="30" t="s">
        <v>20</v>
      </c>
      <c r="W51" s="30" t="s">
        <v>20</v>
      </c>
      <c r="X51" s="65" t="s">
        <v>20</v>
      </c>
      <c r="Y51" s="32">
        <v>2</v>
      </c>
      <c r="Z51" s="3">
        <v>395896.91926026152</v>
      </c>
      <c r="AA51" s="50" t="s">
        <v>31</v>
      </c>
      <c r="AB51" s="9">
        <v>0</v>
      </c>
      <c r="AC51" s="9">
        <v>0</v>
      </c>
      <c r="AD51" s="33">
        <v>0</v>
      </c>
      <c r="AE51" s="33"/>
      <c r="AF51" s="30"/>
      <c r="AG51" s="30"/>
      <c r="AH51" s="63"/>
      <c r="AI51" s="63"/>
      <c r="AJ51" s="50"/>
      <c r="AK51" s="62"/>
      <c r="AL51" s="9">
        <v>3100000</v>
      </c>
      <c r="AM51" s="9">
        <v>1901000</v>
      </c>
      <c r="AN51" s="41">
        <v>1901000</v>
      </c>
      <c r="AO51" s="41">
        <v>275</v>
      </c>
      <c r="AP51" s="52">
        <f t="shared" si="4"/>
        <v>1</v>
      </c>
      <c r="AQ51" s="89">
        <f t="shared" si="5"/>
        <v>1</v>
      </c>
      <c r="AR51" s="62"/>
      <c r="AS51" s="62"/>
      <c r="AT51" s="5"/>
      <c r="AU51" s="62"/>
    </row>
    <row r="52" spans="1:47" ht="25.5" x14ac:dyDescent="0.25">
      <c r="A52" s="1" t="s">
        <v>157</v>
      </c>
      <c r="B52" s="69" t="s">
        <v>15</v>
      </c>
      <c r="C52" s="29">
        <v>3000000</v>
      </c>
      <c r="D52" s="29">
        <v>3000000</v>
      </c>
      <c r="E52" s="30" t="s">
        <v>85</v>
      </c>
      <c r="F52" s="31" t="s">
        <v>158</v>
      </c>
      <c r="G52" s="65">
        <v>1</v>
      </c>
      <c r="H52" s="77">
        <v>1500000</v>
      </c>
      <c r="I52" s="94">
        <f t="shared" si="12"/>
        <v>0.5</v>
      </c>
      <c r="J52" s="35">
        <v>0</v>
      </c>
      <c r="K52" s="95">
        <f t="shared" si="1"/>
        <v>0</v>
      </c>
      <c r="L52" s="9">
        <v>0</v>
      </c>
      <c r="M52" s="9">
        <v>0</v>
      </c>
      <c r="N52" s="94">
        <f t="shared" si="2"/>
        <v>0</v>
      </c>
      <c r="O52" s="3">
        <v>4.2361111111111106E-2</v>
      </c>
      <c r="P52" s="87">
        <f t="shared" si="6"/>
        <v>35409836.065573774</v>
      </c>
      <c r="Q52" s="70">
        <v>2.5</v>
      </c>
      <c r="R52" s="70">
        <v>2.5</v>
      </c>
      <c r="S52" s="70">
        <v>32.559184328816308</v>
      </c>
      <c r="T52" s="70">
        <v>9.9841018003179638</v>
      </c>
      <c r="U52" s="81">
        <v>8.3950085533333318</v>
      </c>
      <c r="V52" s="30">
        <v>4508585.1440000003</v>
      </c>
      <c r="W52" s="30">
        <v>6286488.5100000007</v>
      </c>
      <c r="X52" s="65">
        <f t="shared" si="3"/>
        <v>1.394337316301107</v>
      </c>
      <c r="Y52" s="32">
        <v>2</v>
      </c>
      <c r="Z52" s="3">
        <v>12592512.829999998</v>
      </c>
      <c r="AA52" s="50" t="s">
        <v>21</v>
      </c>
      <c r="AB52" s="33">
        <v>2168984.13</v>
      </c>
      <c r="AC52" s="33">
        <v>1664017</v>
      </c>
      <c r="AD52" s="84">
        <f t="shared" si="7"/>
        <v>0.36907742603341193</v>
      </c>
      <c r="AE52" s="21" t="s">
        <v>21</v>
      </c>
      <c r="AF52" s="30"/>
      <c r="AG52" s="30"/>
      <c r="AH52" s="63"/>
      <c r="AI52" s="63"/>
      <c r="AJ52" s="50"/>
      <c r="AK52" s="62"/>
      <c r="AL52" s="35">
        <v>5000000</v>
      </c>
      <c r="AM52" s="35">
        <v>3187000</v>
      </c>
      <c r="AN52" s="42">
        <v>0</v>
      </c>
      <c r="AO52" s="42">
        <v>0</v>
      </c>
      <c r="AP52" s="79" t="s">
        <v>20</v>
      </c>
      <c r="AQ52" s="79" t="s">
        <v>20</v>
      </c>
      <c r="AR52" s="62"/>
      <c r="AS52" s="62"/>
      <c r="AT52" s="5"/>
      <c r="AU52" s="62"/>
    </row>
    <row r="53" spans="1:47" x14ac:dyDescent="0.25">
      <c r="A53" s="68" t="s">
        <v>34</v>
      </c>
      <c r="B53" s="69" t="s">
        <v>15</v>
      </c>
      <c r="C53" s="30">
        <v>8000000</v>
      </c>
      <c r="D53" s="30">
        <v>8000000</v>
      </c>
      <c r="E53" s="30" t="s">
        <v>83</v>
      </c>
      <c r="F53" s="32" t="s">
        <v>36</v>
      </c>
      <c r="G53" s="65">
        <v>1</v>
      </c>
      <c r="H53" s="34">
        <v>1901156.6312294751</v>
      </c>
      <c r="I53" s="94">
        <f t="shared" si="12"/>
        <v>0.2376445789036844</v>
      </c>
      <c r="J53" s="35">
        <v>0</v>
      </c>
      <c r="K53" s="95">
        <f t="shared" si="1"/>
        <v>0</v>
      </c>
      <c r="L53" s="9">
        <v>0</v>
      </c>
      <c r="M53" s="9">
        <v>0</v>
      </c>
      <c r="N53" s="94">
        <f t="shared" si="2"/>
        <v>0</v>
      </c>
      <c r="O53" s="21" t="s">
        <v>20</v>
      </c>
      <c r="P53" s="21" t="s">
        <v>20</v>
      </c>
      <c r="Q53" s="70">
        <v>3</v>
      </c>
      <c r="R53" s="70">
        <v>3</v>
      </c>
      <c r="S53" s="70">
        <v>3.5222327910052913</v>
      </c>
      <c r="T53" s="70">
        <v>2.2139986818128299</v>
      </c>
      <c r="U53" s="81">
        <v>2.0439304558967546</v>
      </c>
      <c r="V53" s="30">
        <v>1583487.4729999998</v>
      </c>
      <c r="W53" s="30">
        <v>980320.79999999993</v>
      </c>
      <c r="X53" s="65">
        <f t="shared" si="3"/>
        <v>0.6190897097169521</v>
      </c>
      <c r="Y53" s="32">
        <v>2</v>
      </c>
      <c r="Z53" s="3">
        <v>3885831.9399999995</v>
      </c>
      <c r="AA53" s="50" t="s">
        <v>25</v>
      </c>
      <c r="AB53" s="33">
        <v>2027187</v>
      </c>
      <c r="AC53" s="9">
        <v>897130</v>
      </c>
      <c r="AD53" s="84">
        <f t="shared" si="7"/>
        <v>0.56655326631687231</v>
      </c>
      <c r="AE53" s="50" t="s">
        <v>25</v>
      </c>
      <c r="AF53" s="30"/>
      <c r="AG53" s="30"/>
      <c r="AH53" s="63"/>
      <c r="AI53" s="63"/>
      <c r="AJ53" s="50"/>
      <c r="AK53" s="62"/>
      <c r="AL53" s="35">
        <v>30000000</v>
      </c>
      <c r="AM53" s="35">
        <v>47375000</v>
      </c>
      <c r="AN53" s="42">
        <v>0</v>
      </c>
      <c r="AO53" s="42">
        <v>0</v>
      </c>
      <c r="AP53" s="79" t="s">
        <v>20</v>
      </c>
      <c r="AQ53" s="79" t="s">
        <v>20</v>
      </c>
      <c r="AR53" s="62"/>
      <c r="AS53" s="62"/>
      <c r="AT53" s="5"/>
      <c r="AU53" s="62"/>
    </row>
    <row r="54" spans="1:47" x14ac:dyDescent="0.25">
      <c r="A54" s="68" t="s">
        <v>26</v>
      </c>
      <c r="B54" s="69" t="s">
        <v>15</v>
      </c>
      <c r="C54" s="30">
        <v>15000000</v>
      </c>
      <c r="D54" s="30">
        <v>15000000</v>
      </c>
      <c r="E54" s="30" t="s">
        <v>83</v>
      </c>
      <c r="F54" s="32" t="s">
        <v>27</v>
      </c>
      <c r="G54" s="65">
        <v>0</v>
      </c>
      <c r="H54" s="77">
        <v>2906238.140000008</v>
      </c>
      <c r="I54" s="94">
        <f t="shared" si="12"/>
        <v>0.19374920933333387</v>
      </c>
      <c r="J54" s="35">
        <v>0</v>
      </c>
      <c r="K54" s="95">
        <f t="shared" si="1"/>
        <v>0</v>
      </c>
      <c r="L54" s="9">
        <v>0</v>
      </c>
      <c r="M54" s="9">
        <v>0</v>
      </c>
      <c r="N54" s="94">
        <f t="shared" si="2"/>
        <v>0</v>
      </c>
      <c r="O54" s="21" t="s">
        <v>20</v>
      </c>
      <c r="P54" s="21" t="s">
        <v>20</v>
      </c>
      <c r="Q54" s="70">
        <v>2</v>
      </c>
      <c r="R54" s="70">
        <v>3.4</v>
      </c>
      <c r="S54" s="70">
        <v>0.93811888566502954</v>
      </c>
      <c r="T54" s="70">
        <v>1.2355072629994577</v>
      </c>
      <c r="U54" s="81">
        <v>0.47713118237447533</v>
      </c>
      <c r="V54" s="33">
        <v>4742514.6850000005</v>
      </c>
      <c r="W54" s="30">
        <v>4091851.3600000003</v>
      </c>
      <c r="X54" s="65">
        <f t="shared" si="3"/>
        <v>0.86280204317385256</v>
      </c>
      <c r="Y54" s="32">
        <v>1</v>
      </c>
      <c r="Z54" s="33">
        <v>1386656.8399999999</v>
      </c>
      <c r="AA54" s="50" t="s">
        <v>21</v>
      </c>
      <c r="AB54" s="33">
        <v>1500000</v>
      </c>
      <c r="AC54" s="9">
        <v>1500000</v>
      </c>
      <c r="AD54" s="84">
        <f t="shared" si="7"/>
        <v>0.31628789779909766</v>
      </c>
      <c r="AE54" s="50" t="s">
        <v>21</v>
      </c>
      <c r="AF54" s="15"/>
      <c r="AG54" s="15"/>
      <c r="AH54" s="9"/>
      <c r="AI54" s="9"/>
      <c r="AJ54" s="50"/>
      <c r="AK54" s="62"/>
      <c r="AL54" s="35">
        <v>31000000</v>
      </c>
      <c r="AM54" s="35">
        <v>9902000</v>
      </c>
      <c r="AN54" s="42">
        <v>0</v>
      </c>
      <c r="AO54" s="42">
        <v>0</v>
      </c>
      <c r="AP54" s="79" t="s">
        <v>20</v>
      </c>
      <c r="AQ54" s="79" t="s">
        <v>20</v>
      </c>
      <c r="AR54" s="62"/>
      <c r="AS54" s="62"/>
      <c r="AT54" s="5"/>
      <c r="AU54" s="62"/>
    </row>
    <row r="55" spans="1:47" x14ac:dyDescent="0.25">
      <c r="A55" s="46" t="s">
        <v>163</v>
      </c>
      <c r="B55" s="69" t="s">
        <v>15</v>
      </c>
      <c r="C55" s="29">
        <v>5000000</v>
      </c>
      <c r="D55" s="29">
        <v>5000000</v>
      </c>
      <c r="E55" s="30" t="s">
        <v>16</v>
      </c>
      <c r="F55" s="31" t="s">
        <v>164</v>
      </c>
      <c r="G55" s="65">
        <v>1</v>
      </c>
      <c r="H55" s="77">
        <v>0</v>
      </c>
      <c r="I55" s="53" t="s">
        <v>20</v>
      </c>
      <c r="J55" s="35"/>
      <c r="K55" s="86" t="e">
        <f t="shared" si="1"/>
        <v>#DIV/0!</v>
      </c>
      <c r="L55" s="35"/>
      <c r="M55" s="86"/>
      <c r="N55" s="78" t="e">
        <f t="shared" si="2"/>
        <v>#DIV/0!</v>
      </c>
      <c r="O55" s="92" t="s">
        <v>266</v>
      </c>
      <c r="P55" s="87" t="e">
        <f t="shared" si="6"/>
        <v>#VALUE!</v>
      </c>
      <c r="Q55" s="91"/>
      <c r="R55" s="71">
        <v>1.1100000000000001</v>
      </c>
      <c r="S55" s="70" t="s">
        <v>20</v>
      </c>
      <c r="T55" s="70" t="s">
        <v>20</v>
      </c>
      <c r="U55" s="81" t="s">
        <v>20</v>
      </c>
      <c r="V55" s="30" t="s">
        <v>20</v>
      </c>
      <c r="W55" s="30" t="s">
        <v>20</v>
      </c>
      <c r="X55" s="84" t="s">
        <v>20</v>
      </c>
      <c r="Y55" s="32">
        <v>2</v>
      </c>
      <c r="Z55" s="9" t="s">
        <v>20</v>
      </c>
      <c r="AA55" s="50" t="s">
        <v>21</v>
      </c>
      <c r="AB55" s="33" t="s">
        <v>20</v>
      </c>
      <c r="AC55" s="30" t="s">
        <v>20</v>
      </c>
      <c r="AD55" s="30" t="s">
        <v>20</v>
      </c>
      <c r="AE55" s="33" t="s">
        <v>20</v>
      </c>
      <c r="AF55" s="15"/>
      <c r="AG55" s="15"/>
      <c r="AH55" s="9"/>
      <c r="AI55" s="9"/>
      <c r="AJ55" s="50"/>
      <c r="AK55" s="62"/>
      <c r="AL55" s="35">
        <v>6000000</v>
      </c>
      <c r="AM55" s="35">
        <v>2221000</v>
      </c>
      <c r="AN55" s="42">
        <v>0</v>
      </c>
      <c r="AO55" s="42">
        <v>0</v>
      </c>
      <c r="AP55" s="79" t="s">
        <v>20</v>
      </c>
      <c r="AQ55" s="79" t="s">
        <v>20</v>
      </c>
      <c r="AR55" s="62"/>
      <c r="AS55" s="62"/>
      <c r="AT55" s="5"/>
      <c r="AU55" s="62"/>
    </row>
    <row r="56" spans="1:47" x14ac:dyDescent="0.25">
      <c r="A56" s="68" t="s">
        <v>32</v>
      </c>
      <c r="B56" s="69" t="s">
        <v>15</v>
      </c>
      <c r="C56" s="30">
        <v>15000000</v>
      </c>
      <c r="D56" s="30">
        <v>15000000</v>
      </c>
      <c r="E56" s="30" t="s">
        <v>84</v>
      </c>
      <c r="F56" s="32" t="s">
        <v>33</v>
      </c>
      <c r="G56" s="65">
        <v>1</v>
      </c>
      <c r="H56" s="77">
        <v>12469402.669803917</v>
      </c>
      <c r="I56" s="94">
        <f t="shared" ref="I56:I57" si="13">+H56/C56</f>
        <v>0.83129351132026119</v>
      </c>
      <c r="J56" s="35">
        <v>0</v>
      </c>
      <c r="K56" s="95">
        <f t="shared" si="1"/>
        <v>0</v>
      </c>
      <c r="L56" s="9">
        <v>0</v>
      </c>
      <c r="M56" s="9">
        <v>0</v>
      </c>
      <c r="N56" s="94">
        <f t="shared" si="2"/>
        <v>0</v>
      </c>
      <c r="O56" s="21" t="s">
        <v>20</v>
      </c>
      <c r="P56" s="21" t="s">
        <v>20</v>
      </c>
      <c r="Q56" s="70">
        <v>2</v>
      </c>
      <c r="R56" s="70">
        <v>2.4</v>
      </c>
      <c r="S56" s="70">
        <v>1.6215527841833928</v>
      </c>
      <c r="T56" s="70">
        <v>1.326221460734508</v>
      </c>
      <c r="U56" s="81">
        <v>0.29755076712574752</v>
      </c>
      <c r="V56" s="9">
        <v>2042501.077</v>
      </c>
      <c r="W56" s="30">
        <v>2683268.7200000002</v>
      </c>
      <c r="X56" s="65" t="s">
        <v>20</v>
      </c>
      <c r="Y56" s="32">
        <v>2</v>
      </c>
      <c r="Z56" s="3">
        <v>3710280.33</v>
      </c>
      <c r="AA56" s="50" t="s">
        <v>25</v>
      </c>
      <c r="AB56" s="33">
        <v>5121400.66</v>
      </c>
      <c r="AC56" s="9">
        <v>1987533</v>
      </c>
      <c r="AD56" s="30" t="s">
        <v>20</v>
      </c>
      <c r="AE56" s="50" t="s">
        <v>25</v>
      </c>
      <c r="AF56" s="30"/>
      <c r="AG56" s="30"/>
      <c r="AH56" s="63"/>
      <c r="AI56" s="63"/>
      <c r="AJ56" s="50"/>
      <c r="AK56" s="62"/>
      <c r="AL56" s="35">
        <v>120000000</v>
      </c>
      <c r="AM56" s="35">
        <v>24031000</v>
      </c>
      <c r="AN56" s="42">
        <f>2885000+3596000</f>
        <v>6481000</v>
      </c>
      <c r="AO56" s="42">
        <v>35</v>
      </c>
      <c r="AP56" s="52">
        <f t="shared" si="4"/>
        <v>0.26969331280429443</v>
      </c>
      <c r="AQ56" s="89">
        <f t="shared" si="5"/>
        <v>0.26969331280429443</v>
      </c>
      <c r="AR56" s="62"/>
      <c r="AS56" s="62"/>
      <c r="AT56" s="5"/>
      <c r="AU56" s="62"/>
    </row>
    <row r="57" spans="1:47" ht="38.25" x14ac:dyDescent="0.25">
      <c r="A57" s="68" t="s">
        <v>43</v>
      </c>
      <c r="B57" s="69" t="s">
        <v>15</v>
      </c>
      <c r="C57" s="30">
        <v>15000000</v>
      </c>
      <c r="D57" s="30">
        <v>11200000</v>
      </c>
      <c r="E57" s="30" t="s">
        <v>84</v>
      </c>
      <c r="F57" s="31" t="s">
        <v>44</v>
      </c>
      <c r="G57" s="65">
        <f>3/4</f>
        <v>0.75</v>
      </c>
      <c r="H57" s="34">
        <v>13721024.615098238</v>
      </c>
      <c r="I57" s="94">
        <f t="shared" si="13"/>
        <v>0.91473497433988249</v>
      </c>
      <c r="J57" s="35">
        <v>0</v>
      </c>
      <c r="K57" s="95">
        <f t="shared" si="1"/>
        <v>0</v>
      </c>
      <c r="L57" s="9">
        <v>0</v>
      </c>
      <c r="M57" s="9">
        <v>0</v>
      </c>
      <c r="N57" s="94">
        <f t="shared" si="2"/>
        <v>0</v>
      </c>
      <c r="O57" s="21" t="s">
        <v>20</v>
      </c>
      <c r="P57" s="21" t="s">
        <v>20</v>
      </c>
      <c r="Q57" s="70">
        <v>2</v>
      </c>
      <c r="R57" s="70">
        <v>5</v>
      </c>
      <c r="S57" s="70">
        <v>8.9686758193788076</v>
      </c>
      <c r="T57" s="70">
        <v>1.0211032114470415</v>
      </c>
      <c r="U57" s="81">
        <v>1.9323518610137096</v>
      </c>
      <c r="V57" s="33">
        <v>9677069.8289999999</v>
      </c>
      <c r="W57" s="30">
        <v>5604378.1800000006</v>
      </c>
      <c r="X57" s="65">
        <f t="shared" si="3"/>
        <v>0.57913999578725173</v>
      </c>
      <c r="Y57" s="32">
        <v>2</v>
      </c>
      <c r="Z57" s="33">
        <v>26513847.449999999</v>
      </c>
      <c r="AA57" s="50" t="s">
        <v>21</v>
      </c>
      <c r="AB57" s="33">
        <v>3632262.45</v>
      </c>
      <c r="AC57" s="9">
        <v>1122672.45</v>
      </c>
      <c r="AD57" s="84">
        <f t="shared" si="7"/>
        <v>0.1160136766436885</v>
      </c>
      <c r="AE57" s="50" t="s">
        <v>21</v>
      </c>
      <c r="AF57" s="40"/>
      <c r="AG57" s="40"/>
      <c r="AH57" s="9"/>
      <c r="AI57" s="9"/>
      <c r="AJ57" s="50"/>
      <c r="AK57" s="62"/>
      <c r="AL57" s="35">
        <v>36000000</v>
      </c>
      <c r="AM57" s="35">
        <v>15238000</v>
      </c>
      <c r="AN57" s="42">
        <v>0</v>
      </c>
      <c r="AO57" s="42">
        <v>0</v>
      </c>
      <c r="AP57" s="79" t="s">
        <v>20</v>
      </c>
      <c r="AQ57" s="79" t="s">
        <v>20</v>
      </c>
      <c r="AR57" s="62"/>
      <c r="AS57" s="62"/>
      <c r="AT57" s="5"/>
      <c r="AU57" s="62"/>
    </row>
    <row r="58" spans="1:47" ht="38.25" x14ac:dyDescent="0.25">
      <c r="A58" s="72" t="s">
        <v>69</v>
      </c>
      <c r="B58" s="69" t="s">
        <v>15</v>
      </c>
      <c r="C58" s="29">
        <v>3000000</v>
      </c>
      <c r="D58" s="29">
        <v>3000000</v>
      </c>
      <c r="E58" s="30" t="s">
        <v>16</v>
      </c>
      <c r="F58" s="31" t="s">
        <v>70</v>
      </c>
      <c r="G58" s="65">
        <v>1</v>
      </c>
      <c r="H58" s="77">
        <v>0</v>
      </c>
      <c r="I58" s="53" t="s">
        <v>20</v>
      </c>
      <c r="J58" s="35"/>
      <c r="K58" s="86" t="e">
        <f t="shared" si="1"/>
        <v>#DIV/0!</v>
      </c>
      <c r="L58" s="75"/>
      <c r="M58" s="75"/>
      <c r="N58" s="78" t="e">
        <f t="shared" si="2"/>
        <v>#DIV/0!</v>
      </c>
      <c r="O58" s="53" t="s">
        <v>20</v>
      </c>
      <c r="P58" s="53" t="s">
        <v>20</v>
      </c>
      <c r="Q58" s="70" t="s">
        <v>82</v>
      </c>
      <c r="R58" s="71">
        <v>1.19</v>
      </c>
      <c r="S58" s="70" t="s">
        <v>20</v>
      </c>
      <c r="T58" s="70" t="s">
        <v>20</v>
      </c>
      <c r="U58" s="81" t="s">
        <v>20</v>
      </c>
      <c r="V58" s="30" t="s">
        <v>20</v>
      </c>
      <c r="W58" s="30" t="s">
        <v>20</v>
      </c>
      <c r="X58" s="84" t="s">
        <v>20</v>
      </c>
      <c r="Y58" s="32">
        <v>2</v>
      </c>
      <c r="Z58" s="3" t="s">
        <v>20</v>
      </c>
      <c r="AA58" s="50" t="s">
        <v>21</v>
      </c>
      <c r="AB58" s="33" t="s">
        <v>20</v>
      </c>
      <c r="AC58" s="30" t="s">
        <v>20</v>
      </c>
      <c r="AD58" s="30" t="s">
        <v>20</v>
      </c>
      <c r="AE58" s="33" t="s">
        <v>20</v>
      </c>
      <c r="AF58" s="30"/>
      <c r="AG58" s="30"/>
      <c r="AH58" s="63"/>
      <c r="AI58" s="63"/>
      <c r="AJ58" s="50"/>
      <c r="AK58" s="62"/>
      <c r="AL58" s="35">
        <v>5400000</v>
      </c>
      <c r="AM58" s="35">
        <v>1551200</v>
      </c>
      <c r="AN58" s="42">
        <v>0</v>
      </c>
      <c r="AO58" s="42">
        <v>0</v>
      </c>
      <c r="AP58" s="79" t="s">
        <v>20</v>
      </c>
      <c r="AQ58" s="79" t="s">
        <v>20</v>
      </c>
      <c r="AR58" s="62"/>
      <c r="AS58" s="62"/>
      <c r="AT58" s="5"/>
      <c r="AU58" s="62"/>
    </row>
    <row r="59" spans="1:47" ht="25.5" x14ac:dyDescent="0.25">
      <c r="A59" s="1" t="s">
        <v>86</v>
      </c>
      <c r="B59" s="69" t="s">
        <v>15</v>
      </c>
      <c r="C59" s="29">
        <v>3500000</v>
      </c>
      <c r="D59" s="29">
        <v>3500000</v>
      </c>
      <c r="E59" s="30" t="s">
        <v>83</v>
      </c>
      <c r="F59" s="31" t="s">
        <v>88</v>
      </c>
      <c r="G59" s="65">
        <v>1</v>
      </c>
      <c r="H59" s="77">
        <v>1115330.252891677</v>
      </c>
      <c r="I59" s="94">
        <f>+H59/C59</f>
        <v>0.31866578654047911</v>
      </c>
      <c r="J59" s="35">
        <v>0</v>
      </c>
      <c r="K59" s="95">
        <f t="shared" si="1"/>
        <v>0</v>
      </c>
      <c r="L59" s="9">
        <v>0</v>
      </c>
      <c r="M59" s="9">
        <v>0</v>
      </c>
      <c r="N59" s="94">
        <f t="shared" si="2"/>
        <v>0</v>
      </c>
      <c r="O59" s="3" t="s">
        <v>267</v>
      </c>
      <c r="P59" s="87" t="e">
        <f t="shared" si="6"/>
        <v>#VALUE!</v>
      </c>
      <c r="Q59" s="70">
        <v>2.5</v>
      </c>
      <c r="R59" s="70">
        <v>2.5</v>
      </c>
      <c r="S59" s="70">
        <v>2.6109774245838806</v>
      </c>
      <c r="T59" s="70">
        <v>2.7247347551525114</v>
      </c>
      <c r="U59" s="81">
        <v>1.5266168882136184</v>
      </c>
      <c r="V59" s="30">
        <v>850000</v>
      </c>
      <c r="W59" s="9">
        <v>818153</v>
      </c>
      <c r="X59" s="65">
        <f t="shared" si="3"/>
        <v>0.96253294117647059</v>
      </c>
      <c r="Y59" s="32">
        <v>2</v>
      </c>
      <c r="Z59" s="9">
        <v>1702682</v>
      </c>
      <c r="AA59" s="50" t="s">
        <v>21</v>
      </c>
      <c r="AB59" s="33">
        <v>1849904</v>
      </c>
      <c r="AC59" s="83">
        <v>853799</v>
      </c>
      <c r="AD59" s="84">
        <f t="shared" si="7"/>
        <v>1.0044694117647059</v>
      </c>
      <c r="AE59" s="50" t="s">
        <v>21</v>
      </c>
      <c r="AF59" s="15"/>
      <c r="AG59" s="15"/>
      <c r="AH59" s="9"/>
      <c r="AI59" s="9"/>
      <c r="AJ59" s="50"/>
      <c r="AK59" s="62"/>
      <c r="AL59" s="75">
        <v>5500000</v>
      </c>
      <c r="AM59" s="75">
        <v>39000</v>
      </c>
      <c r="AN59" s="85">
        <v>22000</v>
      </c>
      <c r="AO59" s="85">
        <v>6</v>
      </c>
      <c r="AP59" s="52">
        <f t="shared" si="4"/>
        <v>0.5641025641025641</v>
      </c>
      <c r="AQ59" s="89">
        <f t="shared" si="5"/>
        <v>0.5641025641025641</v>
      </c>
      <c r="AR59" s="62"/>
      <c r="AS59" s="62"/>
      <c r="AT59" s="5"/>
      <c r="AU59" s="62"/>
    </row>
    <row r="60" spans="1:47" ht="38.25" x14ac:dyDescent="0.25">
      <c r="A60" s="46" t="s">
        <v>104</v>
      </c>
      <c r="B60" s="69" t="s">
        <v>15</v>
      </c>
      <c r="C60" s="29">
        <v>5000000</v>
      </c>
      <c r="D60" s="29">
        <v>5000000</v>
      </c>
      <c r="E60" s="30" t="s">
        <v>16</v>
      </c>
      <c r="F60" s="31" t="s">
        <v>105</v>
      </c>
      <c r="G60" s="65">
        <f>2/5</f>
        <v>0.4</v>
      </c>
      <c r="H60" s="77">
        <v>0</v>
      </c>
      <c r="I60" s="53" t="s">
        <v>20</v>
      </c>
      <c r="J60" s="35"/>
      <c r="K60" s="86" t="e">
        <f t="shared" si="1"/>
        <v>#DIV/0!</v>
      </c>
      <c r="L60" s="75"/>
      <c r="M60" s="75"/>
      <c r="N60" s="78" t="e">
        <f t="shared" si="2"/>
        <v>#DIV/0!</v>
      </c>
      <c r="O60" s="53" t="s">
        <v>20</v>
      </c>
      <c r="P60" s="53" t="s">
        <v>20</v>
      </c>
      <c r="Q60" s="30" t="s">
        <v>20</v>
      </c>
      <c r="R60" s="30" t="s">
        <v>20</v>
      </c>
      <c r="S60" s="70" t="s">
        <v>20</v>
      </c>
      <c r="T60" s="70" t="s">
        <v>20</v>
      </c>
      <c r="U60" s="81" t="s">
        <v>20</v>
      </c>
      <c r="V60" s="30" t="s">
        <v>20</v>
      </c>
      <c r="W60" s="30" t="s">
        <v>20</v>
      </c>
      <c r="X60" s="84" t="s">
        <v>20</v>
      </c>
      <c r="Y60" s="32">
        <v>2</v>
      </c>
      <c r="Z60" s="9" t="s">
        <v>20</v>
      </c>
      <c r="AA60" s="50" t="s">
        <v>20</v>
      </c>
      <c r="AB60" s="33" t="s">
        <v>20</v>
      </c>
      <c r="AC60" s="30" t="s">
        <v>20</v>
      </c>
      <c r="AD60" s="30" t="s">
        <v>20</v>
      </c>
      <c r="AE60" s="33" t="s">
        <v>20</v>
      </c>
      <c r="AF60" s="15"/>
      <c r="AG60" s="15"/>
      <c r="AH60" s="9"/>
      <c r="AI60" s="9"/>
      <c r="AJ60" s="50"/>
      <c r="AK60" s="62"/>
      <c r="AL60" s="35">
        <v>12000000</v>
      </c>
      <c r="AM60" s="35">
        <v>8204000</v>
      </c>
      <c r="AN60" s="42">
        <v>139000</v>
      </c>
      <c r="AO60" s="42">
        <v>418</v>
      </c>
      <c r="AP60" s="52">
        <f t="shared" si="4"/>
        <v>1.6942954656265236E-2</v>
      </c>
      <c r="AQ60" s="89">
        <f t="shared" si="5"/>
        <v>1.6942954656265236E-2</v>
      </c>
      <c r="AR60" s="62"/>
      <c r="AS60" s="62"/>
      <c r="AT60" s="5"/>
      <c r="AU60" s="62"/>
    </row>
    <row r="61" spans="1:47" ht="38.25" x14ac:dyDescent="0.25">
      <c r="A61" s="46" t="s">
        <v>104</v>
      </c>
      <c r="B61" s="73" t="s">
        <v>48</v>
      </c>
      <c r="C61" s="29">
        <v>250000</v>
      </c>
      <c r="D61" s="29">
        <v>250000</v>
      </c>
      <c r="E61" s="30" t="s">
        <v>16</v>
      </c>
      <c r="F61" s="31" t="s">
        <v>105</v>
      </c>
      <c r="G61" s="65">
        <f>2/5</f>
        <v>0.4</v>
      </c>
      <c r="H61" s="77">
        <v>0</v>
      </c>
      <c r="I61" s="53" t="s">
        <v>20</v>
      </c>
      <c r="J61" s="35"/>
      <c r="K61" s="86" t="e">
        <f t="shared" si="1"/>
        <v>#DIV/0!</v>
      </c>
      <c r="L61" s="9"/>
      <c r="M61" s="9"/>
      <c r="N61" s="78" t="e">
        <f t="shared" si="2"/>
        <v>#DIV/0!</v>
      </c>
      <c r="O61" s="53" t="s">
        <v>20</v>
      </c>
      <c r="P61" s="53" t="s">
        <v>20</v>
      </c>
      <c r="Q61" s="30" t="s">
        <v>20</v>
      </c>
      <c r="R61" s="30" t="s">
        <v>20</v>
      </c>
      <c r="S61" s="70" t="s">
        <v>20</v>
      </c>
      <c r="T61" s="70" t="s">
        <v>20</v>
      </c>
      <c r="U61" s="81" t="s">
        <v>20</v>
      </c>
      <c r="V61" s="30" t="s">
        <v>20</v>
      </c>
      <c r="W61" s="30" t="s">
        <v>20</v>
      </c>
      <c r="X61" s="84" t="s">
        <v>20</v>
      </c>
      <c r="Y61" s="32">
        <v>2</v>
      </c>
      <c r="Z61" s="9" t="s">
        <v>20</v>
      </c>
      <c r="AA61" s="50" t="s">
        <v>20</v>
      </c>
      <c r="AB61" s="33" t="s">
        <v>20</v>
      </c>
      <c r="AC61" s="30" t="s">
        <v>20</v>
      </c>
      <c r="AD61" s="30" t="s">
        <v>20</v>
      </c>
      <c r="AE61" s="33" t="s">
        <v>20</v>
      </c>
      <c r="AF61" s="15"/>
      <c r="AG61" s="15"/>
      <c r="AH61" s="9"/>
      <c r="AI61" s="9"/>
      <c r="AJ61" s="50"/>
      <c r="AK61" s="62"/>
      <c r="AL61" s="35">
        <v>12000000</v>
      </c>
      <c r="AM61" s="35">
        <v>2700000</v>
      </c>
      <c r="AN61" s="42">
        <v>0</v>
      </c>
      <c r="AO61" s="42">
        <v>0</v>
      </c>
      <c r="AP61" s="79" t="s">
        <v>20</v>
      </c>
      <c r="AQ61" s="79" t="s">
        <v>20</v>
      </c>
      <c r="AR61" s="62"/>
      <c r="AS61" s="62"/>
      <c r="AT61" s="5"/>
      <c r="AU61" s="62"/>
    </row>
    <row r="62" spans="1:47" x14ac:dyDescent="0.25">
      <c r="A62" s="68" t="s">
        <v>40</v>
      </c>
      <c r="B62" s="69" t="s">
        <v>15</v>
      </c>
      <c r="C62" s="30">
        <v>3000000</v>
      </c>
      <c r="D62" s="30">
        <v>3000000</v>
      </c>
      <c r="E62" s="30" t="s">
        <v>84</v>
      </c>
      <c r="F62" s="32" t="s">
        <v>42</v>
      </c>
      <c r="G62" s="65">
        <v>1</v>
      </c>
      <c r="H62" s="34">
        <v>0</v>
      </c>
      <c r="I62" s="53" t="s">
        <v>20</v>
      </c>
      <c r="J62" s="35"/>
      <c r="K62" s="86" t="e">
        <f t="shared" si="1"/>
        <v>#DIV/0!</v>
      </c>
      <c r="L62" s="75"/>
      <c r="M62" s="75"/>
      <c r="N62" s="78" t="e">
        <f t="shared" si="2"/>
        <v>#DIV/0!</v>
      </c>
      <c r="O62" s="53" t="s">
        <v>20</v>
      </c>
      <c r="P62" s="53" t="s">
        <v>20</v>
      </c>
      <c r="Q62" s="30" t="s">
        <v>20</v>
      </c>
      <c r="R62" s="30" t="s">
        <v>20</v>
      </c>
      <c r="S62" s="70" t="s">
        <v>20</v>
      </c>
      <c r="T62" s="70" t="s">
        <v>20</v>
      </c>
      <c r="U62" s="81" t="s">
        <v>20</v>
      </c>
      <c r="V62" s="30" t="s">
        <v>20</v>
      </c>
      <c r="W62" s="30" t="s">
        <v>20</v>
      </c>
      <c r="X62" s="84" t="s">
        <v>20</v>
      </c>
      <c r="Y62" s="32">
        <v>2</v>
      </c>
      <c r="Z62" s="9" t="s">
        <v>20</v>
      </c>
      <c r="AA62" s="50" t="s">
        <v>25</v>
      </c>
      <c r="AB62" s="33" t="s">
        <v>20</v>
      </c>
      <c r="AC62" s="30" t="s">
        <v>20</v>
      </c>
      <c r="AD62" s="30" t="s">
        <v>20</v>
      </c>
      <c r="AE62" s="33" t="s">
        <v>20</v>
      </c>
      <c r="AF62" s="15"/>
      <c r="AG62" s="15"/>
      <c r="AH62" s="9"/>
      <c r="AI62" s="9"/>
      <c r="AJ62" s="50"/>
      <c r="AK62" s="62"/>
      <c r="AL62" s="35">
        <v>10000000</v>
      </c>
      <c r="AM62" s="35">
        <v>0</v>
      </c>
      <c r="AN62" s="42">
        <v>0</v>
      </c>
      <c r="AO62" s="42">
        <v>0</v>
      </c>
      <c r="AP62" s="79" t="s">
        <v>20</v>
      </c>
      <c r="AQ62" s="79" t="s">
        <v>20</v>
      </c>
      <c r="AR62" s="62"/>
      <c r="AS62" s="62"/>
      <c r="AT62" s="5"/>
      <c r="AU62" s="62"/>
    </row>
    <row r="63" spans="1:47" x14ac:dyDescent="0.25">
      <c r="A63" s="68" t="s">
        <v>40</v>
      </c>
      <c r="B63" s="69" t="s">
        <v>15</v>
      </c>
      <c r="C63" s="30">
        <v>3000000</v>
      </c>
      <c r="D63" s="30">
        <v>3000000</v>
      </c>
      <c r="E63" s="30" t="s">
        <v>16</v>
      </c>
      <c r="F63" s="32" t="s">
        <v>42</v>
      </c>
      <c r="G63" s="65">
        <v>1</v>
      </c>
      <c r="H63" s="77">
        <v>1232733.6399999999</v>
      </c>
      <c r="I63" s="78">
        <f t="shared" si="0"/>
        <v>2.4336157484921075</v>
      </c>
      <c r="J63" s="35"/>
      <c r="K63" s="86">
        <f t="shared" si="1"/>
        <v>0</v>
      </c>
      <c r="L63" s="9"/>
      <c r="M63" s="9"/>
      <c r="N63" s="78">
        <f t="shared" si="2"/>
        <v>0</v>
      </c>
      <c r="O63" s="53" t="s">
        <v>20</v>
      </c>
      <c r="P63" s="53" t="s">
        <v>20</v>
      </c>
      <c r="Q63" s="70" t="s">
        <v>82</v>
      </c>
      <c r="R63" s="71">
        <v>1.19</v>
      </c>
      <c r="S63" s="70" t="s">
        <v>20</v>
      </c>
      <c r="T63" s="70" t="s">
        <v>20</v>
      </c>
      <c r="U63" s="81" t="s">
        <v>20</v>
      </c>
      <c r="V63" s="30" t="s">
        <v>20</v>
      </c>
      <c r="W63" s="30" t="s">
        <v>20</v>
      </c>
      <c r="X63" s="84" t="s">
        <v>20</v>
      </c>
      <c r="Y63" s="32">
        <v>2</v>
      </c>
      <c r="Z63" s="3" t="s">
        <v>20</v>
      </c>
      <c r="AA63" s="50" t="s">
        <v>25</v>
      </c>
      <c r="AB63" s="33" t="s">
        <v>20</v>
      </c>
      <c r="AC63" s="30" t="s">
        <v>20</v>
      </c>
      <c r="AD63" s="30" t="s">
        <v>20</v>
      </c>
      <c r="AE63" s="33" t="s">
        <v>20</v>
      </c>
      <c r="AF63" s="30"/>
      <c r="AG63" s="30"/>
      <c r="AH63" s="63"/>
      <c r="AI63" s="63"/>
      <c r="AJ63" s="50"/>
      <c r="AK63" s="62"/>
      <c r="AL63" s="35">
        <v>10000000</v>
      </c>
      <c r="AM63" s="35">
        <v>6198000</v>
      </c>
      <c r="AN63" s="42">
        <f>28000+752000+1124000</f>
        <v>1904000</v>
      </c>
      <c r="AO63" s="42">
        <v>180</v>
      </c>
      <c r="AP63" s="52">
        <f t="shared" si="4"/>
        <v>0.30719586963536627</v>
      </c>
      <c r="AQ63" s="89">
        <f t="shared" si="5"/>
        <v>0.30719586963536627</v>
      </c>
      <c r="AR63" s="62"/>
      <c r="AS63" s="62"/>
      <c r="AT63" s="5"/>
      <c r="AU63" s="62"/>
    </row>
    <row r="64" spans="1:47" ht="25.5" x14ac:dyDescent="0.25">
      <c r="A64" s="46" t="s">
        <v>168</v>
      </c>
      <c r="B64" s="69" t="s">
        <v>15</v>
      </c>
      <c r="C64" s="29">
        <v>3000000</v>
      </c>
      <c r="D64" s="29">
        <v>3000000</v>
      </c>
      <c r="E64" s="30" t="s">
        <v>83</v>
      </c>
      <c r="F64" s="31" t="s">
        <v>169</v>
      </c>
      <c r="G64" s="65">
        <v>1</v>
      </c>
      <c r="H64" s="77">
        <v>2500000</v>
      </c>
      <c r="I64" s="94">
        <f>+H64/C64</f>
        <v>0.83333333333333337</v>
      </c>
      <c r="J64" s="35">
        <v>0</v>
      </c>
      <c r="K64" s="95">
        <f t="shared" si="1"/>
        <v>0</v>
      </c>
      <c r="L64" s="9">
        <v>0</v>
      </c>
      <c r="M64" s="9">
        <v>0</v>
      </c>
      <c r="N64" s="94">
        <f t="shared" si="2"/>
        <v>0</v>
      </c>
      <c r="O64" s="3" t="s">
        <v>268</v>
      </c>
      <c r="P64" s="87" t="e">
        <f t="shared" si="6"/>
        <v>#VALUE!</v>
      </c>
      <c r="Q64" s="70" t="s">
        <v>170</v>
      </c>
      <c r="R64" s="70" t="s">
        <v>170</v>
      </c>
      <c r="S64" s="70">
        <v>6.982108896899784</v>
      </c>
      <c r="T64" s="70">
        <v>2.2221942609949532</v>
      </c>
      <c r="U64" s="81">
        <v>1.8509546400000003</v>
      </c>
      <c r="V64" s="30">
        <v>2246337.1409999998</v>
      </c>
      <c r="W64" s="30">
        <v>1986159.48</v>
      </c>
      <c r="X64" s="65">
        <f t="shared" si="3"/>
        <v>0.88417693130240604</v>
      </c>
      <c r="Y64" s="32">
        <v>2</v>
      </c>
      <c r="Z64" s="3">
        <v>4627386.6000000006</v>
      </c>
      <c r="AA64" s="50" t="s">
        <v>21</v>
      </c>
      <c r="AB64" s="33">
        <f>319575.5+836243.29</f>
        <v>1155818.79</v>
      </c>
      <c r="AC64" s="33">
        <f>319575.5+836243.29</f>
        <v>1155818.79</v>
      </c>
      <c r="AD64" s="84">
        <f t="shared" si="7"/>
        <v>0.51453487052502955</v>
      </c>
      <c r="AE64" s="21" t="s">
        <v>21</v>
      </c>
      <c r="AF64" s="30"/>
      <c r="AG64" s="30"/>
      <c r="AH64" s="63"/>
      <c r="AI64" s="63"/>
      <c r="AJ64" s="50"/>
      <c r="AK64" s="62"/>
      <c r="AL64" s="35">
        <v>14923848</v>
      </c>
      <c r="AM64" s="35">
        <v>6937000</v>
      </c>
      <c r="AN64" s="42">
        <v>0</v>
      </c>
      <c r="AO64" s="42">
        <v>0</v>
      </c>
      <c r="AP64" s="79" t="s">
        <v>20</v>
      </c>
      <c r="AQ64" s="79" t="s">
        <v>20</v>
      </c>
      <c r="AR64" s="62"/>
      <c r="AS64" s="62"/>
      <c r="AT64" s="5"/>
      <c r="AU64" s="62"/>
    </row>
    <row r="65" spans="1:47" ht="25.5" x14ac:dyDescent="0.25">
      <c r="A65" s="72" t="s">
        <v>74</v>
      </c>
      <c r="B65" s="69" t="s">
        <v>15</v>
      </c>
      <c r="C65" s="29">
        <v>2000000</v>
      </c>
      <c r="D65" s="29">
        <v>2000000</v>
      </c>
      <c r="E65" s="30" t="s">
        <v>16</v>
      </c>
      <c r="F65" s="31" t="s">
        <v>75</v>
      </c>
      <c r="G65" s="65">
        <v>1</v>
      </c>
      <c r="H65" s="77">
        <v>0</v>
      </c>
      <c r="I65" s="53" t="s">
        <v>20</v>
      </c>
      <c r="J65" s="35"/>
      <c r="K65" s="86" t="e">
        <f t="shared" si="1"/>
        <v>#DIV/0!</v>
      </c>
      <c r="L65" s="9"/>
      <c r="M65" s="9"/>
      <c r="N65" s="78" t="e">
        <f t="shared" si="2"/>
        <v>#DIV/0!</v>
      </c>
      <c r="O65" s="3" t="s">
        <v>269</v>
      </c>
      <c r="P65" s="87" t="e">
        <f t="shared" si="6"/>
        <v>#VALUE!</v>
      </c>
      <c r="Q65" s="30" t="s">
        <v>20</v>
      </c>
      <c r="R65" s="30" t="s">
        <v>20</v>
      </c>
      <c r="S65" s="70" t="s">
        <v>20</v>
      </c>
      <c r="T65" s="70" t="s">
        <v>20</v>
      </c>
      <c r="U65" s="81" t="s">
        <v>20</v>
      </c>
      <c r="V65" s="30" t="s">
        <v>20</v>
      </c>
      <c r="W65" s="30" t="s">
        <v>20</v>
      </c>
      <c r="X65" s="84" t="s">
        <v>20</v>
      </c>
      <c r="Y65" s="32">
        <v>2</v>
      </c>
      <c r="Z65" s="3" t="s">
        <v>20</v>
      </c>
      <c r="AA65" s="50" t="s">
        <v>20</v>
      </c>
      <c r="AB65" s="33" t="s">
        <v>20</v>
      </c>
      <c r="AC65" s="30" t="s">
        <v>20</v>
      </c>
      <c r="AD65" s="30" t="s">
        <v>20</v>
      </c>
      <c r="AE65" s="33" t="s">
        <v>20</v>
      </c>
      <c r="AF65" s="30"/>
      <c r="AG65" s="30"/>
      <c r="AH65" s="63"/>
      <c r="AI65" s="63"/>
      <c r="AJ65" s="50"/>
      <c r="AK65" s="62"/>
      <c r="AL65" s="35">
        <v>5000000</v>
      </c>
      <c r="AM65" s="35">
        <v>0</v>
      </c>
      <c r="AN65" s="42">
        <v>0</v>
      </c>
      <c r="AO65" s="42">
        <v>0</v>
      </c>
      <c r="AP65" s="79" t="s">
        <v>20</v>
      </c>
      <c r="AQ65" s="79" t="s">
        <v>20</v>
      </c>
      <c r="AR65" s="62"/>
      <c r="AS65" s="62"/>
      <c r="AT65" s="5"/>
      <c r="AU65" s="62"/>
    </row>
    <row r="66" spans="1:47" ht="38.25" x14ac:dyDescent="0.25">
      <c r="A66" s="46" t="s">
        <v>171</v>
      </c>
      <c r="B66" s="69" t="s">
        <v>15</v>
      </c>
      <c r="C66" s="29">
        <v>4000000</v>
      </c>
      <c r="D66" s="29">
        <v>4000000</v>
      </c>
      <c r="E66" s="30" t="s">
        <v>83</v>
      </c>
      <c r="F66" s="31" t="s">
        <v>172</v>
      </c>
      <c r="G66" s="65">
        <v>0</v>
      </c>
      <c r="H66" s="77">
        <f>4000000-333333.33</f>
        <v>3666666.67</v>
      </c>
      <c r="I66" s="94">
        <f>+H66/C66</f>
        <v>0.91666666750000003</v>
      </c>
      <c r="J66" s="35">
        <v>0</v>
      </c>
      <c r="K66" s="95">
        <f t="shared" si="1"/>
        <v>0</v>
      </c>
      <c r="L66" s="9">
        <v>0</v>
      </c>
      <c r="M66" s="9">
        <v>0</v>
      </c>
      <c r="N66" s="94">
        <f t="shared" si="2"/>
        <v>0</v>
      </c>
      <c r="O66" s="21" t="s">
        <v>20</v>
      </c>
      <c r="P66" s="21" t="s">
        <v>20</v>
      </c>
      <c r="Q66" s="70" t="s">
        <v>173</v>
      </c>
      <c r="R66" s="70" t="s">
        <v>173</v>
      </c>
      <c r="S66" s="70">
        <v>8.0716308579668343</v>
      </c>
      <c r="T66" s="70">
        <v>0.79468075943282868</v>
      </c>
      <c r="U66" s="81">
        <v>4.9426267236885222</v>
      </c>
      <c r="V66" s="30">
        <v>7431214.699000001</v>
      </c>
      <c r="W66" s="30">
        <v>934037.5</v>
      </c>
      <c r="X66" s="65">
        <f t="shared" si="3"/>
        <v>0.12569109329134184</v>
      </c>
      <c r="Y66" s="32">
        <v>2</v>
      </c>
      <c r="Z66" s="3">
        <v>18122964.670000002</v>
      </c>
      <c r="AA66" s="50" t="s">
        <v>21</v>
      </c>
      <c r="AB66" s="33">
        <v>413333.33</v>
      </c>
      <c r="AC66" s="33">
        <v>413333.33</v>
      </c>
      <c r="AD66" s="84">
        <f t="shared" si="7"/>
        <v>5.5621233774287425E-2</v>
      </c>
      <c r="AE66" s="21" t="s">
        <v>21</v>
      </c>
      <c r="AF66" s="30"/>
      <c r="AG66" s="30"/>
      <c r="AH66" s="63"/>
      <c r="AI66" s="63"/>
      <c r="AJ66" s="50"/>
      <c r="AK66" s="62"/>
      <c r="AL66" s="35">
        <v>21000000</v>
      </c>
      <c r="AM66" s="35">
        <v>922393</v>
      </c>
      <c r="AN66" s="42">
        <v>309912</v>
      </c>
      <c r="AO66" s="42">
        <v>29</v>
      </c>
      <c r="AP66" s="52">
        <f t="shared" si="4"/>
        <v>0.33598693832238535</v>
      </c>
      <c r="AQ66" s="89">
        <f t="shared" si="5"/>
        <v>0.33598693832238535</v>
      </c>
      <c r="AR66" s="62"/>
      <c r="AS66" s="62"/>
      <c r="AT66" s="5"/>
      <c r="AU66" s="62"/>
    </row>
    <row r="67" spans="1:47" x14ac:dyDescent="0.25">
      <c r="H67" s="76">
        <f>SUBTOTAL(9,H5:H66)</f>
        <v>134839577.78418803</v>
      </c>
      <c r="AF67" s="11"/>
      <c r="AG67" s="11"/>
      <c r="AJ67" s="11"/>
      <c r="AL67" s="11"/>
    </row>
    <row r="68" spans="1:47" x14ac:dyDescent="0.25">
      <c r="G68"/>
      <c r="AF68" s="11"/>
      <c r="AG68" s="11"/>
      <c r="AJ68" s="11"/>
      <c r="AL68" s="11"/>
    </row>
    <row r="70" spans="1:47" x14ac:dyDescent="0.25">
      <c r="E70" s="37"/>
      <c r="F70" s="37"/>
      <c r="G70" s="67"/>
      <c r="O70" s="37"/>
      <c r="P70" s="37"/>
    </row>
    <row r="71" spans="1:47" x14ac:dyDescent="0.25">
      <c r="E71" s="90"/>
      <c r="O71">
        <v>8.7777777777777691E+31</v>
      </c>
    </row>
    <row r="76" spans="1:47" x14ac:dyDescent="0.25">
      <c r="A76" t="s">
        <v>253</v>
      </c>
      <c r="B76" t="s">
        <v>254</v>
      </c>
      <c r="C76" t="s">
        <v>255</v>
      </c>
      <c r="D76" t="s">
        <v>256</v>
      </c>
      <c r="E76" t="s">
        <v>258</v>
      </c>
      <c r="F76" t="s">
        <v>259</v>
      </c>
      <c r="G76" s="66" t="s">
        <v>260</v>
      </c>
      <c r="H76" t="s">
        <v>261</v>
      </c>
      <c r="I76" t="s">
        <v>74</v>
      </c>
      <c r="J76" t="s">
        <v>257</v>
      </c>
    </row>
  </sheetData>
  <autoFilter ref="A4:AU66" xr:uid="{01DE8995-D1D0-4903-90D1-5048C8C57D14}"/>
  <mergeCells count="7">
    <mergeCell ref="B3:P3"/>
    <mergeCell ref="Q3:U3"/>
    <mergeCell ref="AL3:AQ3"/>
    <mergeCell ref="AR3:AU3"/>
    <mergeCell ref="V3:AA3"/>
    <mergeCell ref="AB3:AE3"/>
    <mergeCell ref="AF3:AK3"/>
  </mergeCells>
  <conditionalFormatting sqref="AI5:AI63">
    <cfRule type="cellIs" dxfId="228" priority="471" operator="lessThanOrEqual">
      <formula>$AH5</formula>
    </cfRule>
    <cfRule type="cellIs" dxfId="227" priority="472" operator="greaterThan">
      <formula>$AH5</formula>
    </cfRule>
  </conditionalFormatting>
  <conditionalFormatting sqref="AK5:AK62">
    <cfRule type="cellIs" dxfId="226" priority="465" operator="lessThanOrEqual">
      <formula>$AJ5</formula>
    </cfRule>
    <cfRule type="cellIs" dxfId="225" priority="466" operator="greaterThan">
      <formula>$AJ5</formula>
    </cfRule>
  </conditionalFormatting>
  <conditionalFormatting sqref="AK63">
    <cfRule type="cellIs" dxfId="224" priority="463" operator="lessThanOrEqual">
      <formula>$AJ63</formula>
    </cfRule>
    <cfRule type="cellIs" dxfId="223" priority="464" operator="greaterThan">
      <formula>$AJ63</formula>
    </cfRule>
  </conditionalFormatting>
  <conditionalFormatting sqref="AM5:AM63">
    <cfRule type="cellIs" dxfId="222" priority="461" operator="lessThanOrEqual">
      <formula>$AL5</formula>
    </cfRule>
    <cfRule type="cellIs" dxfId="221" priority="462" operator="greaterThan">
      <formula>$AL5</formula>
    </cfRule>
  </conditionalFormatting>
  <conditionalFormatting sqref="AR6:AS14 AU6:AU14 AO6:AO63">
    <cfRule type="cellIs" dxfId="220" priority="453" operator="notEqual">
      <formula>0</formula>
    </cfRule>
  </conditionalFormatting>
  <conditionalFormatting sqref="AR5:AS63 AU5:AU63 J11 J7:J8">
    <cfRule type="cellIs" dxfId="219" priority="452" operator="notEqual">
      <formula>0</formula>
    </cfRule>
  </conditionalFormatting>
  <conditionalFormatting sqref="AE7:AE8 AE11 AE13 AE16 AE19 AE23:AE24 AE32 AE37 AE41:AE43 AE48 AE52">
    <cfRule type="containsText" dxfId="218" priority="444" operator="containsText" text="Retrasada">
      <formula>NOT(ISERROR(SEARCH("Retrasada",AE7)))</formula>
    </cfRule>
    <cfRule type="containsText" dxfId="217" priority="445" operator="containsText" text="Reducida">
      <formula>NOT(ISERROR(SEARCH("Reducida",AE7)))</formula>
    </cfRule>
    <cfRule type="containsText" dxfId="216" priority="446" operator="containsText" text="Normal">
      <formula>NOT(ISERROR(SEARCH("Normal",AE7)))</formula>
    </cfRule>
  </conditionalFormatting>
  <conditionalFormatting sqref="AA9:AA63">
    <cfRule type="containsText" dxfId="215" priority="428" operator="containsText" text="Detenida">
      <formula>NOT(ISERROR(SEARCH("Detenida",AA9)))</formula>
    </cfRule>
    <cfRule type="containsText" dxfId="214" priority="432" operator="containsText" text="Retrasada">
      <formula>NOT(ISERROR(SEARCH("Retrasada",AA9)))</formula>
    </cfRule>
    <cfRule type="containsText" dxfId="213" priority="433" operator="containsText" text="Reducida">
      <formula>NOT(ISERROR(SEARCH("Reducida",AA9)))</formula>
    </cfRule>
    <cfRule type="containsText" dxfId="212" priority="434" operator="containsText" text="Normal">
      <formula>NOT(ISERROR(SEARCH("Normal",AA9)))</formula>
    </cfRule>
  </conditionalFormatting>
  <conditionalFormatting sqref="G5:G63">
    <cfRule type="cellIs" dxfId="211" priority="424" operator="greaterThanOrEqual">
      <formula>1</formula>
    </cfRule>
    <cfRule type="cellIs" dxfId="210" priority="425" operator="lessThan">
      <formula>1</formula>
    </cfRule>
  </conditionalFormatting>
  <conditionalFormatting sqref="J11 J7:J8">
    <cfRule type="cellIs" dxfId="209" priority="420" operator="notEqual">
      <formula>0</formula>
    </cfRule>
  </conditionalFormatting>
  <conditionalFormatting sqref="AO5">
    <cfRule type="cellIs" dxfId="208" priority="418" operator="notEqual">
      <formula>0</formula>
    </cfRule>
  </conditionalFormatting>
  <conditionalFormatting sqref="AA5:AA8">
    <cfRule type="containsText" dxfId="207" priority="377" operator="containsText" text="Detenida">
      <formula>NOT(ISERROR(SEARCH("Detenida",AA5)))</formula>
    </cfRule>
    <cfRule type="containsText" dxfId="206" priority="378" operator="containsText" text="Retrasada">
      <formula>NOT(ISERROR(SEARCH("Retrasada",AA5)))</formula>
    </cfRule>
    <cfRule type="containsText" dxfId="205" priority="379" operator="containsText" text="Reducida">
      <formula>NOT(ISERROR(SEARCH("Reducida",AA5)))</formula>
    </cfRule>
    <cfRule type="containsText" dxfId="204" priority="380" operator="containsText" text="Normal">
      <formula>NOT(ISERROR(SEARCH("Normal",AA5)))</formula>
    </cfRule>
  </conditionalFormatting>
  <conditionalFormatting sqref="AI64">
    <cfRule type="cellIs" dxfId="203" priority="370" operator="lessThanOrEqual">
      <formula>$AH64</formula>
    </cfRule>
    <cfRule type="cellIs" dxfId="202" priority="371" operator="greaterThan">
      <formula>$AH64</formula>
    </cfRule>
  </conditionalFormatting>
  <conditionalFormatting sqref="AK64">
    <cfRule type="cellIs" dxfId="201" priority="368" operator="lessThanOrEqual">
      <formula>$AJ64</formula>
    </cfRule>
    <cfRule type="cellIs" dxfId="200" priority="369" operator="greaterThan">
      <formula>$AJ64</formula>
    </cfRule>
  </conditionalFormatting>
  <conditionalFormatting sqref="AM64">
    <cfRule type="cellIs" dxfId="199" priority="366" operator="lessThanOrEqual">
      <formula>$AL64</formula>
    </cfRule>
    <cfRule type="cellIs" dxfId="198" priority="367" operator="greaterThan">
      <formula>$AL64</formula>
    </cfRule>
  </conditionalFormatting>
  <conditionalFormatting sqref="AO64">
    <cfRule type="cellIs" dxfId="197" priority="363" operator="notEqual">
      <formula>0</formula>
    </cfRule>
  </conditionalFormatting>
  <conditionalFormatting sqref="AR64:AS64 AU64">
    <cfRule type="cellIs" dxfId="196" priority="362" operator="notEqual">
      <formula>0</formula>
    </cfRule>
  </conditionalFormatting>
  <conditionalFormatting sqref="AE64">
    <cfRule type="containsText" dxfId="195" priority="359" operator="containsText" text="Retrasada">
      <formula>NOT(ISERROR(SEARCH("Retrasada",AE64)))</formula>
    </cfRule>
    <cfRule type="containsText" dxfId="194" priority="360" operator="containsText" text="Reducida">
      <formula>NOT(ISERROR(SEARCH("Reducida",AE64)))</formula>
    </cfRule>
    <cfRule type="containsText" dxfId="193" priority="361" operator="containsText" text="Normal">
      <formula>NOT(ISERROR(SEARCH("Normal",AE64)))</formula>
    </cfRule>
  </conditionalFormatting>
  <conditionalFormatting sqref="AA64">
    <cfRule type="containsText" dxfId="192" priority="355" operator="containsText" text="Detenida">
      <formula>NOT(ISERROR(SEARCH("Detenida",AA64)))</formula>
    </cfRule>
    <cfRule type="containsText" dxfId="191" priority="356" operator="containsText" text="Retrasada">
      <formula>NOT(ISERROR(SEARCH("Retrasada",AA64)))</formula>
    </cfRule>
    <cfRule type="containsText" dxfId="190" priority="357" operator="containsText" text="Reducida">
      <formula>NOT(ISERROR(SEARCH("Reducida",AA64)))</formula>
    </cfRule>
    <cfRule type="containsText" dxfId="189" priority="358" operator="containsText" text="Normal">
      <formula>NOT(ISERROR(SEARCH("Normal",AA64)))</formula>
    </cfRule>
  </conditionalFormatting>
  <conditionalFormatting sqref="G64">
    <cfRule type="cellIs" dxfId="188" priority="353" operator="greaterThanOrEqual">
      <formula>1</formula>
    </cfRule>
    <cfRule type="cellIs" dxfId="187" priority="354" operator="lessThan">
      <formula>1</formula>
    </cfRule>
  </conditionalFormatting>
  <conditionalFormatting sqref="AI66">
    <cfRule type="cellIs" dxfId="186" priority="348" operator="lessThanOrEqual">
      <formula>$AH66</formula>
    </cfRule>
    <cfRule type="cellIs" dxfId="185" priority="349" operator="greaterThan">
      <formula>$AH66</formula>
    </cfRule>
  </conditionalFormatting>
  <conditionalFormatting sqref="AK66">
    <cfRule type="cellIs" dxfId="184" priority="346" operator="lessThanOrEqual">
      <formula>$AJ66</formula>
    </cfRule>
    <cfRule type="cellIs" dxfId="183" priority="347" operator="greaterThan">
      <formula>$AJ66</formula>
    </cfRule>
  </conditionalFormatting>
  <conditionalFormatting sqref="AM66">
    <cfRule type="cellIs" dxfId="182" priority="344" operator="lessThanOrEqual">
      <formula>$AL66</formula>
    </cfRule>
    <cfRule type="cellIs" dxfId="181" priority="345" operator="greaterThan">
      <formula>$AL66</formula>
    </cfRule>
  </conditionalFormatting>
  <conditionalFormatting sqref="AO66">
    <cfRule type="cellIs" dxfId="180" priority="341" operator="notEqual">
      <formula>0</formula>
    </cfRule>
  </conditionalFormatting>
  <conditionalFormatting sqref="AR66:AS66 AU66">
    <cfRule type="cellIs" dxfId="179" priority="340" operator="notEqual">
      <formula>0</formula>
    </cfRule>
  </conditionalFormatting>
  <conditionalFormatting sqref="AA66">
    <cfRule type="containsText" dxfId="178" priority="333" operator="containsText" text="Detenida">
      <formula>NOT(ISERROR(SEARCH("Detenida",AA66)))</formula>
    </cfRule>
    <cfRule type="containsText" dxfId="177" priority="334" operator="containsText" text="Retrasada">
      <formula>NOT(ISERROR(SEARCH("Retrasada",AA66)))</formula>
    </cfRule>
    <cfRule type="containsText" dxfId="176" priority="335" operator="containsText" text="Reducida">
      <formula>NOT(ISERROR(SEARCH("Reducida",AA66)))</formula>
    </cfRule>
    <cfRule type="containsText" dxfId="175" priority="336" operator="containsText" text="Normal">
      <formula>NOT(ISERROR(SEARCH("Normal",AA66)))</formula>
    </cfRule>
  </conditionalFormatting>
  <conditionalFormatting sqref="G66">
    <cfRule type="cellIs" dxfId="174" priority="331" operator="greaterThanOrEqual">
      <formula>1</formula>
    </cfRule>
    <cfRule type="cellIs" dxfId="173" priority="332" operator="lessThan">
      <formula>1</formula>
    </cfRule>
  </conditionalFormatting>
  <conditionalFormatting sqref="AI65">
    <cfRule type="cellIs" dxfId="172" priority="326" operator="lessThanOrEqual">
      <formula>$AH65</formula>
    </cfRule>
    <cfRule type="cellIs" dxfId="171" priority="327" operator="greaterThan">
      <formula>$AH65</formula>
    </cfRule>
  </conditionalFormatting>
  <conditionalFormatting sqref="AK65">
    <cfRule type="cellIs" dxfId="170" priority="324" operator="lessThanOrEqual">
      <formula>$AJ65</formula>
    </cfRule>
    <cfRule type="cellIs" dxfId="169" priority="325" operator="greaterThan">
      <formula>$AJ65</formula>
    </cfRule>
  </conditionalFormatting>
  <conditionalFormatting sqref="AM65">
    <cfRule type="cellIs" dxfId="168" priority="322" operator="lessThanOrEqual">
      <formula>$AL65</formula>
    </cfRule>
    <cfRule type="cellIs" dxfId="167" priority="323" operator="greaterThan">
      <formula>$AL65</formula>
    </cfRule>
  </conditionalFormatting>
  <conditionalFormatting sqref="AO65">
    <cfRule type="cellIs" dxfId="166" priority="319" operator="notEqual">
      <formula>0</formula>
    </cfRule>
  </conditionalFormatting>
  <conditionalFormatting sqref="AR65:AS65 AU65 J11 J7:J8">
    <cfRule type="cellIs" dxfId="165" priority="318" operator="notEqual">
      <formula>0</formula>
    </cfRule>
  </conditionalFormatting>
  <conditionalFormatting sqref="AA65">
    <cfRule type="containsText" dxfId="164" priority="311" operator="containsText" text="Detenida">
      <formula>NOT(ISERROR(SEARCH("Detenida",AA65)))</formula>
    </cfRule>
    <cfRule type="containsText" dxfId="163" priority="312" operator="containsText" text="Retrasada">
      <formula>NOT(ISERROR(SEARCH("Retrasada",AA65)))</formula>
    </cfRule>
    <cfRule type="containsText" dxfId="162" priority="313" operator="containsText" text="Reducida">
      <formula>NOT(ISERROR(SEARCH("Reducida",AA65)))</formula>
    </cfRule>
    <cfRule type="containsText" dxfId="161" priority="314" operator="containsText" text="Normal">
      <formula>NOT(ISERROR(SEARCH("Normal",AA65)))</formula>
    </cfRule>
  </conditionalFormatting>
  <conditionalFormatting sqref="G65">
    <cfRule type="cellIs" dxfId="160" priority="309" operator="greaterThanOrEqual">
      <formula>1</formula>
    </cfRule>
    <cfRule type="cellIs" dxfId="159" priority="310" operator="lessThan">
      <formula>1</formula>
    </cfRule>
  </conditionalFormatting>
  <conditionalFormatting sqref="AN6:AN13 AN15:AN44 AN46:AN48 AN51:AN63">
    <cfRule type="cellIs" dxfId="158" priority="266" operator="notEqual">
      <formula>0</formula>
    </cfRule>
  </conditionalFormatting>
  <conditionalFormatting sqref="AN5">
    <cfRule type="cellIs" dxfId="157" priority="265" operator="notEqual">
      <formula>0</formula>
    </cfRule>
  </conditionalFormatting>
  <conditionalFormatting sqref="AN64">
    <cfRule type="cellIs" dxfId="156" priority="264" operator="notEqual">
      <formula>0</formula>
    </cfRule>
  </conditionalFormatting>
  <conditionalFormatting sqref="AN66">
    <cfRule type="cellIs" dxfId="155" priority="263" operator="notEqual">
      <formula>0</formula>
    </cfRule>
  </conditionalFormatting>
  <conditionalFormatting sqref="AN65">
    <cfRule type="cellIs" dxfId="154" priority="262" operator="notEqual">
      <formula>0</formula>
    </cfRule>
  </conditionalFormatting>
  <conditionalFormatting sqref="AN14">
    <cfRule type="cellIs" dxfId="153" priority="261" operator="notEqual">
      <formula>0</formula>
    </cfRule>
  </conditionalFormatting>
  <conditionalFormatting sqref="AN45">
    <cfRule type="cellIs" dxfId="152" priority="260" operator="notEqual">
      <formula>0</formula>
    </cfRule>
  </conditionalFormatting>
  <conditionalFormatting sqref="AN50">
    <cfRule type="cellIs" dxfId="151" priority="259" operator="notEqual">
      <formula>0</formula>
    </cfRule>
  </conditionalFormatting>
  <conditionalFormatting sqref="AN49">
    <cfRule type="cellIs" dxfId="150" priority="258" operator="notEqual">
      <formula>0</formula>
    </cfRule>
  </conditionalFormatting>
  <conditionalFormatting sqref="J5">
    <cfRule type="cellIs" dxfId="149" priority="256" operator="notEqual">
      <formula>0</formula>
    </cfRule>
  </conditionalFormatting>
  <conditionalFormatting sqref="J5:J12">
    <cfRule type="cellIs" dxfId="148" priority="254" operator="notEqual">
      <formula>0</formula>
    </cfRule>
  </conditionalFormatting>
  <conditionalFormatting sqref="J9">
    <cfRule type="cellIs" dxfId="147" priority="253" operator="notEqual">
      <formula>0</formula>
    </cfRule>
  </conditionalFormatting>
  <conditionalFormatting sqref="J10">
    <cfRule type="cellIs" dxfId="146" priority="252" operator="notEqual">
      <formula>0</formula>
    </cfRule>
  </conditionalFormatting>
  <conditionalFormatting sqref="J12">
    <cfRule type="cellIs" dxfId="145" priority="251" operator="notEqual">
      <formula>0</formula>
    </cfRule>
  </conditionalFormatting>
  <conditionalFormatting sqref="J11">
    <cfRule type="cellIs" dxfId="144" priority="220" operator="notEqual">
      <formula>0</formula>
    </cfRule>
  </conditionalFormatting>
  <conditionalFormatting sqref="J19:J20 J25:J28">
    <cfRule type="cellIs" dxfId="143" priority="210" operator="notEqual">
      <formula>0</formula>
    </cfRule>
  </conditionalFormatting>
  <conditionalFormatting sqref="J19:J20 J25:J28">
    <cfRule type="cellIs" dxfId="142" priority="209" operator="notEqual">
      <formula>0</formula>
    </cfRule>
  </conditionalFormatting>
  <conditionalFormatting sqref="J19:J20 J25:J28">
    <cfRule type="cellIs" dxfId="141" priority="208" operator="notEqual">
      <formula>0</formula>
    </cfRule>
  </conditionalFormatting>
  <conditionalFormatting sqref="J19:J22 J25:J28">
    <cfRule type="cellIs" dxfId="140" priority="206" operator="notEqual">
      <formula>0</formula>
    </cfRule>
  </conditionalFormatting>
  <conditionalFormatting sqref="J21">
    <cfRule type="cellIs" dxfId="139" priority="205" operator="notEqual">
      <formula>0</formula>
    </cfRule>
  </conditionalFormatting>
  <conditionalFormatting sqref="J22">
    <cfRule type="cellIs" dxfId="138" priority="204" operator="notEqual">
      <formula>0</formula>
    </cfRule>
  </conditionalFormatting>
  <conditionalFormatting sqref="J26">
    <cfRule type="cellIs" dxfId="137" priority="202" operator="notEqual">
      <formula>0</formula>
    </cfRule>
  </conditionalFormatting>
  <conditionalFormatting sqref="J28">
    <cfRule type="cellIs" dxfId="136" priority="199" operator="notEqual">
      <formula>0</formula>
    </cfRule>
  </conditionalFormatting>
  <conditionalFormatting sqref="J27">
    <cfRule type="cellIs" dxfId="135" priority="200" operator="notEqual">
      <formula>0</formula>
    </cfRule>
  </conditionalFormatting>
  <conditionalFormatting sqref="J31 J35 J38:J40">
    <cfRule type="cellIs" dxfId="134" priority="198" operator="notEqual">
      <formula>0</formula>
    </cfRule>
  </conditionalFormatting>
  <conditionalFormatting sqref="J31 J35 J38:J40">
    <cfRule type="cellIs" dxfId="133" priority="197" operator="notEqual">
      <formula>0</formula>
    </cfRule>
  </conditionalFormatting>
  <conditionalFormatting sqref="J31 J35 J38:J40">
    <cfRule type="cellIs" dxfId="132" priority="196" operator="notEqual">
      <formula>0</formula>
    </cfRule>
  </conditionalFormatting>
  <conditionalFormatting sqref="J33">
    <cfRule type="cellIs" dxfId="131" priority="193" operator="notEqual">
      <formula>0</formula>
    </cfRule>
  </conditionalFormatting>
  <conditionalFormatting sqref="J30:J31 J33:J36 J38:J40">
    <cfRule type="cellIs" dxfId="130" priority="194" operator="notEqual">
      <formula>0</formula>
    </cfRule>
  </conditionalFormatting>
  <conditionalFormatting sqref="J34">
    <cfRule type="cellIs" dxfId="129" priority="192" operator="notEqual">
      <formula>0</formula>
    </cfRule>
  </conditionalFormatting>
  <conditionalFormatting sqref="J36">
    <cfRule type="cellIs" dxfId="128" priority="191" operator="notEqual">
      <formula>0</formula>
    </cfRule>
  </conditionalFormatting>
  <conditionalFormatting sqref="J38">
    <cfRule type="cellIs" dxfId="127" priority="190" operator="notEqual">
      <formula>0</formula>
    </cfRule>
  </conditionalFormatting>
  <conditionalFormatting sqref="J35">
    <cfRule type="cellIs" dxfId="126" priority="189" operator="notEqual">
      <formula>0</formula>
    </cfRule>
  </conditionalFormatting>
  <conditionalFormatting sqref="J39">
    <cfRule type="cellIs" dxfId="125" priority="188" operator="notEqual">
      <formula>0</formula>
    </cfRule>
  </conditionalFormatting>
  <conditionalFormatting sqref="J40">
    <cfRule type="cellIs" dxfId="124" priority="187" operator="notEqual">
      <formula>0</formula>
    </cfRule>
  </conditionalFormatting>
  <conditionalFormatting sqref="J44 J49">
    <cfRule type="cellIs" dxfId="123" priority="186" operator="notEqual">
      <formula>0</formula>
    </cfRule>
  </conditionalFormatting>
  <conditionalFormatting sqref="J44 J49">
    <cfRule type="cellIs" dxfId="122" priority="185" operator="notEqual">
      <formula>0</formula>
    </cfRule>
  </conditionalFormatting>
  <conditionalFormatting sqref="J44 J49">
    <cfRule type="cellIs" dxfId="121" priority="184" operator="notEqual">
      <formula>0</formula>
    </cfRule>
  </conditionalFormatting>
  <conditionalFormatting sqref="J45">
    <cfRule type="cellIs" dxfId="120" priority="181" operator="notEqual">
      <formula>0</formula>
    </cfRule>
  </conditionalFormatting>
  <conditionalFormatting sqref="J44:J46 J49">
    <cfRule type="cellIs" dxfId="119" priority="182" operator="notEqual">
      <formula>0</formula>
    </cfRule>
  </conditionalFormatting>
  <conditionalFormatting sqref="J46">
    <cfRule type="cellIs" dxfId="118" priority="180" operator="notEqual">
      <formula>0</formula>
    </cfRule>
  </conditionalFormatting>
  <conditionalFormatting sqref="J55 J61:J63">
    <cfRule type="cellIs" dxfId="117" priority="174" operator="notEqual">
      <formula>0</formula>
    </cfRule>
  </conditionalFormatting>
  <conditionalFormatting sqref="J55 J61:J63">
    <cfRule type="cellIs" dxfId="116" priority="173" operator="notEqual">
      <formula>0</formula>
    </cfRule>
  </conditionalFormatting>
  <conditionalFormatting sqref="J55 J61:J63">
    <cfRule type="cellIs" dxfId="115" priority="172" operator="notEqual">
      <formula>0</formula>
    </cfRule>
  </conditionalFormatting>
  <conditionalFormatting sqref="J55 J58 J60:J63">
    <cfRule type="cellIs" dxfId="114" priority="170" operator="notEqual">
      <formula>0</formula>
    </cfRule>
  </conditionalFormatting>
  <conditionalFormatting sqref="J60">
    <cfRule type="cellIs" dxfId="113" priority="167" operator="notEqual">
      <formula>0</formula>
    </cfRule>
  </conditionalFormatting>
  <conditionalFormatting sqref="J58">
    <cfRule type="cellIs" dxfId="112" priority="168" operator="notEqual">
      <formula>0</formula>
    </cfRule>
  </conditionalFormatting>
  <conditionalFormatting sqref="J62">
    <cfRule type="cellIs" dxfId="111" priority="166" operator="notEqual">
      <formula>0</formula>
    </cfRule>
  </conditionalFormatting>
  <conditionalFormatting sqref="J63">
    <cfRule type="cellIs" dxfId="110" priority="164" operator="notEqual">
      <formula>0</formula>
    </cfRule>
  </conditionalFormatting>
  <conditionalFormatting sqref="J65">
    <cfRule type="cellIs" dxfId="109" priority="161" operator="notEqual">
      <formula>0</formula>
    </cfRule>
  </conditionalFormatting>
  <conditionalFormatting sqref="J65">
    <cfRule type="cellIs" dxfId="108" priority="162" operator="notEqual">
      <formula>0</formula>
    </cfRule>
  </conditionalFormatting>
  <conditionalFormatting sqref="J65">
    <cfRule type="cellIs" dxfId="107" priority="160" operator="notEqual">
      <formula>0</formula>
    </cfRule>
  </conditionalFormatting>
  <conditionalFormatting sqref="J65">
    <cfRule type="cellIs" dxfId="106" priority="159" operator="notEqual">
      <formula>0</formula>
    </cfRule>
  </conditionalFormatting>
  <conditionalFormatting sqref="J65">
    <cfRule type="cellIs" dxfId="105" priority="158" operator="notEqual">
      <formula>0</formula>
    </cfRule>
  </conditionalFormatting>
  <conditionalFormatting sqref="L5:L6">
    <cfRule type="cellIs" dxfId="104" priority="155" operator="notEqual">
      <formula>0</formula>
    </cfRule>
  </conditionalFormatting>
  <conditionalFormatting sqref="L5:L6">
    <cfRule type="cellIs" dxfId="103" priority="156" operator="notEqual">
      <formula>0</formula>
    </cfRule>
  </conditionalFormatting>
  <conditionalFormatting sqref="L5:L6">
    <cfRule type="cellIs" dxfId="102" priority="154" operator="notEqual">
      <formula>0</formula>
    </cfRule>
  </conditionalFormatting>
  <conditionalFormatting sqref="L5:L6">
    <cfRule type="cellIs" dxfId="101" priority="153" operator="notEqual">
      <formula>0</formula>
    </cfRule>
  </conditionalFormatting>
  <conditionalFormatting sqref="L5">
    <cfRule type="cellIs" dxfId="100" priority="152" operator="notEqual">
      <formula>0</formula>
    </cfRule>
  </conditionalFormatting>
  <conditionalFormatting sqref="L6">
    <cfRule type="cellIs" dxfId="99" priority="151" operator="notEqual">
      <formula>0</formula>
    </cfRule>
  </conditionalFormatting>
  <conditionalFormatting sqref="M65">
    <cfRule type="cellIs" dxfId="98" priority="150" operator="notEqual">
      <formula>0</formula>
    </cfRule>
  </conditionalFormatting>
  <conditionalFormatting sqref="L65">
    <cfRule type="cellIs" dxfId="97" priority="149" operator="notEqual">
      <formula>0</formula>
    </cfRule>
  </conditionalFormatting>
  <conditionalFormatting sqref="M7">
    <cfRule type="cellIs" dxfId="96" priority="148" operator="notEqual">
      <formula>0</formula>
    </cfRule>
  </conditionalFormatting>
  <conditionalFormatting sqref="L7">
    <cfRule type="cellIs" dxfId="95" priority="147" operator="notEqual">
      <formula>0</formula>
    </cfRule>
  </conditionalFormatting>
  <conditionalFormatting sqref="M9:M10">
    <cfRule type="cellIs" dxfId="94" priority="146" operator="notEqual">
      <formula>0</formula>
    </cfRule>
  </conditionalFormatting>
  <conditionalFormatting sqref="L9:L10">
    <cfRule type="cellIs" dxfId="93" priority="145" operator="notEqual">
      <formula>0</formula>
    </cfRule>
  </conditionalFormatting>
  <conditionalFormatting sqref="M11:M12">
    <cfRule type="cellIs" dxfId="92" priority="144" operator="notEqual">
      <formula>0</formula>
    </cfRule>
  </conditionalFormatting>
  <conditionalFormatting sqref="L11:L12">
    <cfRule type="cellIs" dxfId="91" priority="143" operator="notEqual">
      <formula>0</formula>
    </cfRule>
  </conditionalFormatting>
  <conditionalFormatting sqref="M19:M20">
    <cfRule type="cellIs" dxfId="90" priority="118" operator="notEqual">
      <formula>0</formula>
    </cfRule>
  </conditionalFormatting>
  <conditionalFormatting sqref="L19:L20">
    <cfRule type="cellIs" dxfId="89" priority="117" operator="notEqual">
      <formula>0</formula>
    </cfRule>
  </conditionalFormatting>
  <conditionalFormatting sqref="M21:M22">
    <cfRule type="cellIs" dxfId="88" priority="116" operator="notEqual">
      <formula>0</formula>
    </cfRule>
  </conditionalFormatting>
  <conditionalFormatting sqref="L21:L22">
    <cfRule type="cellIs" dxfId="87" priority="115" operator="notEqual">
      <formula>0</formula>
    </cfRule>
  </conditionalFormatting>
  <conditionalFormatting sqref="L25:L26">
    <cfRule type="cellIs" dxfId="86" priority="112" operator="notEqual">
      <formula>0</formula>
    </cfRule>
  </conditionalFormatting>
  <conditionalFormatting sqref="L25:L26">
    <cfRule type="cellIs" dxfId="85" priority="111" operator="notEqual">
      <formula>0</formula>
    </cfRule>
  </conditionalFormatting>
  <conditionalFormatting sqref="L25:L26">
    <cfRule type="cellIs" dxfId="84" priority="110" operator="notEqual">
      <formula>0</formula>
    </cfRule>
  </conditionalFormatting>
  <conditionalFormatting sqref="L25:L26">
    <cfRule type="cellIs" dxfId="83" priority="109" operator="notEqual">
      <formula>0</formula>
    </cfRule>
  </conditionalFormatting>
  <conditionalFormatting sqref="L25">
    <cfRule type="cellIs" dxfId="82" priority="108" operator="notEqual">
      <formula>0</formula>
    </cfRule>
  </conditionalFormatting>
  <conditionalFormatting sqref="L26">
    <cfRule type="cellIs" dxfId="81" priority="107" operator="notEqual">
      <formula>0</formula>
    </cfRule>
  </conditionalFormatting>
  <conditionalFormatting sqref="M27:M28">
    <cfRule type="cellIs" dxfId="80" priority="106" operator="notEqual">
      <formula>0</formula>
    </cfRule>
  </conditionalFormatting>
  <conditionalFormatting sqref="L27:L28">
    <cfRule type="cellIs" dxfId="79" priority="105" operator="notEqual">
      <formula>0</formula>
    </cfRule>
  </conditionalFormatting>
  <conditionalFormatting sqref="M30">
    <cfRule type="cellIs" dxfId="78" priority="104" operator="notEqual">
      <formula>0</formula>
    </cfRule>
  </conditionalFormatting>
  <conditionalFormatting sqref="L30">
    <cfRule type="cellIs" dxfId="77" priority="103" operator="notEqual">
      <formula>0</formula>
    </cfRule>
  </conditionalFormatting>
  <conditionalFormatting sqref="M31">
    <cfRule type="cellIs" dxfId="76" priority="102" operator="notEqual">
      <formula>0</formula>
    </cfRule>
  </conditionalFormatting>
  <conditionalFormatting sqref="L31">
    <cfRule type="cellIs" dxfId="75" priority="101" operator="notEqual">
      <formula>0</formula>
    </cfRule>
  </conditionalFormatting>
  <conditionalFormatting sqref="M33:M34">
    <cfRule type="cellIs" dxfId="74" priority="100" operator="notEqual">
      <formula>0</formula>
    </cfRule>
  </conditionalFormatting>
  <conditionalFormatting sqref="L33:L34">
    <cfRule type="cellIs" dxfId="73" priority="99" operator="notEqual">
      <formula>0</formula>
    </cfRule>
  </conditionalFormatting>
  <conditionalFormatting sqref="L35:L36">
    <cfRule type="cellIs" dxfId="72" priority="98" operator="notEqual">
      <formula>0</formula>
    </cfRule>
  </conditionalFormatting>
  <conditionalFormatting sqref="L35:L36">
    <cfRule type="cellIs" dxfId="71" priority="97" operator="notEqual">
      <formula>0</formula>
    </cfRule>
  </conditionalFormatting>
  <conditionalFormatting sqref="L35:L36">
    <cfRule type="cellIs" dxfId="70" priority="96" operator="notEqual">
      <formula>0</formula>
    </cfRule>
  </conditionalFormatting>
  <conditionalFormatting sqref="L35:L36">
    <cfRule type="cellIs" dxfId="69" priority="95" operator="notEqual">
      <formula>0</formula>
    </cfRule>
  </conditionalFormatting>
  <conditionalFormatting sqref="L35">
    <cfRule type="cellIs" dxfId="68" priority="94" operator="notEqual">
      <formula>0</formula>
    </cfRule>
  </conditionalFormatting>
  <conditionalFormatting sqref="L36">
    <cfRule type="cellIs" dxfId="67" priority="93" operator="notEqual">
      <formula>0</formula>
    </cfRule>
  </conditionalFormatting>
  <conditionalFormatting sqref="M38">
    <cfRule type="cellIs" dxfId="66" priority="92" operator="notEqual">
      <formula>0</formula>
    </cfRule>
  </conditionalFormatting>
  <conditionalFormatting sqref="L38">
    <cfRule type="cellIs" dxfId="65" priority="91" operator="notEqual">
      <formula>0</formula>
    </cfRule>
  </conditionalFormatting>
  <conditionalFormatting sqref="M39:M40">
    <cfRule type="cellIs" dxfId="64" priority="90" operator="notEqual">
      <formula>0</formula>
    </cfRule>
  </conditionalFormatting>
  <conditionalFormatting sqref="L39:L40">
    <cfRule type="cellIs" dxfId="63" priority="89" operator="notEqual">
      <formula>0</formula>
    </cfRule>
  </conditionalFormatting>
  <conditionalFormatting sqref="M44">
    <cfRule type="cellIs" dxfId="62" priority="86" operator="notEqual">
      <formula>0</formula>
    </cfRule>
  </conditionalFormatting>
  <conditionalFormatting sqref="L44">
    <cfRule type="cellIs" dxfId="61" priority="85" operator="notEqual">
      <formula>0</formula>
    </cfRule>
  </conditionalFormatting>
  <conditionalFormatting sqref="L45:L46">
    <cfRule type="cellIs" dxfId="60" priority="84" operator="notEqual">
      <formula>0</formula>
    </cfRule>
  </conditionalFormatting>
  <conditionalFormatting sqref="L45:L46">
    <cfRule type="cellIs" dxfId="59" priority="83" operator="notEqual">
      <formula>0</formula>
    </cfRule>
  </conditionalFormatting>
  <conditionalFormatting sqref="L45:L46">
    <cfRule type="cellIs" dxfId="58" priority="82" operator="notEqual">
      <formula>0</formula>
    </cfRule>
  </conditionalFormatting>
  <conditionalFormatting sqref="L45:L46">
    <cfRule type="cellIs" dxfId="57" priority="81" operator="notEqual">
      <formula>0</formula>
    </cfRule>
  </conditionalFormatting>
  <conditionalFormatting sqref="L45">
    <cfRule type="cellIs" dxfId="56" priority="80" operator="notEqual">
      <formula>0</formula>
    </cfRule>
  </conditionalFormatting>
  <conditionalFormatting sqref="L46">
    <cfRule type="cellIs" dxfId="55" priority="79" operator="notEqual">
      <formula>0</formula>
    </cfRule>
  </conditionalFormatting>
  <conditionalFormatting sqref="M49">
    <cfRule type="cellIs" dxfId="54" priority="76" operator="notEqual">
      <formula>0</formula>
    </cfRule>
  </conditionalFormatting>
  <conditionalFormatting sqref="L49">
    <cfRule type="cellIs" dxfId="53" priority="75" operator="notEqual">
      <formula>0</formula>
    </cfRule>
  </conditionalFormatting>
  <conditionalFormatting sqref="L55">
    <cfRule type="cellIs" dxfId="52" priority="70" operator="notEqual">
      <formula>0</formula>
    </cfRule>
  </conditionalFormatting>
  <conditionalFormatting sqref="L55">
    <cfRule type="cellIs" dxfId="51" priority="69" operator="notEqual">
      <formula>0</formula>
    </cfRule>
  </conditionalFormatting>
  <conditionalFormatting sqref="L55">
    <cfRule type="cellIs" dxfId="50" priority="68" operator="notEqual">
      <formula>0</formula>
    </cfRule>
  </conditionalFormatting>
  <conditionalFormatting sqref="L55">
    <cfRule type="cellIs" dxfId="49" priority="67" operator="notEqual">
      <formula>0</formula>
    </cfRule>
  </conditionalFormatting>
  <conditionalFormatting sqref="L55">
    <cfRule type="cellIs" dxfId="48" priority="66" operator="notEqual">
      <formula>0</formula>
    </cfRule>
  </conditionalFormatting>
  <conditionalFormatting sqref="M58">
    <cfRule type="cellIs" dxfId="47" priority="64" operator="notEqual">
      <formula>0</formula>
    </cfRule>
  </conditionalFormatting>
  <conditionalFormatting sqref="L58">
    <cfRule type="cellIs" dxfId="46" priority="63" operator="notEqual">
      <formula>0</formula>
    </cfRule>
  </conditionalFormatting>
  <conditionalFormatting sqref="M60">
    <cfRule type="cellIs" dxfId="45" priority="62" operator="notEqual">
      <formula>0</formula>
    </cfRule>
  </conditionalFormatting>
  <conditionalFormatting sqref="L60">
    <cfRule type="cellIs" dxfId="44" priority="61" operator="notEqual">
      <formula>0</formula>
    </cfRule>
  </conditionalFormatting>
  <conditionalFormatting sqref="M61:M62">
    <cfRule type="cellIs" dxfId="43" priority="60" operator="notEqual">
      <formula>0</formula>
    </cfRule>
  </conditionalFormatting>
  <conditionalFormatting sqref="L61:L62">
    <cfRule type="cellIs" dxfId="42" priority="59" operator="notEqual">
      <formula>0</formula>
    </cfRule>
  </conditionalFormatting>
  <conditionalFormatting sqref="M63">
    <cfRule type="cellIs" dxfId="41" priority="58" operator="notEqual">
      <formula>0</formula>
    </cfRule>
  </conditionalFormatting>
  <conditionalFormatting sqref="L63">
    <cfRule type="cellIs" dxfId="40" priority="57" operator="notEqual">
      <formula>0</formula>
    </cfRule>
  </conditionalFormatting>
  <conditionalFormatting sqref="AE15">
    <cfRule type="containsText" dxfId="39" priority="53" operator="containsText" text="Detenida">
      <formula>NOT(ISERROR(SEARCH("Detenida",AE15)))</formula>
    </cfRule>
    <cfRule type="containsText" dxfId="38" priority="54" operator="containsText" text="Retrasada">
      <formula>NOT(ISERROR(SEARCH("Retrasada",AE15)))</formula>
    </cfRule>
    <cfRule type="containsText" dxfId="37" priority="55" operator="containsText" text="Reducida">
      <formula>NOT(ISERROR(SEARCH("Reducida",AE15)))</formula>
    </cfRule>
    <cfRule type="containsText" dxfId="36" priority="56" operator="containsText" text="Normal">
      <formula>NOT(ISERROR(SEARCH("Normal",AE15)))</formula>
    </cfRule>
  </conditionalFormatting>
  <conditionalFormatting sqref="AE54">
    <cfRule type="containsText" dxfId="35" priority="49" operator="containsText" text="Detenida">
      <formula>NOT(ISERROR(SEARCH("Detenida",AE54)))</formula>
    </cfRule>
    <cfRule type="containsText" dxfId="34" priority="50" operator="containsText" text="Retrasada">
      <formula>NOT(ISERROR(SEARCH("Retrasada",AE54)))</formula>
    </cfRule>
    <cfRule type="containsText" dxfId="33" priority="51" operator="containsText" text="Reducida">
      <formula>NOT(ISERROR(SEARCH("Reducida",AE54)))</formula>
    </cfRule>
    <cfRule type="containsText" dxfId="32" priority="52" operator="containsText" text="Normal">
      <formula>NOT(ISERROR(SEARCH("Normal",AE54)))</formula>
    </cfRule>
  </conditionalFormatting>
  <conditionalFormatting sqref="AE53">
    <cfRule type="containsText" dxfId="31" priority="45" operator="containsText" text="Detenida">
      <formula>NOT(ISERROR(SEARCH("Detenida",AE53)))</formula>
    </cfRule>
    <cfRule type="containsText" dxfId="30" priority="46" operator="containsText" text="Retrasada">
      <formula>NOT(ISERROR(SEARCH("Retrasada",AE53)))</formula>
    </cfRule>
    <cfRule type="containsText" dxfId="29" priority="47" operator="containsText" text="Reducida">
      <formula>NOT(ISERROR(SEARCH("Reducida",AE53)))</formula>
    </cfRule>
    <cfRule type="containsText" dxfId="28" priority="48" operator="containsText" text="Normal">
      <formula>NOT(ISERROR(SEARCH("Normal",AE53)))</formula>
    </cfRule>
  </conditionalFormatting>
  <conditionalFormatting sqref="AE56">
    <cfRule type="containsText" dxfId="27" priority="41" operator="containsText" text="Detenida">
      <formula>NOT(ISERROR(SEARCH("Detenida",AE56)))</formula>
    </cfRule>
    <cfRule type="containsText" dxfId="26" priority="42" operator="containsText" text="Retrasada">
      <formula>NOT(ISERROR(SEARCH("Retrasada",AE56)))</formula>
    </cfRule>
    <cfRule type="containsText" dxfId="25" priority="43" operator="containsText" text="Reducida">
      <formula>NOT(ISERROR(SEARCH("Reducida",AE56)))</formula>
    </cfRule>
    <cfRule type="containsText" dxfId="24" priority="44" operator="containsText" text="Normal">
      <formula>NOT(ISERROR(SEARCH("Normal",AE56)))</formula>
    </cfRule>
  </conditionalFormatting>
  <conditionalFormatting sqref="AE57">
    <cfRule type="containsText" dxfId="23" priority="37" operator="containsText" text="Detenida">
      <formula>NOT(ISERROR(SEARCH("Detenida",AE57)))</formula>
    </cfRule>
    <cfRule type="containsText" dxfId="22" priority="38" operator="containsText" text="Retrasada">
      <formula>NOT(ISERROR(SEARCH("Retrasada",AE57)))</formula>
    </cfRule>
    <cfRule type="containsText" dxfId="21" priority="39" operator="containsText" text="Reducida">
      <formula>NOT(ISERROR(SEARCH("Reducida",AE57)))</formula>
    </cfRule>
    <cfRule type="containsText" dxfId="20" priority="40" operator="containsText" text="Normal">
      <formula>NOT(ISERROR(SEARCH("Normal",AE57)))</formula>
    </cfRule>
  </conditionalFormatting>
  <conditionalFormatting sqref="AE59">
    <cfRule type="containsText" dxfId="19" priority="33" operator="containsText" text="Detenida">
      <formula>NOT(ISERROR(SEARCH("Detenida",AE59)))</formula>
    </cfRule>
    <cfRule type="containsText" dxfId="18" priority="34" operator="containsText" text="Retrasada">
      <formula>NOT(ISERROR(SEARCH("Retrasada",AE59)))</formula>
    </cfRule>
    <cfRule type="containsText" dxfId="17" priority="35" operator="containsText" text="Reducida">
      <formula>NOT(ISERROR(SEARCH("Reducida",AE59)))</formula>
    </cfRule>
    <cfRule type="containsText" dxfId="16" priority="36" operator="containsText" text="Normal">
      <formula>NOT(ISERROR(SEARCH("Normal",AE59)))</formula>
    </cfRule>
  </conditionalFormatting>
  <conditionalFormatting sqref="AE66">
    <cfRule type="containsText" dxfId="15" priority="26" operator="containsText" text="Retrasada">
      <formula>NOT(ISERROR(SEARCH("Retrasada",AE66)))</formula>
    </cfRule>
    <cfRule type="containsText" dxfId="14" priority="27" operator="containsText" text="Reducida">
      <formula>NOT(ISERROR(SEARCH("Reducida",AE66)))</formula>
    </cfRule>
    <cfRule type="containsText" dxfId="13" priority="28" operator="containsText" text="Normal">
      <formula>NOT(ISERROR(SEARCH("Normal",AE66)))</formula>
    </cfRule>
  </conditionalFormatting>
  <conditionalFormatting sqref="AE47">
    <cfRule type="containsText" dxfId="12" priority="14" operator="containsText" text="Detenida">
      <formula>NOT(ISERROR(SEARCH("Detenida",AE47)))</formula>
    </cfRule>
    <cfRule type="containsText" dxfId="11" priority="15" operator="containsText" text="Retrasada">
      <formula>NOT(ISERROR(SEARCH("Retrasada",AE47)))</formula>
    </cfRule>
    <cfRule type="containsText" dxfId="10" priority="16" operator="containsText" text="Reducida">
      <formula>NOT(ISERROR(SEARCH("Reducida",AE47)))</formula>
    </cfRule>
    <cfRule type="containsText" dxfId="9" priority="17" operator="containsText" text="Normal">
      <formula>NOT(ISERROR(SEARCH("Normal",AE47)))</formula>
    </cfRule>
  </conditionalFormatting>
  <conditionalFormatting sqref="AE50">
    <cfRule type="containsText" dxfId="8" priority="7" operator="containsText" text="Retrasada">
      <formula>NOT(ISERROR(SEARCH("Retrasada",AE50)))</formula>
    </cfRule>
    <cfRule type="containsText" dxfId="7" priority="8" operator="containsText" text="Reducida">
      <formula>NOT(ISERROR(SEARCH("Reducida",AE50)))</formula>
    </cfRule>
    <cfRule type="containsText" dxfId="6" priority="9" operator="containsText" text="Normal">
      <formula>NOT(ISERROR(SEARCH("Normal",AE50)))</formula>
    </cfRule>
  </conditionalFormatting>
  <conditionalFormatting sqref="J66 J64 J59 J56:J57 J50:J54 J47:J48 J41:J43 J37 J32 J29 J23:J24 J13:J18">
    <cfRule type="cellIs" dxfId="5" priority="6" operator="notEqual">
      <formula>0</formula>
    </cfRule>
  </conditionalFormatting>
  <conditionalFormatting sqref="J66 J64 J59 J56:J57 J50:J54 J47:J48 J41:J43 J37 J32 J29 J23:J24 J13:J18">
    <cfRule type="cellIs" dxfId="4" priority="5" operator="notEqual">
      <formula>0</formula>
    </cfRule>
  </conditionalFormatting>
  <conditionalFormatting sqref="J66 J64 J59 J56:J57 J50:J54 J47:J48 J41:J43 J37 J32 J29 J23:J24 J13:J18">
    <cfRule type="cellIs" dxfId="3" priority="4" operator="notEqual">
      <formula>0</formula>
    </cfRule>
  </conditionalFormatting>
  <conditionalFormatting sqref="J66 J64 J59 J56:J57 J50:J54 J47:J48 J41:J43 J37 J32 J29 J23:J24 J13:J18">
    <cfRule type="cellIs" dxfId="2" priority="3" operator="notEqual">
      <formula>0</formula>
    </cfRule>
  </conditionalFormatting>
  <conditionalFormatting sqref="M66 M64 M59 M56:M57 M50:M54 M47:M48 M41:M43 M37 M32 M29 M23:M24 M13:M18 M8">
    <cfRule type="cellIs" dxfId="1" priority="2" operator="notEqual">
      <formula>0</formula>
    </cfRule>
  </conditionalFormatting>
  <conditionalFormatting sqref="L66 L64 L59 L56:L57 L50:L54 L47:L48 L41:L43 L37 L32 L29 L23:L24 L13:L18 L8">
    <cfRule type="cellIs" dxfId="0" priority="1" operator="notEqual">
      <formula>0</formula>
    </cfRule>
  </conditionalFormatting>
  <dataValidations count="2">
    <dataValidation type="list" allowBlank="1" showInputMessage="1" showErrorMessage="1" sqref="AE7:AE8 AE11 AE13 AE64 AE19 AE23:AE24 AE32 AE37 AE41:AE43 AE66 AE48 AE16 AE52 AE50" xr:uid="{29B4B33B-A6F2-48DA-9602-7E9737F6CCFA}">
      <formula1>$XES$4:$XFD$6</formula1>
    </dataValidation>
    <dataValidation type="list" allowBlank="1" showInputMessage="1" showErrorMessage="1" sqref="AA5:AA66 AE15 AE53:AE54 AE56:AE57 AE59" xr:uid="{5CAE6B50-E1A6-41DA-8B41-96C028E2FCA4}">
      <formula1>$XES$4:$XFD$7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Portafolio completo</vt:lpstr>
      <vt:lpstr>Portafolio por sector</vt:lpstr>
      <vt:lpstr>Hoja1</vt:lpstr>
      <vt:lpstr>Reporte Ejecutivo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Basañez</dc:creator>
  <cp:lastModifiedBy>Alexis Rangel Calvo</cp:lastModifiedBy>
  <dcterms:created xsi:type="dcterms:W3CDTF">2020-09-25T00:55:55Z</dcterms:created>
  <dcterms:modified xsi:type="dcterms:W3CDTF">2022-05-20T17:05:06Z</dcterms:modified>
</cp:coreProperties>
</file>